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Betahistine Dihydrochloride" sheetId="3" r:id="rId3"/>
    <sheet name="Betahistine Dihydrochloride 1" sheetId="4" r:id="rId4"/>
  </sheets>
  <externalReferences>
    <externalReference r:id="rId5"/>
  </externalReference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C124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F44" i="4" s="1"/>
  <c r="F45" i="4" s="1"/>
  <c r="B30" i="4"/>
  <c r="B21" i="1"/>
  <c r="C129" i="3"/>
  <c r="B125" i="3"/>
  <c r="D109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0" i="3"/>
  <c r="B91" i="3" s="1"/>
  <c r="C74" i="3"/>
  <c r="G68" i="3"/>
  <c r="E68" i="3"/>
  <c r="E67" i="3"/>
  <c r="G67" i="3" s="1"/>
  <c r="B67" i="3"/>
  <c r="E59" i="3" s="1"/>
  <c r="G59" i="3" s="1"/>
  <c r="E66" i="3"/>
  <c r="G66" i="3" s="1"/>
  <c r="E65" i="3"/>
  <c r="G65" i="3" s="1"/>
  <c r="E64" i="3"/>
  <c r="E63" i="3"/>
  <c r="G63" i="3" s="1"/>
  <c r="E62" i="3"/>
  <c r="G62" i="3" s="1"/>
  <c r="E61" i="3"/>
  <c r="G61" i="3" s="1"/>
  <c r="E60" i="3"/>
  <c r="C56" i="3"/>
  <c r="B55" i="3"/>
  <c r="B45" i="3"/>
  <c r="D48" i="3" s="1"/>
  <c r="D49" i="3" s="1"/>
  <c r="D44" i="3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D97" i="4"/>
  <c r="D98" i="4" s="1"/>
  <c r="D99" i="4" s="1"/>
  <c r="E104" i="3"/>
  <c r="D110" i="3"/>
  <c r="D111" i="3" s="1"/>
  <c r="F126" i="3"/>
  <c r="G104" i="3"/>
  <c r="F124" i="3"/>
  <c r="G129" i="3" s="1"/>
  <c r="B69" i="4"/>
  <c r="F46" i="4"/>
  <c r="I39" i="4"/>
  <c r="G40" i="4"/>
  <c r="D49" i="4"/>
  <c r="E40" i="4"/>
  <c r="G38" i="4"/>
  <c r="G41" i="4"/>
  <c r="G39" i="4"/>
  <c r="F98" i="4"/>
  <c r="F99" i="4" s="1"/>
  <c r="E94" i="4"/>
  <c r="D44" i="4"/>
  <c r="D45" i="4" s="1"/>
  <c r="D46" i="4" s="1"/>
  <c r="G64" i="3"/>
  <c r="G70" i="3" s="1"/>
  <c r="G74" i="3" s="1"/>
  <c r="G60" i="3"/>
  <c r="D112" i="3"/>
  <c r="D113" i="3" s="1"/>
  <c r="E70" i="3"/>
  <c r="E71" i="3" s="1"/>
  <c r="F45" i="3"/>
  <c r="F46" i="3" s="1"/>
  <c r="E72" i="3"/>
  <c r="D52" i="3"/>
  <c r="G42" i="3"/>
  <c r="D45" i="3"/>
  <c r="D46" i="3" s="1"/>
  <c r="F107" i="3"/>
  <c r="F108" i="3" s="1"/>
  <c r="D25" i="2"/>
  <c r="D33" i="2"/>
  <c r="D41" i="2"/>
  <c r="D26" i="2"/>
  <c r="D30" i="2"/>
  <c r="D34" i="2"/>
  <c r="D38" i="2"/>
  <c r="D42" i="2"/>
  <c r="B49" i="2"/>
  <c r="D50" i="2"/>
  <c r="E42" i="3"/>
  <c r="D50" i="3"/>
  <c r="D51" i="3" s="1"/>
  <c r="D106" i="3"/>
  <c r="D107" i="3" s="1"/>
  <c r="D108" i="3" s="1"/>
  <c r="D114" i="3"/>
  <c r="C50" i="2"/>
  <c r="D35" i="2"/>
  <c r="C49" i="2"/>
  <c r="B57" i="3"/>
  <c r="D29" i="2"/>
  <c r="D37" i="2"/>
  <c r="D27" i="2"/>
  <c r="D31" i="2"/>
  <c r="D39" i="2"/>
  <c r="D43" i="2"/>
  <c r="D24" i="2"/>
  <c r="D28" i="2"/>
  <c r="D32" i="2"/>
  <c r="D36" i="2"/>
  <c r="D40" i="2"/>
  <c r="E93" i="4" l="1"/>
  <c r="E92" i="4"/>
  <c r="E91" i="4"/>
  <c r="F125" i="3"/>
  <c r="G92" i="4"/>
  <c r="E39" i="4"/>
  <c r="G42" i="4"/>
  <c r="G93" i="4"/>
  <c r="E38" i="4"/>
  <c r="G91" i="4"/>
  <c r="G94" i="4"/>
  <c r="E41" i="4"/>
  <c r="F68" i="3"/>
  <c r="F67" i="3"/>
  <c r="F66" i="3"/>
  <c r="F65" i="3"/>
  <c r="G72" i="3"/>
  <c r="F63" i="3"/>
  <c r="F64" i="3"/>
  <c r="F60" i="3"/>
  <c r="F62" i="3"/>
  <c r="F61" i="3"/>
  <c r="C81" i="3"/>
  <c r="C82" i="3"/>
  <c r="F59" i="3"/>
  <c r="G71" i="3"/>
  <c r="C79" i="3"/>
  <c r="E95" i="4" l="1"/>
  <c r="D103" i="4"/>
  <c r="E113" i="4" s="1"/>
  <c r="F113" i="4" s="1"/>
  <c r="G95" i="4"/>
  <c r="D105" i="4"/>
  <c r="D50" i="4"/>
  <c r="E42" i="4"/>
  <c r="D52" i="4"/>
  <c r="C83" i="3"/>
  <c r="F70" i="3"/>
  <c r="F71" i="3" s="1"/>
  <c r="F72" i="3"/>
  <c r="D104" i="4" l="1"/>
  <c r="E108" i="4"/>
  <c r="E111" i="4"/>
  <c r="F111" i="4" s="1"/>
  <c r="E109" i="4"/>
  <c r="F109" i="4" s="1"/>
  <c r="E110" i="4"/>
  <c r="F110" i="4" s="1"/>
  <c r="E112" i="4"/>
  <c r="F112" i="4" s="1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E120" i="4" l="1"/>
  <c r="E119" i="4"/>
  <c r="E115" i="4"/>
  <c r="E116" i="4" s="1"/>
  <c r="F108" i="4"/>
  <c r="D125" i="4" s="1"/>
  <c r="E117" i="4"/>
  <c r="G74" i="4"/>
  <c r="G72" i="4"/>
  <c r="G73" i="4" s="1"/>
  <c r="H60" i="4"/>
  <c r="F117" i="4" l="1"/>
  <c r="F119" i="4"/>
  <c r="F120" i="4"/>
  <c r="F115" i="4"/>
  <c r="F116" i="4" s="1"/>
  <c r="F125" i="4"/>
  <c r="H74" i="4"/>
  <c r="H72" i="4"/>
  <c r="G124" i="4" l="1"/>
  <c r="G76" i="4"/>
  <c r="H73" i="4"/>
</calcChain>
</file>

<file path=xl/sharedStrings.xml><?xml version="1.0" encoding="utf-8"?>
<sst xmlns="http://schemas.openxmlformats.org/spreadsheetml/2006/main" count="403" uniqueCount="171">
  <si>
    <t>HPLC System Suitability Report</t>
  </si>
  <si>
    <t>Analysis Data</t>
  </si>
  <si>
    <t>Assay</t>
  </si>
  <si>
    <t>Sample(s)</t>
  </si>
  <si>
    <t>Reference Substance:</t>
  </si>
  <si>
    <t xml:space="preserve">BETAVERT 24MG TABLETS </t>
  </si>
  <si>
    <t>% age Purity:</t>
  </si>
  <si>
    <t>NDQD201705404</t>
  </si>
  <si>
    <t>Weight (mg):</t>
  </si>
  <si>
    <t>Betahistine Dihydrochloride BP 24mg</t>
  </si>
  <si>
    <t>Standard Conc (mg/mL):</t>
  </si>
  <si>
    <t>Each tablets contains betahistine dihydrochloride BP 24mg</t>
  </si>
  <si>
    <t>2017-05-23 12:03:25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</si>
  <si>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</si>
  <si>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</si>
  <si>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</si>
  <si>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</si>
  <si>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</si>
  <si>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</si>
  <si>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</si>
  <si>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</si>
  <si>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</si>
  <si>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</si>
  <si>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</si>
  <si>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</si>
  <si>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</si>
  <si>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</si>
  <si>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</si>
  <si>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</si>
  <si>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</si>
  <si>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</si>
  <si>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</si>
  <si>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</si>
  <si>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</si>
  <si>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</si>
  <si>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</si>
  <si>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</si>
  <si>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</si>
  <si>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</si>
  <si>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</si>
  <si>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</si>
  <si>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</si>
  <si>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</si>
  <si>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</si>
  <si>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</si>
  <si>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</si>
  <si>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</si>
  <si>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</si>
  <si>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</si>
  <si>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</si>
  <si>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</si>
  <si>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</si>
  <si>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</si>
  <si>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</si>
  <si>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</si>
  <si>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</si>
  <si>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</si>
  <si>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</si>
  <si>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</si>
  <si>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</si>
  <si>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</si>
  <si>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</si>
  <si>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</si>
  <si>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</si>
  <si>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</si>
  <si>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</si>
  <si>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</si>
  <si>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</si>
  <si>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</si>
  <si>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</si>
  <si>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</si>
  <si>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</si>
  <si>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</si>
  <si>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</si>
  <si>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</si>
  <si>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</si>
  <si>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</si>
  <si>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</si>
  <si>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</si>
  <si>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</si>
  <si>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</si>
  <si>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</si>
  <si>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</si>
  <si>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</si>
  <si>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</si>
  <si>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</si>
  <si>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</si>
  <si>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</si>
  <si>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</si>
  <si>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</si>
  <si>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</si>
  <si>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</si>
  <si>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</si>
  <si>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</si>
  <si>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</si>
  <si>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</si>
  <si>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</si>
  <si>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</si>
  <si>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</si>
  <si>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</si>
  <si>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</si>
  <si>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</si>
  <si>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</si>
  <si>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</si>
  <si>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</si>
  <si>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</si>
  <si>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</si>
  <si>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</si>
  <si>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</si>
  <si>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</si>
  <si>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</si>
  <si>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</si>
  <si>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</si>
  <si>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</si>
  <si>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</si>
  <si>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</si>
  <si>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</si>
  <si>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</si>
  <si>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</si>
  <si>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</si>
  <si>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</si>
  <si>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</si>
  <si>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</si>
  <si>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</si>
  <si>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Betahistine Dihydrochloride</t>
  </si>
  <si>
    <t>B17-2</t>
  </si>
  <si>
    <t>Initial Standard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</si>
  <si>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</si>
  <si>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</si>
  <si>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</si>
  <si>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</si>
  <si>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</si>
  <si>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</si>
  <si>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</si>
  <si>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</si>
  <si>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</si>
  <si>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</si>
  <si>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</si>
  <si>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</si>
  <si>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</si>
  <si>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</si>
  <si>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</si>
  <si>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</si>
  <si>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</si>
  <si>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</si>
  <si>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</si>
  <si>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</si>
  <si>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</si>
  <si>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</si>
  <si>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</si>
  <si>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</si>
  <si>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</si>
  <si>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</si>
  <si>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</si>
  <si>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</si>
  <si>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</si>
  <si>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</si>
  <si>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</si>
  <si>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</si>
  <si>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</si>
  <si>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</si>
  <si>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</si>
  <si>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</si>
  <si>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</si>
  <si>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</si>
  <si>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</si>
  <si>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>Range:</t>
  </si>
  <si>
    <t>Minimum</t>
  </si>
  <si>
    <t>Maximum</t>
  </si>
  <si>
    <t>25/05/2017</t>
  </si>
  <si>
    <t>26/05/2017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</si>
</sst>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</numFmts>
  <fonts count="4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41" fillId="2" borderId="0"/>
  </cellStyleXfs>
  <cellXfs count="5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170" fontId="11" fillId="2" borderId="3" xfId="0" applyNumberFormat="1" applyFont="1" applyFill="1" applyBorder="1" applyAlignment="1">
      <alignment horizontal="center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6" fillId="2" borderId="0" xfId="1" applyFont="1" applyFill="1"/>
    <xf numFmtId="0" fontId="24" fillId="2" borderId="0" xfId="1" applyFill="1"/>
    <xf numFmtId="0" fontId="28" fillId="2" borderId="0" xfId="1" applyFont="1" applyFill="1"/>
    <xf numFmtId="0" fontId="31" fillId="2" borderId="0" xfId="1" applyFont="1" applyFill="1"/>
    <xf numFmtId="0" fontId="32" fillId="2" borderId="0" xfId="1" applyFont="1" applyFill="1" applyAlignment="1" applyProtection="1">
      <alignment horizontal="right"/>
      <protection locked="0"/>
    </xf>
    <xf numFmtId="0" fontId="32" fillId="2" borderId="0" xfId="1" applyFont="1" applyFill="1" applyAlignment="1" applyProtection="1">
      <alignment horizontal="left"/>
      <protection locked="0"/>
    </xf>
    <xf numFmtId="0" fontId="23" fillId="2" borderId="0" xfId="1" applyFont="1" applyFill="1"/>
    <xf numFmtId="0" fontId="28" fillId="3" borderId="0" xfId="1" applyFont="1" applyFill="1" applyProtection="1">
      <protection locked="0"/>
    </xf>
    <xf numFmtId="172" fontId="23" fillId="3" borderId="0" xfId="1" applyNumberFormat="1" applyFont="1" applyFill="1" applyAlignment="1" applyProtection="1">
      <alignment horizontal="center"/>
      <protection locked="0"/>
    </xf>
    <xf numFmtId="168" fontId="28" fillId="2" borderId="0" xfId="1" applyNumberFormat="1" applyFont="1" applyFill="1" applyAlignment="1">
      <alignment horizontal="left"/>
    </xf>
    <xf numFmtId="0" fontId="33" fillId="2" borderId="0" xfId="1" applyFont="1" applyFill="1" applyAlignment="1">
      <alignment horizontal="left"/>
    </xf>
    <xf numFmtId="0" fontId="31" fillId="2" borderId="0" xfId="1" applyFont="1" applyFill="1" applyAlignment="1">
      <alignment horizontal="right"/>
    </xf>
    <xf numFmtId="0" fontId="28" fillId="2" borderId="0" xfId="1" applyFont="1" applyFill="1" applyAlignment="1">
      <alignment horizontal="right"/>
    </xf>
    <xf numFmtId="0" fontId="32" fillId="3" borderId="0" xfId="1" applyFont="1" applyFill="1" applyAlignment="1" applyProtection="1">
      <alignment horizontal="center"/>
      <protection locked="0"/>
    </xf>
    <xf numFmtId="0" fontId="23" fillId="3" borderId="0" xfId="1" applyFont="1" applyFill="1" applyAlignment="1" applyProtection="1">
      <alignment horizontal="center"/>
      <protection locked="0"/>
    </xf>
    <xf numFmtId="0" fontId="34" fillId="2" borderId="1" xfId="1" applyFont="1" applyFill="1" applyBorder="1" applyAlignment="1">
      <alignment horizontal="center"/>
    </xf>
    <xf numFmtId="0" fontId="35" fillId="2" borderId="0" xfId="1" applyFont="1" applyFill="1" applyAlignment="1">
      <alignment vertical="center" wrapText="1"/>
    </xf>
    <xf numFmtId="0" fontId="31" fillId="2" borderId="0" xfId="1" applyFont="1" applyFill="1" applyAlignment="1">
      <alignment horizontal="center"/>
    </xf>
    <xf numFmtId="0" fontId="36" fillId="2" borderId="0" xfId="1" applyFont="1" applyFill="1"/>
    <xf numFmtId="0" fontId="37" fillId="2" borderId="0" xfId="1" applyFont="1" applyFill="1"/>
    <xf numFmtId="2" fontId="32" fillId="3" borderId="0" xfId="1" applyNumberFormat="1" applyFont="1" applyFill="1" applyAlignment="1" applyProtection="1">
      <alignment horizontal="center"/>
      <protection locked="0"/>
    </xf>
    <xf numFmtId="0" fontId="31" fillId="2" borderId="0" xfId="1" applyFont="1" applyFill="1" applyAlignment="1">
      <alignment vertical="center" wrapText="1"/>
    </xf>
    <xf numFmtId="0" fontId="38" fillId="2" borderId="0" xfId="1" applyFont="1" applyFill="1"/>
    <xf numFmtId="2" fontId="31" fillId="2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left" vertical="center" wrapText="1"/>
    </xf>
    <xf numFmtId="169" fontId="31" fillId="2" borderId="0" xfId="1" applyNumberFormat="1" applyFont="1" applyFill="1" applyAlignment="1">
      <alignment horizontal="center"/>
    </xf>
    <xf numFmtId="0" fontId="28" fillId="2" borderId="21" xfId="1" applyFont="1" applyFill="1" applyBorder="1" applyAlignment="1">
      <alignment horizontal="right"/>
    </xf>
    <xf numFmtId="0" fontId="32" fillId="3" borderId="25" xfId="1" applyFont="1" applyFill="1" applyBorder="1" applyAlignment="1" applyProtection="1">
      <alignment horizontal="center"/>
      <protection locked="0"/>
    </xf>
    <xf numFmtId="0" fontId="28" fillId="2" borderId="23" xfId="1" applyFont="1" applyFill="1" applyBorder="1" applyAlignment="1">
      <alignment horizontal="right"/>
    </xf>
    <xf numFmtId="0" fontId="32" fillId="3" borderId="31" xfId="1" applyFont="1" applyFill="1" applyBorder="1" applyAlignment="1" applyProtection="1">
      <alignment horizontal="center"/>
      <protection locked="0"/>
    </xf>
    <xf numFmtId="0" fontId="31" fillId="2" borderId="25" xfId="1" applyFont="1" applyFill="1" applyBorder="1" applyAlignment="1">
      <alignment horizontal="center"/>
    </xf>
    <xf numFmtId="0" fontId="31" fillId="2" borderId="26" xfId="1" applyFont="1" applyFill="1" applyBorder="1" applyAlignment="1">
      <alignment horizontal="center"/>
    </xf>
    <xf numFmtId="0" fontId="31" fillId="2" borderId="27" xfId="1" applyFont="1" applyFill="1" applyBorder="1" applyAlignment="1">
      <alignment horizontal="center"/>
    </xf>
    <xf numFmtId="0" fontId="31" fillId="2" borderId="49" xfId="1" applyFont="1" applyFill="1" applyBorder="1" applyAlignment="1">
      <alignment horizontal="center"/>
    </xf>
    <xf numFmtId="0" fontId="31" fillId="2" borderId="12" xfId="1" applyFont="1" applyFill="1" applyBorder="1" applyAlignment="1">
      <alignment horizontal="center"/>
    </xf>
    <xf numFmtId="0" fontId="28" fillId="2" borderId="29" xfId="1" applyFont="1" applyFill="1" applyBorder="1" applyAlignment="1">
      <alignment horizontal="center"/>
    </xf>
    <xf numFmtId="170" fontId="28" fillId="2" borderId="27" xfId="1" applyNumberFormat="1" applyFont="1" applyFill="1" applyBorder="1" applyAlignment="1">
      <alignment horizontal="center"/>
    </xf>
    <xf numFmtId="170" fontId="28" fillId="2" borderId="28" xfId="1" applyNumberFormat="1" applyFont="1" applyFill="1" applyBorder="1" applyAlignment="1">
      <alignment horizontal="center"/>
    </xf>
    <xf numFmtId="0" fontId="38" fillId="2" borderId="13" xfId="1" applyFont="1" applyFill="1" applyBorder="1"/>
    <xf numFmtId="0" fontId="28" fillId="2" borderId="31" xfId="1" applyFont="1" applyFill="1" applyBorder="1" applyAlignment="1">
      <alignment horizontal="center"/>
    </xf>
    <xf numFmtId="0" fontId="32" fillId="3" borderId="23" xfId="1" applyFont="1" applyFill="1" applyBorder="1" applyAlignment="1" applyProtection="1">
      <alignment horizontal="center"/>
      <protection locked="0"/>
    </xf>
    <xf numFmtId="170" fontId="28" fillId="2" borderId="32" xfId="1" applyNumberFormat="1" applyFont="1" applyFill="1" applyBorder="1" applyAlignment="1">
      <alignment horizontal="center"/>
    </xf>
    <xf numFmtId="170" fontId="28" fillId="2" borderId="24" xfId="1" applyNumberFormat="1" applyFont="1" applyFill="1" applyBorder="1" applyAlignment="1">
      <alignment horizontal="center"/>
    </xf>
    <xf numFmtId="0" fontId="28" fillId="2" borderId="33" xfId="1" applyFont="1" applyFill="1" applyBorder="1" applyAlignment="1">
      <alignment horizontal="center"/>
    </xf>
    <xf numFmtId="0" fontId="32" fillId="3" borderId="34" xfId="1" applyFont="1" applyFill="1" applyBorder="1" applyAlignment="1" applyProtection="1">
      <alignment horizontal="center"/>
      <protection locked="0"/>
    </xf>
    <xf numFmtId="170" fontId="28" fillId="2" borderId="35" xfId="1" applyNumberFormat="1" applyFont="1" applyFill="1" applyBorder="1" applyAlignment="1">
      <alignment horizontal="center"/>
    </xf>
    <xf numFmtId="170" fontId="28" fillId="2" borderId="36" xfId="1" applyNumberFormat="1" applyFont="1" applyFill="1" applyBorder="1" applyAlignment="1">
      <alignment horizontal="center"/>
    </xf>
    <xf numFmtId="0" fontId="28" fillId="2" borderId="15" xfId="1" applyFont="1" applyFill="1" applyBorder="1"/>
    <xf numFmtId="0" fontId="28" fillId="2" borderId="31" xfId="1" applyFont="1" applyFill="1" applyBorder="1" applyAlignment="1">
      <alignment horizontal="right"/>
    </xf>
    <xf numFmtId="1" fontId="31" fillId="6" borderId="37" xfId="1" applyNumberFormat="1" applyFont="1" applyFill="1" applyBorder="1" applyAlignment="1">
      <alignment horizontal="center"/>
    </xf>
    <xf numFmtId="170" fontId="31" fillId="6" borderId="38" xfId="1" applyNumberFormat="1" applyFont="1" applyFill="1" applyBorder="1" applyAlignment="1">
      <alignment horizontal="center"/>
    </xf>
    <xf numFmtId="170" fontId="31" fillId="6" borderId="39" xfId="1" applyNumberFormat="1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28" fillId="2" borderId="40" xfId="1" applyFont="1" applyFill="1" applyBorder="1" applyAlignment="1">
      <alignment horizontal="right"/>
    </xf>
    <xf numFmtId="0" fontId="32" fillId="3" borderId="16" xfId="1" applyFont="1" applyFill="1" applyBorder="1" applyAlignment="1" applyProtection="1">
      <alignment horizontal="center"/>
      <protection locked="0"/>
    </xf>
    <xf numFmtId="0" fontId="28" fillId="2" borderId="11" xfId="1" applyFont="1" applyFill="1" applyBorder="1" applyAlignment="1">
      <alignment horizontal="right"/>
    </xf>
    <xf numFmtId="2" fontId="28" fillId="6" borderId="41" xfId="1" applyNumberFormat="1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2" fontId="28" fillId="7" borderId="41" xfId="1" applyNumberFormat="1" applyFont="1" applyFill="1" applyBorder="1" applyAlignment="1">
      <alignment horizontal="center"/>
    </xf>
    <xf numFmtId="2" fontId="28" fillId="2" borderId="0" xfId="1" applyNumberFormat="1" applyFont="1" applyFill="1" applyAlignment="1">
      <alignment horizontal="center"/>
    </xf>
    <xf numFmtId="166" fontId="28" fillId="6" borderId="41" xfId="1" applyNumberFormat="1" applyFont="1" applyFill="1" applyBorder="1" applyAlignment="1">
      <alignment horizontal="center"/>
    </xf>
    <xf numFmtId="166" fontId="28" fillId="2" borderId="0" xfId="1" applyNumberFormat="1" applyFont="1" applyFill="1" applyAlignment="1">
      <alignment horizontal="center"/>
    </xf>
    <xf numFmtId="166" fontId="28" fillId="6" borderId="17" xfId="1" applyNumberFormat="1" applyFont="1" applyFill="1" applyBorder="1" applyAlignment="1">
      <alignment horizontal="center"/>
    </xf>
    <xf numFmtId="0" fontId="28" fillId="2" borderId="42" xfId="1" applyFont="1" applyFill="1" applyBorder="1" applyAlignment="1">
      <alignment horizontal="right"/>
    </xf>
    <xf numFmtId="166" fontId="32" fillId="3" borderId="41" xfId="1" applyNumberFormat="1" applyFont="1" applyFill="1" applyBorder="1" applyAlignment="1" applyProtection="1">
      <alignment horizontal="center"/>
      <protection locked="0"/>
    </xf>
    <xf numFmtId="166" fontId="28" fillId="2" borderId="0" xfId="1" applyNumberFormat="1" applyFont="1" applyFill="1"/>
    <xf numFmtId="0" fontId="28" fillId="2" borderId="30" xfId="1" applyFont="1" applyFill="1" applyBorder="1" applyAlignment="1">
      <alignment horizontal="right"/>
    </xf>
    <xf numFmtId="1" fontId="28" fillId="2" borderId="0" xfId="1" applyNumberFormat="1" applyFont="1" applyFill="1" applyAlignment="1">
      <alignment horizontal="center"/>
    </xf>
    <xf numFmtId="0" fontId="28" fillId="2" borderId="15" xfId="1" applyFont="1" applyFill="1" applyBorder="1" applyAlignment="1">
      <alignment horizontal="right"/>
    </xf>
    <xf numFmtId="2" fontId="28" fillId="6" borderId="15" xfId="1" applyNumberFormat="1" applyFont="1" applyFill="1" applyBorder="1" applyAlignment="1">
      <alignment horizontal="center"/>
    </xf>
    <xf numFmtId="170" fontId="31" fillId="7" borderId="13" xfId="1" applyNumberFormat="1" applyFont="1" applyFill="1" applyBorder="1" applyAlignment="1">
      <alignment horizontal="center"/>
    </xf>
    <xf numFmtId="170" fontId="28" fillId="2" borderId="0" xfId="1" applyNumberFormat="1" applyFont="1" applyFill="1" applyAlignment="1">
      <alignment horizontal="center"/>
    </xf>
    <xf numFmtId="10" fontId="28" fillId="6" borderId="41" xfId="1" applyNumberFormat="1" applyFont="1" applyFill="1" applyBorder="1" applyAlignment="1">
      <alignment horizontal="center"/>
    </xf>
    <xf numFmtId="0" fontId="28" fillId="2" borderId="43" xfId="1" applyFont="1" applyFill="1" applyBorder="1" applyAlignment="1">
      <alignment horizontal="right"/>
    </xf>
    <xf numFmtId="0" fontId="28" fillId="7" borderId="15" xfId="1" applyFont="1" applyFill="1" applyBorder="1" applyAlignment="1">
      <alignment horizontal="center"/>
    </xf>
    <xf numFmtId="0" fontId="33" fillId="2" borderId="0" xfId="1" applyFont="1" applyFill="1"/>
    <xf numFmtId="0" fontId="31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173" fontId="32" fillId="3" borderId="0" xfId="1" applyNumberFormat="1" applyFont="1" applyFill="1" applyAlignment="1" applyProtection="1">
      <alignment horizontal="center"/>
      <protection locked="0"/>
    </xf>
    <xf numFmtId="166" fontId="31" fillId="2" borderId="0" xfId="1" applyNumberFormat="1" applyFont="1" applyFill="1" applyAlignment="1" applyProtection="1">
      <alignment horizontal="center"/>
      <protection locked="0"/>
    </xf>
    <xf numFmtId="2" fontId="31" fillId="2" borderId="13" xfId="1" applyNumberFormat="1" applyFont="1" applyFill="1" applyBorder="1" applyAlignment="1">
      <alignment horizontal="center"/>
    </xf>
    <xf numFmtId="0" fontId="31" fillId="2" borderId="13" xfId="1" applyFont="1" applyFill="1" applyBorder="1" applyAlignment="1">
      <alignment horizontal="center"/>
    </xf>
    <xf numFmtId="0" fontId="28" fillId="2" borderId="13" xfId="1" applyFont="1" applyFill="1" applyBorder="1" applyAlignment="1">
      <alignment horizontal="center"/>
    </xf>
    <xf numFmtId="0" fontId="32" fillId="3" borderId="21" xfId="1" applyFont="1" applyFill="1" applyBorder="1" applyAlignment="1" applyProtection="1">
      <alignment horizontal="center"/>
      <protection locked="0"/>
    </xf>
    <xf numFmtId="166" fontId="28" fillId="2" borderId="21" xfId="1" applyNumberFormat="1" applyFont="1" applyFill="1" applyBorder="1" applyAlignment="1">
      <alignment horizontal="center"/>
    </xf>
    <xf numFmtId="174" fontId="28" fillId="2" borderId="13" xfId="1" applyNumberFormat="1" applyFont="1" applyFill="1" applyBorder="1" applyAlignment="1">
      <alignment horizontal="center" vertical="center"/>
    </xf>
    <xf numFmtId="0" fontId="28" fillId="2" borderId="14" xfId="1" applyFont="1" applyFill="1" applyBorder="1" applyAlignment="1">
      <alignment horizontal="center"/>
    </xf>
    <xf numFmtId="166" fontId="28" fillId="2" borderId="23" xfId="1" applyNumberFormat="1" applyFont="1" applyFill="1" applyBorder="1" applyAlignment="1">
      <alignment horizontal="center"/>
    </xf>
    <xf numFmtId="174" fontId="28" fillId="2" borderId="14" xfId="1" applyNumberFormat="1" applyFont="1" applyFill="1" applyBorder="1" applyAlignment="1">
      <alignment horizontal="center" vertical="center"/>
    </xf>
    <xf numFmtId="1" fontId="32" fillId="3" borderId="23" xfId="1" applyNumberFormat="1" applyFont="1" applyFill="1" applyBorder="1" applyAlignment="1" applyProtection="1">
      <alignment horizontal="center"/>
      <protection locked="0"/>
    </xf>
    <xf numFmtId="0" fontId="28" fillId="2" borderId="15" xfId="1" applyFont="1" applyFill="1" applyBorder="1" applyAlignment="1">
      <alignment horizontal="center"/>
    </xf>
    <xf numFmtId="0" fontId="32" fillId="3" borderId="43" xfId="1" applyFont="1" applyFill="1" applyBorder="1" applyAlignment="1" applyProtection="1">
      <alignment horizontal="center"/>
      <protection locked="0"/>
    </xf>
    <xf numFmtId="166" fontId="28" fillId="2" borderId="43" xfId="1" applyNumberFormat="1" applyFont="1" applyFill="1" applyBorder="1" applyAlignment="1">
      <alignment horizontal="center"/>
    </xf>
    <xf numFmtId="174" fontId="28" fillId="2" borderId="15" xfId="1" applyNumberFormat="1" applyFont="1" applyFill="1" applyBorder="1" applyAlignment="1">
      <alignment horizontal="center" vertical="center"/>
    </xf>
    <xf numFmtId="0" fontId="23" fillId="2" borderId="31" xfId="1" applyFont="1" applyFill="1" applyBorder="1" applyAlignment="1">
      <alignment horizontal="center"/>
    </xf>
    <xf numFmtId="2" fontId="23" fillId="2" borderId="48" xfId="1" applyNumberFormat="1" applyFont="1" applyFill="1" applyBorder="1" applyAlignment="1">
      <alignment horizontal="center"/>
    </xf>
    <xf numFmtId="0" fontId="28" fillId="2" borderId="60" xfId="1" applyFont="1" applyFill="1" applyBorder="1" applyAlignment="1">
      <alignment horizontal="right"/>
    </xf>
    <xf numFmtId="2" fontId="32" fillId="7" borderId="33" xfId="1" applyNumberFormat="1" applyFont="1" applyFill="1" applyBorder="1" applyAlignment="1">
      <alignment horizontal="center"/>
    </xf>
    <xf numFmtId="174" fontId="32" fillId="7" borderId="33" xfId="1" applyNumberFormat="1" applyFont="1" applyFill="1" applyBorder="1" applyAlignment="1">
      <alignment horizontal="center"/>
    </xf>
    <xf numFmtId="0" fontId="28" fillId="2" borderId="41" xfId="1" applyFont="1" applyFill="1" applyBorder="1" applyAlignment="1">
      <alignment horizontal="right"/>
    </xf>
    <xf numFmtId="10" fontId="32" fillId="6" borderId="61" xfId="1" applyNumberFormat="1" applyFont="1" applyFill="1" applyBorder="1" applyAlignment="1">
      <alignment horizontal="center"/>
    </xf>
    <xf numFmtId="0" fontId="28" fillId="2" borderId="17" xfId="1" applyFont="1" applyFill="1" applyBorder="1" applyAlignment="1">
      <alignment horizontal="right"/>
    </xf>
    <xf numFmtId="0" fontId="32" fillId="7" borderId="62" xfId="1" applyFont="1" applyFill="1" applyBorder="1" applyAlignment="1">
      <alignment horizontal="center"/>
    </xf>
    <xf numFmtId="165" fontId="32" fillId="2" borderId="0" xfId="1" applyNumberFormat="1" applyFont="1" applyFill="1" applyAlignment="1">
      <alignment horizontal="center"/>
    </xf>
    <xf numFmtId="0" fontId="31" fillId="2" borderId="51" xfId="1" applyFont="1" applyFill="1" applyBorder="1" applyAlignment="1">
      <alignment horizontal="center"/>
    </xf>
    <xf numFmtId="0" fontId="31" fillId="2" borderId="40" xfId="1" applyFont="1" applyFill="1" applyBorder="1" applyAlignment="1">
      <alignment horizontal="center"/>
    </xf>
    <xf numFmtId="0" fontId="31" fillId="2" borderId="10" xfId="1" applyFont="1" applyFill="1" applyBorder="1" applyAlignment="1">
      <alignment horizontal="center"/>
    </xf>
    <xf numFmtId="0" fontId="31" fillId="2" borderId="28" xfId="1" applyFont="1" applyFill="1" applyBorder="1" applyAlignment="1">
      <alignment horizontal="center"/>
    </xf>
    <xf numFmtId="0" fontId="28" fillId="2" borderId="52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170" fontId="32" fillId="3" borderId="34" xfId="1" applyNumberFormat="1" applyFont="1" applyFill="1" applyBorder="1" applyAlignment="1" applyProtection="1">
      <alignment horizontal="center"/>
      <protection locked="0"/>
    </xf>
    <xf numFmtId="1" fontId="31" fillId="6" borderId="63" xfId="1" applyNumberFormat="1" applyFont="1" applyFill="1" applyBorder="1" applyAlignment="1">
      <alignment horizontal="center"/>
    </xf>
    <xf numFmtId="1" fontId="31" fillId="6" borderId="53" xfId="1" applyNumberFormat="1" applyFont="1" applyFill="1" applyBorder="1" applyAlignment="1">
      <alignment horizontal="center"/>
    </xf>
    <xf numFmtId="170" fontId="31" fillId="6" borderId="15" xfId="1" applyNumberFormat="1" applyFont="1" applyFill="1" applyBorder="1" applyAlignment="1">
      <alignment horizontal="center"/>
    </xf>
    <xf numFmtId="0" fontId="28" fillId="2" borderId="64" xfId="1" applyFont="1" applyFill="1" applyBorder="1" applyAlignment="1">
      <alignment horizontal="right"/>
    </xf>
    <xf numFmtId="0" fontId="32" fillId="3" borderId="54" xfId="1" applyFont="1" applyFill="1" applyBorder="1" applyAlignment="1" applyProtection="1">
      <alignment horizontal="center"/>
      <protection locked="0"/>
    </xf>
    <xf numFmtId="0" fontId="28" fillId="2" borderId="26" xfId="1" applyFont="1" applyFill="1" applyBorder="1" applyAlignment="1">
      <alignment horizontal="right"/>
    </xf>
    <xf numFmtId="2" fontId="28" fillId="6" borderId="49" xfId="1" applyNumberFormat="1" applyFont="1" applyFill="1" applyBorder="1" applyAlignment="1">
      <alignment horizontal="center"/>
    </xf>
    <xf numFmtId="2" fontId="28" fillId="7" borderId="49" xfId="1" applyNumberFormat="1" applyFont="1" applyFill="1" applyBorder="1" applyAlignment="1">
      <alignment horizontal="center"/>
    </xf>
    <xf numFmtId="166" fontId="28" fillId="6" borderId="49" xfId="1" applyNumberFormat="1" applyFont="1" applyFill="1" applyBorder="1" applyAlignment="1">
      <alignment horizontal="center"/>
    </xf>
    <xf numFmtId="166" fontId="28" fillId="7" borderId="49" xfId="1" applyNumberFormat="1" applyFont="1" applyFill="1" applyBorder="1" applyAlignment="1">
      <alignment horizontal="center"/>
    </xf>
    <xf numFmtId="2" fontId="26" fillId="2" borderId="0" xfId="1" applyNumberFormat="1" applyFont="1" applyFill="1" applyAlignment="1">
      <alignment horizontal="center"/>
    </xf>
    <xf numFmtId="0" fontId="28" fillId="2" borderId="55" xfId="1" applyFont="1" applyFill="1" applyBorder="1" applyAlignment="1">
      <alignment horizontal="right"/>
    </xf>
    <xf numFmtId="2" fontId="28" fillId="7" borderId="28" xfId="1" applyNumberFormat="1" applyFont="1" applyFill="1" applyBorder="1" applyAlignment="1">
      <alignment horizontal="center"/>
    </xf>
    <xf numFmtId="0" fontId="31" fillId="2" borderId="0" xfId="1" applyFont="1" applyFill="1" applyAlignment="1">
      <alignment horizontal="center" wrapText="1"/>
    </xf>
    <xf numFmtId="0" fontId="28" fillId="2" borderId="16" xfId="1" applyFont="1" applyFill="1" applyBorder="1" applyAlignment="1">
      <alignment horizontal="right"/>
    </xf>
    <xf numFmtId="170" fontId="31" fillId="7" borderId="16" xfId="1" applyNumberFormat="1" applyFont="1" applyFill="1" applyBorder="1" applyAlignment="1">
      <alignment horizontal="center"/>
    </xf>
    <xf numFmtId="10" fontId="28" fillId="2" borderId="0" xfId="1" applyNumberFormat="1" applyFont="1" applyFill="1" applyAlignment="1">
      <alignment horizontal="center"/>
    </xf>
    <xf numFmtId="10" fontId="31" fillId="6" borderId="41" xfId="1" applyNumberFormat="1" applyFont="1" applyFill="1" applyBorder="1" applyAlignment="1">
      <alignment horizontal="center"/>
    </xf>
    <xf numFmtId="0" fontId="31" fillId="7" borderId="17" xfId="1" applyFont="1" applyFill="1" applyBorder="1" applyAlignment="1">
      <alignment horizontal="center"/>
    </xf>
    <xf numFmtId="0" fontId="31" fillId="2" borderId="25" xfId="1" applyFont="1" applyFill="1" applyBorder="1" applyAlignment="1">
      <alignment horizontal="center" wrapText="1"/>
    </xf>
    <xf numFmtId="1" fontId="32" fillId="3" borderId="13" xfId="1" applyNumberFormat="1" applyFont="1" applyFill="1" applyBorder="1" applyAlignment="1" applyProtection="1">
      <alignment horizontal="center"/>
      <protection locked="0"/>
    </xf>
    <xf numFmtId="166" fontId="28" fillId="2" borderId="13" xfId="1" applyNumberFormat="1" applyFont="1" applyFill="1" applyBorder="1" applyAlignment="1">
      <alignment horizontal="center"/>
    </xf>
    <xf numFmtId="174" fontId="28" fillId="2" borderId="25" xfId="1" applyNumberFormat="1" applyFont="1" applyFill="1" applyBorder="1" applyAlignment="1">
      <alignment horizontal="center"/>
    </xf>
    <xf numFmtId="1" fontId="32" fillId="3" borderId="14" xfId="1" applyNumberFormat="1" applyFont="1" applyFill="1" applyBorder="1" applyAlignment="1" applyProtection="1">
      <alignment horizontal="center"/>
      <protection locked="0"/>
    </xf>
    <xf numFmtId="166" fontId="28" fillId="2" borderId="14" xfId="1" applyNumberFormat="1" applyFont="1" applyFill="1" applyBorder="1" applyAlignment="1">
      <alignment horizontal="center"/>
    </xf>
    <xf numFmtId="174" fontId="28" fillId="2" borderId="31" xfId="1" applyNumberFormat="1" applyFont="1" applyFill="1" applyBorder="1" applyAlignment="1">
      <alignment horizontal="center"/>
    </xf>
    <xf numFmtId="1" fontId="32" fillId="3" borderId="15" xfId="1" applyNumberFormat="1" applyFont="1" applyFill="1" applyBorder="1" applyAlignment="1" applyProtection="1">
      <alignment horizontal="center"/>
      <protection locked="0"/>
    </xf>
    <xf numFmtId="166" fontId="28" fillId="2" borderId="15" xfId="1" applyNumberFormat="1" applyFont="1" applyFill="1" applyBorder="1" applyAlignment="1">
      <alignment horizontal="center"/>
    </xf>
    <xf numFmtId="174" fontId="28" fillId="2" borderId="48" xfId="1" applyNumberFormat="1" applyFont="1" applyFill="1" applyBorder="1" applyAlignment="1">
      <alignment horizontal="center"/>
    </xf>
    <xf numFmtId="0" fontId="28" fillId="2" borderId="23" xfId="1" applyFont="1" applyFill="1" applyBorder="1" applyAlignment="1">
      <alignment horizontal="center"/>
    </xf>
    <xf numFmtId="170" fontId="28" fillId="2" borderId="16" xfId="1" applyNumberFormat="1" applyFont="1" applyFill="1" applyBorder="1" applyAlignment="1">
      <alignment horizontal="right"/>
    </xf>
    <xf numFmtId="2" fontId="32" fillId="7" borderId="59" xfId="1" applyNumberFormat="1" applyFont="1" applyFill="1" applyBorder="1" applyAlignment="1">
      <alignment horizontal="center"/>
    </xf>
    <xf numFmtId="171" fontId="32" fillId="7" borderId="54" xfId="1" applyNumberFormat="1" applyFont="1" applyFill="1" applyBorder="1" applyAlignment="1">
      <alignment horizontal="center"/>
    </xf>
    <xf numFmtId="0" fontId="28" fillId="2" borderId="23" xfId="1" applyFont="1" applyFill="1" applyBorder="1"/>
    <xf numFmtId="0" fontId="28" fillId="2" borderId="14" xfId="1" applyFont="1" applyFill="1" applyBorder="1" applyAlignment="1">
      <alignment horizontal="right"/>
    </xf>
    <xf numFmtId="10" fontId="32" fillId="6" borderId="49" xfId="1" applyNumberFormat="1" applyFont="1" applyFill="1" applyBorder="1" applyAlignment="1">
      <alignment horizontal="center"/>
    </xf>
    <xf numFmtId="0" fontId="28" fillId="2" borderId="43" xfId="1" applyFont="1" applyFill="1" applyBorder="1"/>
    <xf numFmtId="0" fontId="32" fillId="7" borderId="29" xfId="1" applyFont="1" applyFill="1" applyBorder="1" applyAlignment="1">
      <alignment horizontal="center"/>
    </xf>
    <xf numFmtId="0" fontId="32" fillId="7" borderId="65" xfId="1" applyFont="1" applyFill="1" applyBorder="1" applyAlignment="1">
      <alignment horizontal="center"/>
    </xf>
    <xf numFmtId="0" fontId="28" fillId="2" borderId="13" xfId="1" applyFont="1" applyFill="1" applyBorder="1"/>
    <xf numFmtId="0" fontId="29" fillId="2" borderId="0" xfId="1" applyFont="1" applyFill="1" applyAlignment="1">
      <alignment horizontal="right" vertical="center" wrapText="1"/>
    </xf>
    <xf numFmtId="2" fontId="32" fillId="6" borderId="61" xfId="1" applyNumberFormat="1" applyFont="1" applyFill="1" applyBorder="1" applyAlignment="1">
      <alignment horizontal="center"/>
    </xf>
    <xf numFmtId="171" fontId="32" fillId="6" borderId="61" xfId="1" applyNumberFormat="1" applyFont="1" applyFill="1" applyBorder="1" applyAlignment="1">
      <alignment horizontal="center"/>
    </xf>
    <xf numFmtId="2" fontId="32" fillId="7" borderId="62" xfId="1" applyNumberFormat="1" applyFont="1" applyFill="1" applyBorder="1" applyAlignment="1">
      <alignment horizontal="center"/>
    </xf>
    <xf numFmtId="171" fontId="32" fillId="7" borderId="62" xfId="1" applyNumberFormat="1" applyFont="1" applyFill="1" applyBorder="1" applyAlignment="1">
      <alignment horizontal="center"/>
    </xf>
    <xf numFmtId="175" fontId="40" fillId="2" borderId="0" xfId="1" applyNumberFormat="1" applyFont="1" applyFill="1" applyAlignment="1">
      <alignment horizontal="center"/>
    </xf>
    <xf numFmtId="0" fontId="29" fillId="2" borderId="9" xfId="1" applyFont="1" applyFill="1" applyBorder="1" applyAlignment="1">
      <alignment horizontal="left" vertical="center" wrapText="1"/>
    </xf>
    <xf numFmtId="0" fontId="28" fillId="2" borderId="9" xfId="1" applyFont="1" applyFill="1" applyBorder="1"/>
    <xf numFmtId="0" fontId="28" fillId="2" borderId="10" xfId="1" applyFont="1" applyFill="1" applyBorder="1" applyAlignment="1">
      <alignment horizontal="center"/>
    </xf>
    <xf numFmtId="0" fontId="28" fillId="2" borderId="7" xfId="1" applyFont="1" applyFill="1" applyBorder="1"/>
    <xf numFmtId="0" fontId="31" fillId="2" borderId="11" xfId="1" applyFont="1" applyFill="1" applyBorder="1"/>
    <xf numFmtId="0" fontId="28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3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32" fillId="3" borderId="0" xfId="1" applyFont="1" applyFill="1" applyAlignment="1" applyProtection="1">
      <alignment horizontal="left"/>
      <protection locked="0"/>
    </xf>
    <xf numFmtId="0" fontId="23" fillId="3" borderId="0" xfId="1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29" fillId="2" borderId="18" xfId="1" applyFont="1" applyFill="1" applyBorder="1" applyAlignment="1">
      <alignment horizontal="left" vertical="center" wrapText="1"/>
    </xf>
    <xf numFmtId="0" fontId="29" fillId="2" borderId="19" xfId="1" applyFont="1" applyFill="1" applyBorder="1" applyAlignment="1">
      <alignment horizontal="left" vertical="center" wrapText="1"/>
    </xf>
    <xf numFmtId="0" fontId="29" fillId="2" borderId="20" xfId="1" applyFont="1" applyFill="1" applyBorder="1" applyAlignment="1">
      <alignment horizontal="left" vertical="center" wrapText="1"/>
    </xf>
    <xf numFmtId="0" fontId="25" fillId="2" borderId="0" xfId="1" applyFont="1" applyFill="1" applyAlignment="1">
      <alignment horizontal="center" vertical="center"/>
    </xf>
    <xf numFmtId="0" fontId="27" fillId="2" borderId="0" xfId="1" applyFont="1" applyFill="1" applyAlignment="1">
      <alignment horizontal="center" vertical="center"/>
    </xf>
    <xf numFmtId="0" fontId="29" fillId="2" borderId="18" xfId="1" applyFont="1" applyFill="1" applyBorder="1" applyAlignment="1">
      <alignment horizontal="center"/>
    </xf>
    <xf numFmtId="0" fontId="29" fillId="2" borderId="19" xfId="1" applyFont="1" applyFill="1" applyBorder="1" applyAlignment="1">
      <alignment horizontal="center"/>
    </xf>
    <xf numFmtId="0" fontId="29" fillId="2" borderId="20" xfId="1" applyFont="1" applyFill="1" applyBorder="1" applyAlignment="1">
      <alignment horizontal="center"/>
    </xf>
    <xf numFmtId="0" fontId="30" fillId="2" borderId="10" xfId="1" applyFont="1" applyFill="1" applyBorder="1" applyAlignment="1">
      <alignment horizontal="center" vertical="center"/>
    </xf>
    <xf numFmtId="0" fontId="23" fillId="3" borderId="0" xfId="1" applyFont="1" applyFill="1" applyAlignment="1" applyProtection="1">
      <alignment horizontal="left" wrapText="1"/>
      <protection locked="0"/>
    </xf>
    <xf numFmtId="0" fontId="29" fillId="2" borderId="18" xfId="1" applyFont="1" applyFill="1" applyBorder="1" applyAlignment="1">
      <alignment horizontal="justify" vertical="center" wrapText="1"/>
    </xf>
    <xf numFmtId="0" fontId="29" fillId="2" borderId="19" xfId="1" applyFont="1" applyFill="1" applyBorder="1" applyAlignment="1">
      <alignment horizontal="justify" vertical="center" wrapText="1"/>
    </xf>
    <xf numFmtId="0" fontId="29" fillId="2" borderId="20" xfId="1" applyFont="1" applyFill="1" applyBorder="1" applyAlignment="1">
      <alignment horizontal="justify" vertical="center" wrapText="1"/>
    </xf>
    <xf numFmtId="0" fontId="31" fillId="2" borderId="0" xfId="1" applyFont="1" applyFill="1" applyAlignment="1">
      <alignment horizontal="center"/>
    </xf>
    <xf numFmtId="0" fontId="31" fillId="2" borderId="51" xfId="1" applyFont="1" applyFill="1" applyBorder="1" applyAlignment="1">
      <alignment horizontal="center"/>
    </xf>
    <xf numFmtId="0" fontId="31" fillId="2" borderId="40" xfId="1" applyFont="1" applyFill="1" applyBorder="1" applyAlignment="1">
      <alignment horizontal="center"/>
    </xf>
    <xf numFmtId="0" fontId="31" fillId="2" borderId="59" xfId="1" applyFont="1" applyFill="1" applyBorder="1" applyAlignment="1">
      <alignment horizontal="center"/>
    </xf>
    <xf numFmtId="10" fontId="35" fillId="2" borderId="14" xfId="1" applyNumberFormat="1" applyFont="1" applyFill="1" applyBorder="1" applyAlignment="1">
      <alignment horizontal="center" vertical="center"/>
    </xf>
    <xf numFmtId="0" fontId="29" fillId="2" borderId="21" xfId="1" applyFont="1" applyFill="1" applyBorder="1" applyAlignment="1">
      <alignment horizontal="left" vertical="center" wrapText="1"/>
    </xf>
    <xf numFmtId="0" fontId="29" fillId="2" borderId="25" xfId="1" applyFont="1" applyFill="1" applyBorder="1" applyAlignment="1">
      <alignment horizontal="left" vertical="center" wrapText="1"/>
    </xf>
    <xf numFmtId="0" fontId="29" fillId="2" borderId="43" xfId="1" applyFont="1" applyFill="1" applyBorder="1" applyAlignment="1">
      <alignment horizontal="left" vertical="center" wrapText="1"/>
    </xf>
    <xf numFmtId="0" fontId="29" fillId="2" borderId="48" xfId="1" applyFont="1" applyFill="1" applyBorder="1" applyAlignment="1">
      <alignment horizontal="left" vertical="center" wrapText="1"/>
    </xf>
    <xf numFmtId="0" fontId="31" fillId="2" borderId="10" xfId="1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/>
    </xf>
    <xf numFmtId="0" fontId="31" fillId="2" borderId="9" xfId="1" applyFont="1" applyFill="1" applyBorder="1" applyAlignment="1">
      <alignment horizontal="center" vertical="center"/>
    </xf>
    <xf numFmtId="2" fontId="32" fillId="3" borderId="13" xfId="1" applyNumberFormat="1" applyFont="1" applyFill="1" applyBorder="1" applyAlignment="1" applyProtection="1">
      <alignment horizontal="center" vertical="center"/>
      <protection locked="0"/>
    </xf>
    <xf numFmtId="2" fontId="32" fillId="3" borderId="14" xfId="1" applyNumberFormat="1" applyFont="1" applyFill="1" applyBorder="1" applyAlignment="1" applyProtection="1">
      <alignment horizontal="center" vertical="center"/>
      <protection locked="0"/>
    </xf>
    <xf numFmtId="2" fontId="32" fillId="3" borderId="15" xfId="1" applyNumberFormat="1" applyFont="1" applyFill="1" applyBorder="1" applyAlignment="1" applyProtection="1">
      <alignment horizontal="center" vertical="center"/>
      <protection locked="0"/>
    </xf>
    <xf numFmtId="0" fontId="31" fillId="2" borderId="43" xfId="1" applyFont="1" applyFill="1" applyBorder="1" applyAlignment="1">
      <alignment horizontal="center" vertical="center"/>
    </xf>
    <xf numFmtId="0" fontId="29" fillId="2" borderId="21" xfId="1" applyFont="1" applyFill="1" applyBorder="1" applyAlignment="1">
      <alignment horizontal="center" vertical="center" wrapText="1"/>
    </xf>
    <xf numFmtId="0" fontId="29" fillId="2" borderId="25" xfId="1" applyFont="1" applyFill="1" applyBorder="1" applyAlignment="1">
      <alignment horizontal="center" vertical="center" wrapText="1"/>
    </xf>
    <xf numFmtId="0" fontId="29" fillId="2" borderId="43" xfId="1" applyFont="1" applyFill="1" applyBorder="1" applyAlignment="1">
      <alignment horizontal="center" vertical="center" wrapText="1"/>
    </xf>
    <xf numFmtId="0" fontId="29" fillId="2" borderId="48" xfId="1" applyFont="1" applyFill="1" applyBorder="1" applyAlignment="1">
      <alignment horizontal="center" vertical="center" wrapText="1"/>
    </xf>
    <xf numFmtId="0" fontId="31" fillId="2" borderId="10" xfId="1" applyFont="1" applyFill="1" applyBorder="1" applyAlignment="1">
      <alignment horizontal="center"/>
    </xf>
    <xf numFmtId="0" fontId="29" fillId="2" borderId="10" xfId="1" applyFont="1" applyFill="1" applyBorder="1" applyAlignment="1">
      <alignment horizontal="left" vertical="center" wrapText="1"/>
    </xf>
    <xf numFmtId="0" fontId="29" fillId="2" borderId="9" xfId="1" applyFont="1" applyFill="1" applyBorder="1" applyAlignment="1">
      <alignment horizontal="left" vertical="center" wrapText="1"/>
    </xf>
    <xf numFmtId="0" fontId="31" fillId="2" borderId="51" xfId="1" applyFont="1" applyFill="1" applyBorder="1" applyAlignment="1">
      <alignment horizontal="center" vertical="center"/>
    </xf>
    <xf numFmtId="0" fontId="31" fillId="2" borderId="59" xfId="1" applyFont="1" applyFill="1" applyBorder="1" applyAlignment="1">
      <alignment horizontal="center" vertical="center"/>
    </xf>
    <xf numFmtId="0" fontId="7" fillId="3" borderId="3" xfId="2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32" fillId="3" borderId="30" xfId="0" applyFont="1" applyFill="1" applyBorder="1" applyAlignment="1" applyProtection="1">
      <alignment horizontal="center"/>
      <protection locked="0"/>
    </xf>
    <xf numFmtId="0" fontId="32" fillId="3" borderId="23" xfId="0" applyFont="1" applyFill="1" applyBorder="1" applyAlignment="1" applyProtection="1">
      <alignment horizontal="center"/>
      <protection locked="0"/>
    </xf>
    <xf numFmtId="0" fontId="32" fillId="3" borderId="52" xfId="0" applyFont="1" applyFill="1" applyBorder="1" applyAlignment="1" applyProtection="1">
      <alignment horizontal="center"/>
      <protection locked="0"/>
    </xf>
    <xf numFmtId="0" fontId="32" fillId="3" borderId="0" xfId="0" applyFont="1" applyFill="1" applyAlignment="1" applyProtection="1">
      <alignment horizontal="center"/>
      <protection locked="0"/>
    </xf>
    <xf numFmtId="170" fontId="32" fillId="3" borderId="0" xfId="0" applyNumberFormat="1" applyFont="1" applyFill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tto\AppData\Local\Temp\NDQD20170540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Betahistine Dihydrochloride"/>
      <sheetName val="Betahistine Dihydrochloride 1"/>
    </sheetNames>
    <sheetDataSet>
      <sheetData sheetId="0"/>
      <sheetData sheetId="1">
        <row r="46">
          <cell r="C46">
            <v>308.44099999999997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3" workbookViewId="0">
      <selection activeCell="F47" sqref="F4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17.489999999999998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17.49/50</f>
        <v>0.34979999999999994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68850067</v>
      </c>
      <c r="C24" s="18">
        <v>3155.31</v>
      </c>
      <c r="D24" s="19">
        <v>1.44</v>
      </c>
      <c r="E24" s="20">
        <v>3.54</v>
      </c>
    </row>
    <row r="25" spans="1:6" ht="16.5" customHeight="1" x14ac:dyDescent="0.3">
      <c r="A25" s="17">
        <v>2</v>
      </c>
      <c r="B25" s="18">
        <v>68658863</v>
      </c>
      <c r="C25" s="18">
        <v>3179.78</v>
      </c>
      <c r="D25" s="19">
        <v>1.44</v>
      </c>
      <c r="E25" s="19">
        <v>3.54</v>
      </c>
    </row>
    <row r="26" spans="1:6" ht="16.5" customHeight="1" x14ac:dyDescent="0.3">
      <c r="A26" s="17">
        <v>3</v>
      </c>
      <c r="B26" s="18">
        <v>68549907</v>
      </c>
      <c r="C26" s="18">
        <v>3163.88</v>
      </c>
      <c r="D26" s="19">
        <v>1.41</v>
      </c>
      <c r="E26" s="19">
        <v>3.54</v>
      </c>
    </row>
    <row r="27" spans="1:6" ht="16.5" customHeight="1" x14ac:dyDescent="0.3">
      <c r="A27" s="17">
        <v>4</v>
      </c>
      <c r="B27" s="18">
        <v>68656799</v>
      </c>
      <c r="C27" s="18">
        <v>3167.66</v>
      </c>
      <c r="D27" s="19">
        <v>1.41</v>
      </c>
      <c r="E27" s="19">
        <v>3.54</v>
      </c>
    </row>
    <row r="28" spans="1:6" ht="16.5" customHeight="1" x14ac:dyDescent="0.3">
      <c r="A28" s="17">
        <v>5</v>
      </c>
      <c r="B28" s="18">
        <v>68826120</v>
      </c>
      <c r="C28" s="18">
        <v>3149.45</v>
      </c>
      <c r="D28" s="19">
        <v>1.4</v>
      </c>
      <c r="E28" s="19">
        <v>3.54</v>
      </c>
    </row>
    <row r="29" spans="1:6" ht="16.5" customHeight="1" x14ac:dyDescent="0.3">
      <c r="A29" s="17">
        <v>6</v>
      </c>
      <c r="B29" s="21">
        <v>68868196</v>
      </c>
      <c r="C29" s="21">
        <v>3174.87</v>
      </c>
      <c r="D29" s="22">
        <v>1.41</v>
      </c>
      <c r="E29" s="22">
        <v>3.54</v>
      </c>
    </row>
    <row r="30" spans="1:6" ht="16.5" customHeight="1" x14ac:dyDescent="0.3">
      <c r="A30" s="23" t="s">
        <v>18</v>
      </c>
      <c r="B30" s="24">
        <f>AVERAGE(B24:B29)</f>
        <v>68734992</v>
      </c>
      <c r="C30" s="25">
        <f>AVERAGE(C24:C29)</f>
        <v>3165.1583333333333</v>
      </c>
      <c r="D30" s="26">
        <f>AVERAGE(D24:D29)</f>
        <v>1.4183333333333332</v>
      </c>
      <c r="E30" s="26">
        <f>AVERAGE(E24:E29)</f>
        <v>3.5399999999999996</v>
      </c>
    </row>
    <row r="31" spans="1:6" ht="16.5" customHeight="1" x14ac:dyDescent="0.3">
      <c r="A31" s="27" t="s">
        <v>19</v>
      </c>
      <c r="B31" s="28">
        <f>(STDEV(B24:B29)/B30)</f>
        <v>1.9019918325270627E-3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27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24.61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B41/100*4/50</f>
        <v>1.9687999999999997E-2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520">
        <v>3888276</v>
      </c>
      <c r="C45" s="520">
        <v>7666.94</v>
      </c>
      <c r="D45" s="522">
        <v>1.58</v>
      </c>
      <c r="E45" s="524">
        <v>3.81</v>
      </c>
    </row>
    <row r="46" spans="1:6" ht="16.5" customHeight="1" x14ac:dyDescent="0.3">
      <c r="A46" s="17">
        <v>2</v>
      </c>
      <c r="B46" s="520">
        <v>3874640</v>
      </c>
      <c r="C46" s="520">
        <v>7692.29</v>
      </c>
      <c r="D46" s="522">
        <v>1.66</v>
      </c>
      <c r="E46" s="522">
        <v>3.81</v>
      </c>
    </row>
    <row r="47" spans="1:6" ht="16.5" customHeight="1" x14ac:dyDescent="0.3">
      <c r="A47" s="17">
        <v>3</v>
      </c>
      <c r="B47" s="520">
        <v>3887622</v>
      </c>
      <c r="C47" s="520">
        <v>7708.27</v>
      </c>
      <c r="D47" s="522">
        <v>1.61</v>
      </c>
      <c r="E47" s="522">
        <v>3.81</v>
      </c>
    </row>
    <row r="48" spans="1:6" ht="16.5" customHeight="1" x14ac:dyDescent="0.3">
      <c r="A48" s="17">
        <v>4</v>
      </c>
      <c r="B48" s="520">
        <v>3870717</v>
      </c>
      <c r="C48" s="520">
        <v>7733.5</v>
      </c>
      <c r="D48" s="522">
        <v>1.63</v>
      </c>
      <c r="E48" s="522">
        <v>3.81</v>
      </c>
    </row>
    <row r="49" spans="1:7" ht="16.5" customHeight="1" x14ac:dyDescent="0.3">
      <c r="A49" s="17">
        <v>5</v>
      </c>
      <c r="B49" s="520">
        <v>3884280</v>
      </c>
      <c r="C49" s="520">
        <v>7746.5</v>
      </c>
      <c r="D49" s="522">
        <v>1.62</v>
      </c>
      <c r="E49" s="522">
        <v>3.81</v>
      </c>
    </row>
    <row r="50" spans="1:7" ht="16.5" customHeight="1" x14ac:dyDescent="0.3">
      <c r="A50" s="17">
        <v>6</v>
      </c>
      <c r="B50" s="521">
        <v>3864863</v>
      </c>
      <c r="C50" s="521">
        <v>7725.87</v>
      </c>
      <c r="D50" s="523">
        <v>1.65</v>
      </c>
      <c r="E50" s="523">
        <v>3.81</v>
      </c>
    </row>
    <row r="51" spans="1:7" ht="16.5" customHeight="1" x14ac:dyDescent="0.3">
      <c r="A51" s="23" t="s">
        <v>18</v>
      </c>
      <c r="B51" s="24">
        <f>AVERAGE(B45:B50)</f>
        <v>3878399.6666666665</v>
      </c>
      <c r="C51" s="25">
        <f>AVERAGE(C45:C50)</f>
        <v>7712.2283333333335</v>
      </c>
      <c r="D51" s="26">
        <f>AVERAGE(D45:D50)</f>
        <v>1.6250000000000002</v>
      </c>
      <c r="E51" s="26">
        <f>AVERAGE(E45:E50)</f>
        <v>3.81</v>
      </c>
    </row>
    <row r="52" spans="1:7" ht="16.5" customHeight="1" x14ac:dyDescent="0.3">
      <c r="A52" s="27" t="s">
        <v>19</v>
      </c>
      <c r="B52" s="28">
        <f>(STDEV(B45:B50)/B51)</f>
        <v>2.5093152389949556E-3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4" t="s">
        <v>26</v>
      </c>
      <c r="C59" s="44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4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8" t="s">
        <v>31</v>
      </c>
      <c r="B11" s="449"/>
      <c r="C11" s="449"/>
      <c r="D11" s="449"/>
      <c r="E11" s="449"/>
      <c r="F11" s="450"/>
      <c r="G11" s="91"/>
    </row>
    <row r="12" spans="1:7" ht="16.5" customHeight="1" x14ac:dyDescent="0.3">
      <c r="A12" s="447" t="s">
        <v>32</v>
      </c>
      <c r="B12" s="447"/>
      <c r="C12" s="447"/>
      <c r="D12" s="447"/>
      <c r="E12" s="447"/>
      <c r="F12" s="447"/>
      <c r="G12" s="90"/>
    </row>
    <row r="14" spans="1:7" ht="16.5" customHeight="1" x14ac:dyDescent="0.3">
      <c r="A14" s="452" t="s">
        <v>33</v>
      </c>
      <c r="B14" s="452"/>
      <c r="C14" s="60" t="s">
        <v>5</v>
      </c>
    </row>
    <row r="15" spans="1:7" ht="16.5" customHeight="1" x14ac:dyDescent="0.3">
      <c r="A15" s="452" t="s">
        <v>34</v>
      </c>
      <c r="B15" s="452"/>
      <c r="C15" s="60" t="s">
        <v>7</v>
      </c>
    </row>
    <row r="16" spans="1:7" ht="16.5" customHeight="1" x14ac:dyDescent="0.3">
      <c r="A16" s="452" t="s">
        <v>35</v>
      </c>
      <c r="B16" s="452"/>
      <c r="C16" s="60" t="s">
        <v>9</v>
      </c>
    </row>
    <row r="17" spans="1:5" ht="16.5" customHeight="1" x14ac:dyDescent="0.3">
      <c r="A17" s="452" t="s">
        <v>36</v>
      </c>
      <c r="B17" s="452"/>
      <c r="C17" s="60" t="s">
        <v>11</v>
      </c>
    </row>
    <row r="18" spans="1:5" ht="16.5" customHeight="1" x14ac:dyDescent="0.3">
      <c r="A18" s="452" t="s">
        <v>37</v>
      </c>
      <c r="B18" s="452"/>
      <c r="C18" s="97" t="s">
        <v>12</v>
      </c>
    </row>
    <row r="19" spans="1:5" ht="16.5" customHeight="1" x14ac:dyDescent="0.3">
      <c r="A19" s="452" t="s">
        <v>38</v>
      </c>
      <c r="B19" s="45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47" t="s">
        <v>1</v>
      </c>
      <c r="B21" s="447"/>
      <c r="C21" s="59" t="s">
        <v>39</v>
      </c>
      <c r="D21" s="66"/>
    </row>
    <row r="22" spans="1:5" ht="15.75" customHeight="1" x14ac:dyDescent="0.3">
      <c r="A22" s="451"/>
      <c r="B22" s="451"/>
      <c r="C22" s="57"/>
      <c r="D22" s="451"/>
      <c r="E22" s="45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307.64</v>
      </c>
      <c r="D24" s="87">
        <f t="shared" ref="D24:D43" si="0">(C24-$C$46)/$C$46</f>
        <v>-2.596931017601382E-3</v>
      </c>
      <c r="E24" s="53"/>
    </row>
    <row r="25" spans="1:5" ht="15.75" customHeight="1" x14ac:dyDescent="0.3">
      <c r="C25" s="95">
        <v>309.47000000000003</v>
      </c>
      <c r="D25" s="88">
        <f t="shared" si="0"/>
        <v>3.3361323559450698E-3</v>
      </c>
      <c r="E25" s="53"/>
    </row>
    <row r="26" spans="1:5" ht="15.75" customHeight="1" x14ac:dyDescent="0.3">
      <c r="C26" s="95">
        <v>310.52999999999997</v>
      </c>
      <c r="D26" s="88">
        <f t="shared" si="0"/>
        <v>6.772770157015438E-3</v>
      </c>
      <c r="E26" s="53"/>
    </row>
    <row r="27" spans="1:5" ht="15.75" customHeight="1" x14ac:dyDescent="0.3">
      <c r="C27" s="95">
        <v>310.45</v>
      </c>
      <c r="D27" s="88">
        <f t="shared" si="0"/>
        <v>6.5134012663686566E-3</v>
      </c>
      <c r="E27" s="53"/>
    </row>
    <row r="28" spans="1:5" ht="15.75" customHeight="1" x14ac:dyDescent="0.3">
      <c r="C28" s="95">
        <v>308.91000000000003</v>
      </c>
      <c r="D28" s="88">
        <f t="shared" si="0"/>
        <v>1.5205501214172273E-3</v>
      </c>
      <c r="E28" s="53"/>
    </row>
    <row r="29" spans="1:5" ht="15.75" customHeight="1" x14ac:dyDescent="0.3">
      <c r="C29" s="95">
        <v>308.12</v>
      </c>
      <c r="D29" s="88">
        <f t="shared" si="0"/>
        <v>-1.0407176737203211E-3</v>
      </c>
      <c r="E29" s="53"/>
    </row>
    <row r="30" spans="1:5" ht="15.75" customHeight="1" x14ac:dyDescent="0.3">
      <c r="C30" s="95">
        <v>309.45999999999998</v>
      </c>
      <c r="D30" s="88">
        <f t="shared" si="0"/>
        <v>3.3037112446140608E-3</v>
      </c>
      <c r="E30" s="53"/>
    </row>
    <row r="31" spans="1:5" ht="15.75" customHeight="1" x14ac:dyDescent="0.3">
      <c r="C31" s="95">
        <v>307.3</v>
      </c>
      <c r="D31" s="88">
        <f t="shared" si="0"/>
        <v>-3.6992488028503435E-3</v>
      </c>
      <c r="E31" s="53"/>
    </row>
    <row r="32" spans="1:5" ht="15.75" customHeight="1" x14ac:dyDescent="0.3">
      <c r="C32" s="95">
        <v>310.10000000000002</v>
      </c>
      <c r="D32" s="88">
        <f t="shared" si="0"/>
        <v>5.3786623697888699E-3</v>
      </c>
      <c r="E32" s="53"/>
    </row>
    <row r="33" spans="1:7" ht="15.75" customHeight="1" x14ac:dyDescent="0.3">
      <c r="C33" s="95">
        <v>309.41000000000003</v>
      </c>
      <c r="D33" s="88">
        <f t="shared" si="0"/>
        <v>3.1416056879599373E-3</v>
      </c>
      <c r="E33" s="53"/>
    </row>
    <row r="34" spans="1:7" ht="15.75" customHeight="1" x14ac:dyDescent="0.3">
      <c r="C34" s="95">
        <v>306.45</v>
      </c>
      <c r="D34" s="88">
        <f t="shared" si="0"/>
        <v>-6.4550432659730246E-3</v>
      </c>
      <c r="E34" s="53"/>
    </row>
    <row r="35" spans="1:7" ht="15.75" customHeight="1" x14ac:dyDescent="0.3">
      <c r="C35" s="95">
        <v>307.8</v>
      </c>
      <c r="D35" s="88">
        <f t="shared" si="0"/>
        <v>-2.0781932363076335E-3</v>
      </c>
      <c r="E35" s="53"/>
    </row>
    <row r="36" spans="1:7" ht="15.75" customHeight="1" x14ac:dyDescent="0.3">
      <c r="C36" s="95">
        <v>309.42</v>
      </c>
      <c r="D36" s="88">
        <f t="shared" si="0"/>
        <v>3.174026799290762E-3</v>
      </c>
      <c r="E36" s="53"/>
    </row>
    <row r="37" spans="1:7" ht="15.75" customHeight="1" x14ac:dyDescent="0.3">
      <c r="C37" s="95">
        <v>307.55</v>
      </c>
      <c r="D37" s="88">
        <f t="shared" si="0"/>
        <v>-2.8887210195789885E-3</v>
      </c>
      <c r="E37" s="53"/>
    </row>
    <row r="38" spans="1:7" ht="15.75" customHeight="1" x14ac:dyDescent="0.3">
      <c r="C38" s="95">
        <v>309.19</v>
      </c>
      <c r="D38" s="88">
        <f t="shared" si="0"/>
        <v>2.4283412386810563E-3</v>
      </c>
      <c r="E38" s="53"/>
    </row>
    <row r="39" spans="1:7" ht="15.75" customHeight="1" x14ac:dyDescent="0.3">
      <c r="C39" s="95">
        <v>306.13</v>
      </c>
      <c r="D39" s="88">
        <f t="shared" si="0"/>
        <v>-7.4925188285603368E-3</v>
      </c>
      <c r="E39" s="53"/>
    </row>
    <row r="40" spans="1:7" ht="15.75" customHeight="1" x14ac:dyDescent="0.3">
      <c r="C40" s="95">
        <v>307.24</v>
      </c>
      <c r="D40" s="88">
        <f t="shared" si="0"/>
        <v>-3.893775470835476E-3</v>
      </c>
      <c r="E40" s="53"/>
    </row>
    <row r="41" spans="1:7" ht="15.75" customHeight="1" x14ac:dyDescent="0.3">
      <c r="C41" s="95">
        <v>309.06</v>
      </c>
      <c r="D41" s="88">
        <f t="shared" si="0"/>
        <v>2.0068667913799667E-3</v>
      </c>
      <c r="E41" s="53"/>
    </row>
    <row r="42" spans="1:7" ht="15.75" customHeight="1" x14ac:dyDescent="0.3">
      <c r="C42" s="95">
        <v>307.95</v>
      </c>
      <c r="D42" s="88">
        <f t="shared" si="0"/>
        <v>-1.591876566344894E-3</v>
      </c>
      <c r="E42" s="53"/>
    </row>
    <row r="43" spans="1:7" ht="16.5" customHeight="1" x14ac:dyDescent="0.3">
      <c r="C43" s="96">
        <v>306.64</v>
      </c>
      <c r="D43" s="89">
        <f t="shared" si="0"/>
        <v>-5.8390421506868016E-3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6168.82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308.44099999999997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45">
        <f>C46</f>
        <v>308.44099999999997</v>
      </c>
      <c r="C49" s="93">
        <f>-IF(C46&lt;=80,10%,IF(C46&lt;250,7.5%,5%))</f>
        <v>-0.05</v>
      </c>
      <c r="D49" s="81">
        <f>IF(C46&lt;=80,C46*0.9,IF(C46&lt;250,C46*0.925,C46*0.95))</f>
        <v>293.01894999999996</v>
      </c>
    </row>
    <row r="50" spans="1:6" ht="17.25" customHeight="1" x14ac:dyDescent="0.3">
      <c r="B50" s="446"/>
      <c r="C50" s="94">
        <f>IF(C46&lt;=80, 10%, IF(C46&lt;250, 7.5%, 5%))</f>
        <v>0.05</v>
      </c>
      <c r="D50" s="81">
        <f>IF(C46&lt;=80, C46*1.1, IF(C46&lt;250, C46*1.075, C46*1.05))</f>
        <v>323.86304999999999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108" zoomScale="60" zoomScaleNormal="70" workbookViewId="0">
      <selection activeCell="C142" sqref="C14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69" t="s">
        <v>45</v>
      </c>
      <c r="B1" s="469"/>
      <c r="C1" s="469"/>
      <c r="D1" s="469"/>
      <c r="E1" s="469"/>
      <c r="F1" s="469"/>
      <c r="G1" s="469"/>
    </row>
    <row r="2" spans="1:7" x14ac:dyDescent="0.2">
      <c r="A2" s="469"/>
      <c r="B2" s="469"/>
      <c r="C2" s="469"/>
      <c r="D2" s="469"/>
      <c r="E2" s="469"/>
      <c r="F2" s="469"/>
      <c r="G2" s="469"/>
    </row>
    <row r="3" spans="1:7" x14ac:dyDescent="0.2">
      <c r="A3" s="469"/>
      <c r="B3" s="469"/>
      <c r="C3" s="469"/>
      <c r="D3" s="469"/>
      <c r="E3" s="469"/>
      <c r="F3" s="469"/>
      <c r="G3" s="469"/>
    </row>
    <row r="4" spans="1:7" x14ac:dyDescent="0.2">
      <c r="A4" s="469"/>
      <c r="B4" s="469"/>
      <c r="C4" s="469"/>
      <c r="D4" s="469"/>
      <c r="E4" s="469"/>
      <c r="F4" s="469"/>
      <c r="G4" s="469"/>
    </row>
    <row r="5" spans="1:7" x14ac:dyDescent="0.2">
      <c r="A5" s="469"/>
      <c r="B5" s="469"/>
      <c r="C5" s="469"/>
      <c r="D5" s="469"/>
      <c r="E5" s="469"/>
      <c r="F5" s="469"/>
      <c r="G5" s="469"/>
    </row>
    <row r="6" spans="1:7" x14ac:dyDescent="0.2">
      <c r="A6" s="469"/>
      <c r="B6" s="469"/>
      <c r="C6" s="469"/>
      <c r="D6" s="469"/>
      <c r="E6" s="469"/>
      <c r="F6" s="469"/>
      <c r="G6" s="469"/>
    </row>
    <row r="7" spans="1:7" x14ac:dyDescent="0.2">
      <c r="A7" s="469"/>
      <c r="B7" s="469"/>
      <c r="C7" s="469"/>
      <c r="D7" s="469"/>
      <c r="E7" s="469"/>
      <c r="F7" s="469"/>
      <c r="G7" s="469"/>
    </row>
    <row r="8" spans="1:7" x14ac:dyDescent="0.2">
      <c r="A8" s="470" t="s">
        <v>46</v>
      </c>
      <c r="B8" s="470"/>
      <c r="C8" s="470"/>
      <c r="D8" s="470"/>
      <c r="E8" s="470"/>
      <c r="F8" s="470"/>
      <c r="G8" s="470"/>
    </row>
    <row r="9" spans="1:7" x14ac:dyDescent="0.2">
      <c r="A9" s="470"/>
      <c r="B9" s="470"/>
      <c r="C9" s="470"/>
      <c r="D9" s="470"/>
      <c r="E9" s="470"/>
      <c r="F9" s="470"/>
      <c r="G9" s="470"/>
    </row>
    <row r="10" spans="1:7" x14ac:dyDescent="0.2">
      <c r="A10" s="470"/>
      <c r="B10" s="470"/>
      <c r="C10" s="470"/>
      <c r="D10" s="470"/>
      <c r="E10" s="470"/>
      <c r="F10" s="470"/>
      <c r="G10" s="470"/>
    </row>
    <row r="11" spans="1:7" x14ac:dyDescent="0.2">
      <c r="A11" s="470"/>
      <c r="B11" s="470"/>
      <c r="C11" s="470"/>
      <c r="D11" s="470"/>
      <c r="E11" s="470"/>
      <c r="F11" s="470"/>
      <c r="G11" s="470"/>
    </row>
    <row r="12" spans="1:7" x14ac:dyDescent="0.2">
      <c r="A12" s="470"/>
      <c r="B12" s="470"/>
      <c r="C12" s="470"/>
      <c r="D12" s="470"/>
      <c r="E12" s="470"/>
      <c r="F12" s="470"/>
      <c r="G12" s="470"/>
    </row>
    <row r="13" spans="1:7" x14ac:dyDescent="0.2">
      <c r="A13" s="470"/>
      <c r="B13" s="470"/>
      <c r="C13" s="470"/>
      <c r="D13" s="470"/>
      <c r="E13" s="470"/>
      <c r="F13" s="470"/>
      <c r="G13" s="470"/>
    </row>
    <row r="14" spans="1:7" x14ac:dyDescent="0.2">
      <c r="A14" s="470"/>
      <c r="B14" s="470"/>
      <c r="C14" s="470"/>
      <c r="D14" s="470"/>
      <c r="E14" s="470"/>
      <c r="F14" s="470"/>
      <c r="G14" s="470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453" t="s">
        <v>31</v>
      </c>
      <c r="B16" s="454"/>
      <c r="C16" s="454"/>
      <c r="D16" s="454"/>
      <c r="E16" s="454"/>
      <c r="F16" s="454"/>
      <c r="G16" s="454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455" t="s">
        <v>5</v>
      </c>
      <c r="C18" s="456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3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457" t="s">
        <v>9</v>
      </c>
      <c r="C20" s="457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458" t="s">
        <v>124</v>
      </c>
      <c r="C26" s="456"/>
      <c r="D26" s="98"/>
      <c r="E26" s="98"/>
      <c r="F26" s="98"/>
      <c r="G26" s="98"/>
    </row>
    <row r="27" spans="1:7" ht="26.25" customHeight="1" x14ac:dyDescent="0.4">
      <c r="A27" s="109" t="s">
        <v>48</v>
      </c>
      <c r="B27" s="458" t="s">
        <v>125</v>
      </c>
      <c r="C27" s="457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99.5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459" t="s">
        <v>50</v>
      </c>
      <c r="D29" s="460"/>
      <c r="E29" s="460"/>
      <c r="F29" s="460"/>
      <c r="G29" s="461"/>
    </row>
    <row r="30" spans="1:7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459" t="s">
        <v>53</v>
      </c>
      <c r="D31" s="460"/>
      <c r="E31" s="460"/>
      <c r="F31" s="460"/>
      <c r="G31" s="461"/>
    </row>
    <row r="32" spans="1:7" ht="27" customHeight="1" x14ac:dyDescent="0.4">
      <c r="A32" s="109" t="s">
        <v>54</v>
      </c>
      <c r="B32" s="115">
        <v>1</v>
      </c>
      <c r="C32" s="459" t="s">
        <v>55</v>
      </c>
      <c r="D32" s="460"/>
      <c r="E32" s="460"/>
      <c r="F32" s="460"/>
      <c r="G32" s="461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50</v>
      </c>
      <c r="C36" s="98"/>
      <c r="D36" s="462" t="s">
        <v>59</v>
      </c>
      <c r="E36" s="463"/>
      <c r="F36" s="462" t="s">
        <v>60</v>
      </c>
      <c r="G36" s="464"/>
    </row>
    <row r="37" spans="1:7" ht="26.25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</v>
      </c>
      <c r="C38" s="127">
        <v>1</v>
      </c>
      <c r="D38" s="128">
        <v>69730883</v>
      </c>
      <c r="E38" s="129">
        <f>IF(ISBLANK(D38),"-",$D$48/$D$45*D38)</f>
        <v>64110956.612680338</v>
      </c>
      <c r="F38" s="128">
        <v>63600538</v>
      </c>
      <c r="G38" s="130">
        <f>IF(ISBLANK(F38),"-",$D$48/$F$45*F38)</f>
        <v>62475395.179931417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69267502</v>
      </c>
      <c r="E39" s="133">
        <f>IF(ISBLANK(D39),"-",$D$48/$D$45*D39)</f>
        <v>63684921.577584907</v>
      </c>
      <c r="F39" s="132">
        <v>63800706</v>
      </c>
      <c r="G39" s="134">
        <f>IF(ISBLANK(F39),"-",$D$48/$F$45*F39)</f>
        <v>62672022.052842095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69208659</v>
      </c>
      <c r="E40" s="133">
        <f>IF(ISBLANK(D40),"-",$D$48/$D$45*D40)</f>
        <v>63630821.000370644</v>
      </c>
      <c r="F40" s="132">
        <v>64386566</v>
      </c>
      <c r="G40" s="134">
        <f>IF(ISBLANK(F40),"-",$D$48/$F$45*F40)</f>
        <v>63247517.735286079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69402348</v>
      </c>
      <c r="E42" s="141">
        <f>AVERAGE(E38:E41)</f>
        <v>63808899.730211966</v>
      </c>
      <c r="F42" s="140">
        <f>AVERAGE(F38:F41)</f>
        <v>63929270</v>
      </c>
      <c r="G42" s="142">
        <f>AVERAGE(G38:G41)</f>
        <v>62798311.656019866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17.489999999999998</v>
      </c>
      <c r="E43" s="145"/>
      <c r="F43" s="144">
        <v>16.37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17.489999999999998</v>
      </c>
      <c r="E44" s="148"/>
      <c r="F44" s="147">
        <f>F43*$B$34</f>
        <v>16.37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50</v>
      </c>
      <c r="C45" s="146" t="s">
        <v>76</v>
      </c>
      <c r="D45" s="150">
        <f>D44*$B$30/100</f>
        <v>17.402549999999998</v>
      </c>
      <c r="E45" s="151"/>
      <c r="F45" s="150">
        <f>F44*$B$30/100</f>
        <v>16.288150000000002</v>
      </c>
      <c r="G45" s="98"/>
    </row>
    <row r="46" spans="1:7" ht="19.5" customHeight="1" x14ac:dyDescent="0.3">
      <c r="A46" s="465" t="s">
        <v>77</v>
      </c>
      <c r="B46" s="466"/>
      <c r="C46" s="146" t="s">
        <v>78</v>
      </c>
      <c r="D46" s="147">
        <f>D45/$B$45</f>
        <v>0.34805099999999994</v>
      </c>
      <c r="E46" s="151"/>
      <c r="F46" s="152">
        <f>F45/$B$45</f>
        <v>0.32576300000000002</v>
      </c>
      <c r="G46" s="98"/>
    </row>
    <row r="47" spans="1:7" ht="27" customHeight="1" x14ac:dyDescent="0.4">
      <c r="A47" s="467"/>
      <c r="B47" s="468"/>
      <c r="C47" s="153" t="s">
        <v>79</v>
      </c>
      <c r="D47" s="154">
        <v>0.32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16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16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63303605.693115912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9.9714874672075082E-3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tablets contains betahistine dihydrochloride BP 24mg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24</v>
      </c>
      <c r="C56" s="98" t="str">
        <f>B20</f>
        <v>Betahistine Dihydrochloride BP 24mg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308.44099999999997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50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20</v>
      </c>
      <c r="C59" s="175">
        <v>1</v>
      </c>
      <c r="D59" s="277">
        <v>72064620</v>
      </c>
      <c r="E59" s="176">
        <f t="shared" ref="E59:E68" si="0">IF(ISBLANK(D59),"-",D59/$D$50*$D$47*$B$67)</f>
        <v>22.767935320890206</v>
      </c>
      <c r="F59" s="177">
        <f t="shared" ref="F59:F68" si="1">IF(ISBLANK(D59),"-",E59/$E$70*100)</f>
        <v>99.381937211946877</v>
      </c>
      <c r="G59" s="178">
        <f t="shared" ref="G59:G68" si="2">IF(ISBLANK(D59),"-",E59/$B$56*100)</f>
        <v>94.866397170375862</v>
      </c>
    </row>
    <row r="60" spans="1:7" ht="26.25" customHeight="1" x14ac:dyDescent="0.4">
      <c r="A60" s="121" t="s">
        <v>65</v>
      </c>
      <c r="B60" s="122">
        <v>25</v>
      </c>
      <c r="C60" s="179">
        <v>2</v>
      </c>
      <c r="D60" s="278">
        <v>71504884</v>
      </c>
      <c r="E60" s="180">
        <f t="shared" si="0"/>
        <v>22.591093577399793</v>
      </c>
      <c r="F60" s="181">
        <f t="shared" si="1"/>
        <v>98.610023781927154</v>
      </c>
      <c r="G60" s="182">
        <f t="shared" si="2"/>
        <v>94.129556572499141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8">
        <v>72237231</v>
      </c>
      <c r="E61" s="180">
        <f t="shared" si="0"/>
        <v>22.822469655265021</v>
      </c>
      <c r="F61" s="181">
        <f t="shared" si="1"/>
        <v>99.619979340859658</v>
      </c>
      <c r="G61" s="182">
        <f t="shared" si="2"/>
        <v>95.093623563604254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8">
        <v>71840605</v>
      </c>
      <c r="E62" s="180">
        <f t="shared" si="0"/>
        <v>22.69716052139901</v>
      </c>
      <c r="F62" s="181">
        <f t="shared" si="1"/>
        <v>99.073005524462303</v>
      </c>
      <c r="G62" s="182">
        <f t="shared" si="2"/>
        <v>94.571502172495869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8">
        <v>72467331</v>
      </c>
      <c r="E63" s="180">
        <f t="shared" si="0"/>
        <v>22.895166936085161</v>
      </c>
      <c r="F63" s="181">
        <f t="shared" si="1"/>
        <v>99.937302650862094</v>
      </c>
      <c r="G63" s="182">
        <f t="shared" si="2"/>
        <v>95.396528900354838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8">
        <v>71425848</v>
      </c>
      <c r="E64" s="180">
        <f t="shared" si="0"/>
        <v>22.566123119829605</v>
      </c>
      <c r="F64" s="181">
        <f t="shared" si="1"/>
        <v>98.501027844815681</v>
      </c>
      <c r="G64" s="182">
        <f t="shared" si="2"/>
        <v>94.025512999290015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8">
        <v>73967748</v>
      </c>
      <c r="E65" s="180">
        <f t="shared" si="0"/>
        <v>23.369205336764502</v>
      </c>
      <c r="F65" s="181">
        <f t="shared" si="1"/>
        <v>102.00647817812832</v>
      </c>
      <c r="G65" s="182">
        <f t="shared" si="2"/>
        <v>97.371688903185429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8">
        <v>73373623</v>
      </c>
      <c r="E66" s="180">
        <f t="shared" si="0"/>
        <v>23.181498809310057</v>
      </c>
      <c r="F66" s="181">
        <f t="shared" si="1"/>
        <v>101.18714001404656</v>
      </c>
      <c r="G66" s="182">
        <f t="shared" si="2"/>
        <v>96.589578372125246</v>
      </c>
    </row>
    <row r="67" spans="1:7" ht="27" customHeight="1" x14ac:dyDescent="0.4">
      <c r="A67" s="121" t="s">
        <v>75</v>
      </c>
      <c r="B67" s="149">
        <f>(B66/B65)*(B64/B63)*(B62/B61)*(B60/B59)*B58</f>
        <v>62.5</v>
      </c>
      <c r="C67" s="179">
        <v>9</v>
      </c>
      <c r="D67" s="278">
        <v>73441496</v>
      </c>
      <c r="E67" s="180">
        <f t="shared" si="0"/>
        <v>23.202942453556499</v>
      </c>
      <c r="F67" s="181">
        <f t="shared" si="1"/>
        <v>101.28074142656199</v>
      </c>
      <c r="G67" s="182">
        <f t="shared" si="2"/>
        <v>96.678926889818754</v>
      </c>
    </row>
    <row r="68" spans="1:7" ht="27" customHeight="1" x14ac:dyDescent="0.4">
      <c r="A68" s="465" t="s">
        <v>77</v>
      </c>
      <c r="B68" s="473"/>
      <c r="C68" s="183">
        <v>10</v>
      </c>
      <c r="D68" s="279">
        <v>72804560</v>
      </c>
      <c r="E68" s="184">
        <f t="shared" si="0"/>
        <v>23.001710314241166</v>
      </c>
      <c r="F68" s="185">
        <f t="shared" si="1"/>
        <v>100.40236402638936</v>
      </c>
      <c r="G68" s="186">
        <f t="shared" si="2"/>
        <v>95.840459642671533</v>
      </c>
    </row>
    <row r="69" spans="1:7" ht="19.5" customHeight="1" x14ac:dyDescent="0.3">
      <c r="A69" s="467"/>
      <c r="B69" s="474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22.909530604474103</v>
      </c>
      <c r="F70" s="191">
        <f>AVERAGE(F59:F68)</f>
        <v>100.00000000000001</v>
      </c>
      <c r="G70" s="192">
        <f>AVERAGE(G59:G68)</f>
        <v>95.4563775186421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1.1928523210794486E-2</v>
      </c>
      <c r="F71" s="193">
        <f>STDEV(F59:F68)/F70</f>
        <v>1.1928523210794514E-2</v>
      </c>
      <c r="G71" s="194">
        <f>STDEV(G59:G68)/G70</f>
        <v>1.1928523210794528E-2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472" t="str">
        <f>B20</f>
        <v>Betahistine Dihydrochloride BP 24mg</v>
      </c>
      <c r="D74" s="472"/>
      <c r="E74" s="202" t="s">
        <v>97</v>
      </c>
      <c r="F74" s="202"/>
      <c r="G74" s="203">
        <f>G70</f>
        <v>95.4563775186421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475" t="s">
        <v>99</v>
      </c>
      <c r="C78" s="476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95.4563775186421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1.1386536148494872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5.7763911569966702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455" t="s">
        <v>124</v>
      </c>
      <c r="C87" s="455"/>
      <c r="D87" s="98"/>
      <c r="E87" s="98"/>
      <c r="F87" s="98"/>
      <c r="G87" s="98"/>
    </row>
    <row r="88" spans="1:7" ht="26.25" customHeight="1" x14ac:dyDescent="0.4">
      <c r="A88" s="109" t="s">
        <v>48</v>
      </c>
      <c r="B88" s="477" t="s">
        <v>125</v>
      </c>
      <c r="C88" s="478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99.5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479" t="s">
        <v>106</v>
      </c>
      <c r="D90" s="480"/>
      <c r="E90" s="480"/>
      <c r="F90" s="480"/>
      <c r="G90" s="481"/>
    </row>
    <row r="91" spans="1:7" ht="18.75" customHeight="1" x14ac:dyDescent="0.3">
      <c r="A91" s="109" t="s">
        <v>51</v>
      </c>
      <c r="B91" s="113">
        <f>B89-B90</f>
        <v>99.5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459" t="s">
        <v>107</v>
      </c>
      <c r="D93" s="460"/>
      <c r="E93" s="460"/>
      <c r="F93" s="460"/>
      <c r="G93" s="460"/>
    </row>
    <row r="94" spans="1:7" ht="27" customHeight="1" x14ac:dyDescent="0.4">
      <c r="A94" s="109" t="s">
        <v>54</v>
      </c>
      <c r="B94" s="115">
        <v>1</v>
      </c>
      <c r="C94" s="459" t="s">
        <v>108</v>
      </c>
      <c r="D94" s="460"/>
      <c r="E94" s="460"/>
      <c r="F94" s="460"/>
      <c r="G94" s="460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100</v>
      </c>
      <c r="C98" s="98"/>
      <c r="D98" s="215" t="s">
        <v>59</v>
      </c>
      <c r="E98" s="216"/>
      <c r="F98" s="462" t="s">
        <v>60</v>
      </c>
      <c r="G98" s="464"/>
    </row>
    <row r="99" spans="1:7" ht="26.25" customHeight="1" x14ac:dyDescent="0.4">
      <c r="A99" s="121" t="s">
        <v>61</v>
      </c>
      <c r="B99" s="217">
        <v>4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50</v>
      </c>
      <c r="C100" s="127">
        <v>1</v>
      </c>
      <c r="D100" s="525">
        <v>3902743</v>
      </c>
      <c r="E100" s="218">
        <f>IF(ISBLANK(D100),"-",$D$110/$D$107*D100)</f>
        <v>2656342.1196460426</v>
      </c>
      <c r="F100" s="527">
        <v>3424017</v>
      </c>
      <c r="G100" s="130">
        <f>IF(ISBLANK(F100),"-",$D$110/$F$107*F100)</f>
        <v>2616501.7606279575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526">
        <v>3877213</v>
      </c>
      <c r="E101" s="219">
        <f>IF(ISBLANK(D101),"-",$D$110/$D$107*D101)</f>
        <v>2638965.5170066776</v>
      </c>
      <c r="F101" s="528">
        <v>3442535</v>
      </c>
      <c r="G101" s="134">
        <f>IF(ISBLANK(F101),"-",$D$110/$F$107*F101)</f>
        <v>2630652.5021702186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526">
        <v>3880834</v>
      </c>
      <c r="E102" s="219">
        <f>IF(ISBLANK(D102),"-",$D$110/$D$107*D102)</f>
        <v>2641430.0950778546</v>
      </c>
      <c r="F102" s="529">
        <v>3431628</v>
      </c>
      <c r="G102" s="134">
        <f>IF(ISBLANK(F102),"-",$D$110/$F$107*F102)</f>
        <v>2622317.7933462937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0" t="str">
        <f>IF(ISBLANK(D103),"-",$D$110/$D$107*D103)</f>
        <v>-</v>
      </c>
      <c r="F103" s="221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2">
        <f>AVERAGE(D100:D103)</f>
        <v>3886930</v>
      </c>
      <c r="E104" s="141">
        <f>AVERAGE(E100:E103)</f>
        <v>2645579.2439101916</v>
      </c>
      <c r="F104" s="222">
        <f>AVERAGE(F100:F103)</f>
        <v>3432726.6666666665</v>
      </c>
      <c r="G104" s="223">
        <f>AVERAGE(G100:G103)</f>
        <v>2623157.3520481568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4">
        <v>24.61</v>
      </c>
      <c r="E105" s="145"/>
      <c r="F105" s="144">
        <v>21.92</v>
      </c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5">
        <f>D105*$B$96</f>
        <v>24.61</v>
      </c>
      <c r="E106" s="148"/>
      <c r="F106" s="147">
        <f>F105*$B$96</f>
        <v>21.92</v>
      </c>
      <c r="G106" s="98"/>
    </row>
    <row r="107" spans="1:7" ht="19.5" customHeight="1" x14ac:dyDescent="0.3">
      <c r="A107" s="121" t="s">
        <v>75</v>
      </c>
      <c r="B107" s="257">
        <f>(B106/B105)*(B104/B103)*(B102/B101)*(B100/B99)*B98</f>
        <v>1250</v>
      </c>
      <c r="C107" s="146" t="s">
        <v>76</v>
      </c>
      <c r="D107" s="226">
        <f>D106*$B$91/100</f>
        <v>24.48695</v>
      </c>
      <c r="E107" s="151"/>
      <c r="F107" s="150">
        <f>F106*$B$91/100</f>
        <v>21.810400000000001</v>
      </c>
      <c r="G107" s="98"/>
    </row>
    <row r="108" spans="1:7" ht="19.5" customHeight="1" x14ac:dyDescent="0.3">
      <c r="A108" s="465" t="s">
        <v>77</v>
      </c>
      <c r="B108" s="466"/>
      <c r="C108" s="146" t="s">
        <v>78</v>
      </c>
      <c r="D108" s="225">
        <f>D107/$B$107</f>
        <v>1.9589559999999999E-2</v>
      </c>
      <c r="E108" s="151"/>
      <c r="F108" s="152">
        <f>F107/$B$107</f>
        <v>1.744832E-2</v>
      </c>
      <c r="G108" s="227"/>
    </row>
    <row r="109" spans="1:7" ht="19.5" customHeight="1" x14ac:dyDescent="0.3">
      <c r="A109" s="467"/>
      <c r="B109" s="468"/>
      <c r="C109" s="275" t="s">
        <v>79</v>
      </c>
      <c r="D109" s="229">
        <f>$B$56/$B$125</f>
        <v>1.3333333333333334E-2</v>
      </c>
      <c r="E109" s="98"/>
      <c r="F109" s="155"/>
      <c r="G109" s="230"/>
    </row>
    <row r="110" spans="1:7" ht="18.75" customHeight="1" x14ac:dyDescent="0.3">
      <c r="A110" s="98"/>
      <c r="B110" s="98"/>
      <c r="C110" s="228" t="s">
        <v>80</v>
      </c>
      <c r="D110" s="225">
        <f>D109*$B$107</f>
        <v>16.666666666666668</v>
      </c>
      <c r="E110" s="98"/>
      <c r="F110" s="155"/>
      <c r="G110" s="227"/>
    </row>
    <row r="111" spans="1:7" ht="19.5" customHeight="1" x14ac:dyDescent="0.3">
      <c r="A111" s="98"/>
      <c r="B111" s="98"/>
      <c r="C111" s="231" t="s">
        <v>81</v>
      </c>
      <c r="D111" s="232">
        <f>D110/B96</f>
        <v>16.666666666666668</v>
      </c>
      <c r="E111" s="98"/>
      <c r="F111" s="160"/>
      <c r="G111" s="227"/>
    </row>
    <row r="112" spans="1:7" ht="18.75" customHeight="1" x14ac:dyDescent="0.3">
      <c r="A112" s="98"/>
      <c r="B112" s="98"/>
      <c r="C112" s="233" t="s">
        <v>82</v>
      </c>
      <c r="D112" s="234">
        <f>AVERAGE(E100:E103,G100:G103)</f>
        <v>2634368.2979791737</v>
      </c>
      <c r="E112" s="98"/>
      <c r="F112" s="160"/>
      <c r="G112" s="235"/>
    </row>
    <row r="113" spans="1:7" ht="18.75" customHeight="1" x14ac:dyDescent="0.3">
      <c r="A113" s="98"/>
      <c r="B113" s="98"/>
      <c r="C113" s="236" t="s">
        <v>83</v>
      </c>
      <c r="D113" s="237">
        <f>STDEV(E100:E103,G100:G103)/D112</f>
        <v>5.4537685321018351E-3</v>
      </c>
      <c r="E113" s="98"/>
      <c r="F113" s="160"/>
      <c r="G113" s="227"/>
    </row>
    <row r="114" spans="1:7" ht="19.5" customHeight="1" x14ac:dyDescent="0.3">
      <c r="A114" s="98"/>
      <c r="B114" s="98"/>
      <c r="C114" s="238" t="s">
        <v>20</v>
      </c>
      <c r="D114" s="239">
        <f>COUNT(E100:E103,G100:G103)</f>
        <v>6</v>
      </c>
      <c r="E114" s="98"/>
      <c r="F114" s="160"/>
      <c r="G114" s="227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900</v>
      </c>
      <c r="C116" s="240" t="s">
        <v>110</v>
      </c>
      <c r="D116" s="241" t="s">
        <v>63</v>
      </c>
      <c r="E116" s="242" t="s">
        <v>111</v>
      </c>
      <c r="F116" s="243" t="s">
        <v>112</v>
      </c>
      <c r="G116" s="98"/>
    </row>
    <row r="117" spans="1:7" ht="26.25" customHeight="1" x14ac:dyDescent="0.4">
      <c r="A117" s="121" t="s">
        <v>113</v>
      </c>
      <c r="B117" s="217">
        <v>5</v>
      </c>
      <c r="C117" s="179">
        <v>1</v>
      </c>
      <c r="D117" s="244"/>
      <c r="E117" s="245" t="str">
        <f t="shared" ref="E117:E122" si="3">IF(ISBLANK(D117),"-",D117/$D$112*$D$109*$B$125)</f>
        <v>-</v>
      </c>
      <c r="F117" s="246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114</v>
      </c>
      <c r="B118" s="217">
        <v>10</v>
      </c>
      <c r="C118" s="179">
        <v>2</v>
      </c>
      <c r="D118" s="244"/>
      <c r="E118" s="247" t="str">
        <f t="shared" si="3"/>
        <v>-</v>
      </c>
      <c r="F118" s="248" t="str">
        <f t="shared" si="4"/>
        <v>-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244"/>
      <c r="E119" s="247" t="str">
        <f t="shared" si="3"/>
        <v>-</v>
      </c>
      <c r="F119" s="248" t="str">
        <f t="shared" si="4"/>
        <v>-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244"/>
      <c r="E120" s="247" t="str">
        <f t="shared" si="3"/>
        <v>-</v>
      </c>
      <c r="F120" s="248" t="str">
        <f t="shared" si="4"/>
        <v>-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244"/>
      <c r="E121" s="247" t="str">
        <f t="shared" si="3"/>
        <v>-</v>
      </c>
      <c r="F121" s="248" t="str">
        <f t="shared" si="4"/>
        <v>-</v>
      </c>
      <c r="G121" s="98"/>
    </row>
    <row r="122" spans="1:7" ht="26.25" customHeight="1" x14ac:dyDescent="0.4">
      <c r="A122" s="121" t="s">
        <v>118</v>
      </c>
      <c r="B122" s="217">
        <v>1</v>
      </c>
      <c r="C122" s="249">
        <v>6</v>
      </c>
      <c r="D122" s="250"/>
      <c r="E122" s="251" t="str">
        <f t="shared" si="3"/>
        <v>-</v>
      </c>
      <c r="F122" s="252" t="str">
        <f t="shared" si="4"/>
        <v>-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3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4"/>
      <c r="E124" s="255" t="s">
        <v>70</v>
      </c>
      <c r="F124" s="256" t="e">
        <f>AVERAGE(F117:F122)</f>
        <v>#DIV/0!</v>
      </c>
      <c r="G124" s="98"/>
    </row>
    <row r="125" spans="1:7" ht="27" customHeight="1" x14ac:dyDescent="0.4">
      <c r="A125" s="121" t="s">
        <v>121</v>
      </c>
      <c r="B125" s="257">
        <f>(B124/B123)*(B122/B121)*(B120/B119)*(B118/B117)*B116</f>
        <v>1800</v>
      </c>
      <c r="C125" s="258"/>
      <c r="D125" s="259"/>
      <c r="E125" s="157" t="s">
        <v>83</v>
      </c>
      <c r="F125" s="194" t="e">
        <f>STDEV(F117:F122)/F124</f>
        <v>#DIV/0!</v>
      </c>
      <c r="G125" s="98"/>
    </row>
    <row r="126" spans="1:7" ht="27" customHeight="1" x14ac:dyDescent="0.4">
      <c r="A126" s="465" t="s">
        <v>77</v>
      </c>
      <c r="B126" s="466"/>
      <c r="C126" s="260"/>
      <c r="D126" s="261"/>
      <c r="E126" s="262" t="s">
        <v>20</v>
      </c>
      <c r="F126" s="263">
        <f>COUNT(F117:F122)</f>
        <v>0</v>
      </c>
      <c r="G126" s="98"/>
    </row>
    <row r="127" spans="1:7" ht="19.5" customHeight="1" x14ac:dyDescent="0.3">
      <c r="A127" s="467"/>
      <c r="B127" s="468"/>
      <c r="C127" s="199"/>
      <c r="D127" s="199"/>
      <c r="E127" s="199"/>
      <c r="F127" s="253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3"/>
      <c r="G128" s="199"/>
    </row>
    <row r="129" spans="1:7" ht="18.75" customHeight="1" x14ac:dyDescent="0.3">
      <c r="A129" s="108" t="s">
        <v>95</v>
      </c>
      <c r="B129" s="201" t="s">
        <v>122</v>
      </c>
      <c r="C129" s="472" t="str">
        <f>B20</f>
        <v>Betahistine Dihydrochloride BP 24mg</v>
      </c>
      <c r="D129" s="472"/>
      <c r="E129" s="202" t="s">
        <v>123</v>
      </c>
      <c r="F129" s="202"/>
      <c r="G129" s="205" t="e">
        <f>F124</f>
        <v>#DIV/0!</v>
      </c>
    </row>
    <row r="130" spans="1:7" ht="19.5" customHeight="1" x14ac:dyDescent="0.3">
      <c r="A130" s="264"/>
      <c r="B130" s="264"/>
      <c r="C130" s="265"/>
      <c r="D130" s="265"/>
      <c r="E130" s="265"/>
      <c r="F130" s="265"/>
      <c r="G130" s="265"/>
    </row>
    <row r="131" spans="1:7" ht="18.75" customHeight="1" x14ac:dyDescent="0.3">
      <c r="A131" s="98"/>
      <c r="B131" s="471" t="s">
        <v>26</v>
      </c>
      <c r="C131" s="471"/>
      <c r="D131" s="98"/>
      <c r="E131" s="266" t="s">
        <v>27</v>
      </c>
      <c r="F131" s="267"/>
      <c r="G131" s="274" t="s">
        <v>28</v>
      </c>
    </row>
    <row r="132" spans="1:7" ht="60" customHeight="1" x14ac:dyDescent="0.3">
      <c r="A132" s="268" t="s">
        <v>29</v>
      </c>
      <c r="B132" s="269"/>
      <c r="C132" s="269"/>
      <c r="D132" s="98"/>
      <c r="E132" s="269"/>
      <c r="F132" s="199"/>
      <c r="G132" s="270"/>
    </row>
    <row r="133" spans="1:7" ht="60" customHeight="1" x14ac:dyDescent="0.3">
      <c r="A133" s="268" t="s">
        <v>30</v>
      </c>
      <c r="B133" s="271"/>
      <c r="C133" s="271"/>
      <c r="D133" s="98"/>
      <c r="E133" s="271"/>
      <c r="F133" s="199"/>
      <c r="G133" s="272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3" zoomScale="55" zoomScaleNormal="40" zoomScalePageLayoutView="55" workbookViewId="0">
      <selection activeCell="F93" sqref="F93"/>
    </sheetView>
  </sheetViews>
  <sheetFormatPr defaultColWidth="9.140625" defaultRowHeight="13.5" x14ac:dyDescent="0.25"/>
  <cols>
    <col min="1" max="1" width="55.42578125" style="280" customWidth="1"/>
    <col min="2" max="2" width="33.7109375" style="280" customWidth="1"/>
    <col min="3" max="3" width="42.28515625" style="280" customWidth="1"/>
    <col min="4" max="4" width="30.5703125" style="280" customWidth="1"/>
    <col min="5" max="5" width="39.85546875" style="280" customWidth="1"/>
    <col min="6" max="6" width="30.7109375" style="280" customWidth="1"/>
    <col min="7" max="7" width="39.85546875" style="280" customWidth="1"/>
    <col min="8" max="8" width="30" style="280" customWidth="1"/>
    <col min="9" max="9" width="30.28515625" style="280" hidden="1" customWidth="1"/>
    <col min="10" max="10" width="30.42578125" style="280" customWidth="1"/>
    <col min="11" max="11" width="21.28515625" style="280" customWidth="1"/>
    <col min="12" max="12" width="9.140625" style="280"/>
    <col min="13" max="16384" width="9.140625" style="281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thickBot="1" x14ac:dyDescent="0.35">
      <c r="A15" s="282"/>
    </row>
    <row r="16" spans="1:9" ht="19.5" customHeight="1" thickBot="1" x14ac:dyDescent="0.35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25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4">
      <c r="A18" s="283" t="s">
        <v>33</v>
      </c>
      <c r="B18" s="455" t="s">
        <v>5</v>
      </c>
      <c r="C18" s="456"/>
      <c r="D18" s="284"/>
      <c r="E18" s="285"/>
      <c r="F18" s="286"/>
      <c r="G18" s="286"/>
      <c r="H18" s="286"/>
    </row>
    <row r="19" spans="1:14" ht="26.25" customHeight="1" x14ac:dyDescent="0.4">
      <c r="A19" s="283" t="s">
        <v>34</v>
      </c>
      <c r="B19" s="276" t="s">
        <v>7</v>
      </c>
      <c r="C19" s="286">
        <v>1</v>
      </c>
      <c r="D19" s="286"/>
      <c r="E19" s="286"/>
      <c r="F19" s="286"/>
      <c r="G19" s="286"/>
      <c r="H19" s="286"/>
    </row>
    <row r="20" spans="1:14" ht="26.25" customHeight="1" x14ac:dyDescent="0.4">
      <c r="A20" s="283" t="s">
        <v>35</v>
      </c>
      <c r="B20" s="457" t="s">
        <v>9</v>
      </c>
      <c r="C20" s="457"/>
      <c r="D20" s="286"/>
      <c r="E20" s="286"/>
      <c r="F20" s="286"/>
      <c r="G20" s="286"/>
      <c r="H20" s="286"/>
    </row>
    <row r="21" spans="1:14" ht="26.25" customHeight="1" x14ac:dyDescent="0.4">
      <c r="A21" s="283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287"/>
    </row>
    <row r="22" spans="1:14" ht="26.25" customHeight="1" x14ac:dyDescent="0.4">
      <c r="A22" s="283" t="s">
        <v>37</v>
      </c>
      <c r="B22" s="288" t="s">
        <v>169</v>
      </c>
      <c r="C22" s="286"/>
      <c r="D22" s="286"/>
      <c r="E22" s="286"/>
      <c r="F22" s="286"/>
      <c r="G22" s="286"/>
      <c r="H22" s="286"/>
    </row>
    <row r="23" spans="1:14" ht="26.25" customHeight="1" x14ac:dyDescent="0.4">
      <c r="A23" s="283" t="s">
        <v>38</v>
      </c>
      <c r="B23" s="288" t="s">
        <v>170</v>
      </c>
      <c r="C23" s="286"/>
      <c r="D23" s="286"/>
      <c r="E23" s="286"/>
      <c r="F23" s="286"/>
      <c r="G23" s="286"/>
      <c r="H23" s="286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58" t="s">
        <v>124</v>
      </c>
      <c r="C26" s="456"/>
    </row>
    <row r="27" spans="1:14" ht="26.25" customHeight="1" x14ac:dyDescent="0.4">
      <c r="A27" s="292" t="s">
        <v>48</v>
      </c>
      <c r="B27" s="478" t="s">
        <v>125</v>
      </c>
      <c r="C27" s="478"/>
    </row>
    <row r="28" spans="1:14" ht="27" customHeight="1" thickBot="1" x14ac:dyDescent="0.45">
      <c r="A28" s="292" t="s">
        <v>6</v>
      </c>
      <c r="B28" s="293">
        <v>99.5</v>
      </c>
    </row>
    <row r="29" spans="1:14" s="295" customFormat="1" ht="27" customHeight="1" thickBot="1" x14ac:dyDescent="0.45">
      <c r="A29" s="292" t="s">
        <v>49</v>
      </c>
      <c r="B29" s="294">
        <v>0</v>
      </c>
      <c r="C29" s="492" t="s">
        <v>106</v>
      </c>
      <c r="D29" s="493"/>
      <c r="E29" s="493"/>
      <c r="F29" s="493"/>
      <c r="G29" s="494"/>
      <c r="I29" s="296"/>
      <c r="J29" s="296"/>
      <c r="K29" s="296"/>
      <c r="L29" s="296"/>
    </row>
    <row r="30" spans="1:14" s="295" customFormat="1" ht="19.5" customHeight="1" thickBot="1" x14ac:dyDescent="0.35">
      <c r="A30" s="292" t="s">
        <v>51</v>
      </c>
      <c r="B30" s="297">
        <f>B28-B29</f>
        <v>99.5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295" customFormat="1" ht="27" customHeight="1" thickBot="1" x14ac:dyDescent="0.45">
      <c r="A31" s="292" t="s">
        <v>52</v>
      </c>
      <c r="B31" s="300">
        <v>1</v>
      </c>
      <c r="C31" s="482" t="s">
        <v>53</v>
      </c>
      <c r="D31" s="483"/>
      <c r="E31" s="483"/>
      <c r="F31" s="483"/>
      <c r="G31" s="483"/>
      <c r="H31" s="484"/>
      <c r="I31" s="296"/>
      <c r="J31" s="296"/>
      <c r="K31" s="296"/>
      <c r="L31" s="296"/>
    </row>
    <row r="32" spans="1:14" s="295" customFormat="1" ht="27" customHeight="1" thickBot="1" x14ac:dyDescent="0.45">
      <c r="A32" s="292" t="s">
        <v>54</v>
      </c>
      <c r="B32" s="300">
        <v>1</v>
      </c>
      <c r="C32" s="482" t="s">
        <v>55</v>
      </c>
      <c r="D32" s="483"/>
      <c r="E32" s="483"/>
      <c r="F32" s="483"/>
      <c r="G32" s="483"/>
      <c r="H32" s="484"/>
      <c r="I32" s="296"/>
      <c r="J32" s="296"/>
      <c r="K32" s="296"/>
      <c r="L32" s="301"/>
      <c r="M32" s="301"/>
      <c r="N32" s="302"/>
    </row>
    <row r="33" spans="1:14" s="295" customFormat="1" ht="17.25" customHeight="1" x14ac:dyDescent="0.3">
      <c r="A33" s="292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295" customFormat="1" ht="18.75" x14ac:dyDescent="0.3">
      <c r="A34" s="292" t="s">
        <v>56</v>
      </c>
      <c r="B34" s="305">
        <f>B31/B32</f>
        <v>1</v>
      </c>
      <c r="C34" s="282" t="s">
        <v>57</v>
      </c>
      <c r="D34" s="282"/>
      <c r="E34" s="282"/>
      <c r="F34" s="282"/>
      <c r="G34" s="282"/>
      <c r="I34" s="296"/>
      <c r="J34" s="296"/>
      <c r="K34" s="296"/>
      <c r="L34" s="301"/>
      <c r="M34" s="301"/>
      <c r="N34" s="302"/>
    </row>
    <row r="35" spans="1:14" s="295" customFormat="1" ht="19.5" customHeight="1" thickBot="1" x14ac:dyDescent="0.35">
      <c r="A35" s="292"/>
      <c r="B35" s="297"/>
      <c r="G35" s="282"/>
      <c r="I35" s="296"/>
      <c r="J35" s="296"/>
      <c r="K35" s="296"/>
      <c r="L35" s="301"/>
      <c r="M35" s="301"/>
      <c r="N35" s="302"/>
    </row>
    <row r="36" spans="1:14" s="295" customFormat="1" ht="27" customHeight="1" thickBot="1" x14ac:dyDescent="0.45">
      <c r="A36" s="306" t="s">
        <v>126</v>
      </c>
      <c r="B36" s="307">
        <v>50</v>
      </c>
      <c r="C36" s="282"/>
      <c r="D36" s="496" t="s">
        <v>59</v>
      </c>
      <c r="E36" s="497"/>
      <c r="F36" s="496" t="s">
        <v>60</v>
      </c>
      <c r="G36" s="498"/>
      <c r="J36" s="296"/>
      <c r="K36" s="296"/>
      <c r="L36" s="301"/>
      <c r="M36" s="301"/>
      <c r="N36" s="302"/>
    </row>
    <row r="37" spans="1:14" s="295" customFormat="1" ht="27" customHeight="1" thickBot="1" x14ac:dyDescent="0.45">
      <c r="A37" s="308" t="s">
        <v>127</v>
      </c>
      <c r="B37" s="309">
        <v>1</v>
      </c>
      <c r="C37" s="310" t="s">
        <v>62</v>
      </c>
      <c r="D37" s="311" t="s">
        <v>63</v>
      </c>
      <c r="E37" s="312" t="s">
        <v>64</v>
      </c>
      <c r="F37" s="311" t="s">
        <v>63</v>
      </c>
      <c r="G37" s="313" t="s">
        <v>64</v>
      </c>
      <c r="I37" s="314" t="s">
        <v>128</v>
      </c>
      <c r="J37" s="296"/>
      <c r="K37" s="296"/>
      <c r="L37" s="301"/>
      <c r="M37" s="301"/>
      <c r="N37" s="302"/>
    </row>
    <row r="38" spans="1:14" s="295" customFormat="1" ht="26.25" customHeight="1" x14ac:dyDescent="0.4">
      <c r="A38" s="308" t="s">
        <v>129</v>
      </c>
      <c r="B38" s="309">
        <v>1</v>
      </c>
      <c r="C38" s="315">
        <v>1</v>
      </c>
      <c r="D38" s="128">
        <v>69730883</v>
      </c>
      <c r="E38" s="316">
        <f>IF(ISBLANK(D38),"-",$D$48/$D$45*D38)</f>
        <v>64110956.612680338</v>
      </c>
      <c r="F38" s="128">
        <v>63600538</v>
      </c>
      <c r="G38" s="317">
        <f>IF(ISBLANK(F38),"-",$D$48/$F$45*F38)</f>
        <v>62475395.179931417</v>
      </c>
      <c r="I38" s="318"/>
      <c r="J38" s="296"/>
      <c r="K38" s="296"/>
      <c r="L38" s="301"/>
      <c r="M38" s="301"/>
      <c r="N38" s="302"/>
    </row>
    <row r="39" spans="1:14" s="295" customFormat="1" ht="26.25" customHeight="1" x14ac:dyDescent="0.4">
      <c r="A39" s="308" t="s">
        <v>130</v>
      </c>
      <c r="B39" s="309">
        <v>1</v>
      </c>
      <c r="C39" s="319">
        <v>2</v>
      </c>
      <c r="D39" s="132">
        <v>69267502</v>
      </c>
      <c r="E39" s="321">
        <f>IF(ISBLANK(D39),"-",$D$48/$D$45*D39)</f>
        <v>63684921.577584907</v>
      </c>
      <c r="F39" s="132">
        <v>63800706</v>
      </c>
      <c r="G39" s="322">
        <f>IF(ISBLANK(F39),"-",$D$48/$F$45*F39)</f>
        <v>62672022.052842095</v>
      </c>
      <c r="I39" s="499">
        <f>ABS((F43/D43*D42)-F42)/D42</f>
        <v>1.4823534987472561E-2</v>
      </c>
      <c r="J39" s="296"/>
      <c r="K39" s="296"/>
      <c r="L39" s="301"/>
      <c r="M39" s="301"/>
      <c r="N39" s="302"/>
    </row>
    <row r="40" spans="1:14" ht="26.25" customHeight="1" x14ac:dyDescent="0.4">
      <c r="A40" s="308" t="s">
        <v>131</v>
      </c>
      <c r="B40" s="309">
        <v>1</v>
      </c>
      <c r="C40" s="319">
        <v>3</v>
      </c>
      <c r="D40" s="132">
        <v>69208659</v>
      </c>
      <c r="E40" s="321">
        <f>IF(ISBLANK(D40),"-",$D$48/$D$45*D40)</f>
        <v>63630821.000370644</v>
      </c>
      <c r="F40" s="132">
        <v>64386566</v>
      </c>
      <c r="G40" s="322">
        <f>IF(ISBLANK(F40),"-",$D$48/$F$45*F40)</f>
        <v>63247517.735286079</v>
      </c>
      <c r="I40" s="499"/>
      <c r="L40" s="301"/>
      <c r="M40" s="301"/>
      <c r="N40" s="282"/>
    </row>
    <row r="41" spans="1:14" ht="27" customHeight="1" thickBot="1" x14ac:dyDescent="0.45">
      <c r="A41" s="308" t="s">
        <v>132</v>
      </c>
      <c r="B41" s="309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301"/>
      <c r="M41" s="301"/>
      <c r="N41" s="282"/>
    </row>
    <row r="42" spans="1:14" ht="27" customHeight="1" thickBot="1" x14ac:dyDescent="0.45">
      <c r="A42" s="308" t="s">
        <v>133</v>
      </c>
      <c r="B42" s="309">
        <v>1</v>
      </c>
      <c r="C42" s="328" t="s">
        <v>70</v>
      </c>
      <c r="D42" s="329">
        <f>AVERAGE(D38:D41)</f>
        <v>69402348</v>
      </c>
      <c r="E42" s="330">
        <f>AVERAGE(E38:E41)</f>
        <v>63808899.730211966</v>
      </c>
      <c r="F42" s="329">
        <f>AVERAGE(F38:F41)</f>
        <v>63929270</v>
      </c>
      <c r="G42" s="331">
        <f>AVERAGE(G38:G41)</f>
        <v>62798311.656019866</v>
      </c>
      <c r="H42" s="332"/>
    </row>
    <row r="43" spans="1:14" ht="26.25" customHeight="1" x14ac:dyDescent="0.4">
      <c r="A43" s="308" t="s">
        <v>134</v>
      </c>
      <c r="B43" s="309">
        <v>1</v>
      </c>
      <c r="C43" s="333" t="s">
        <v>135</v>
      </c>
      <c r="D43" s="334">
        <v>17.489999999999998</v>
      </c>
      <c r="E43" s="282"/>
      <c r="F43" s="334">
        <v>16.37</v>
      </c>
      <c r="H43" s="332"/>
    </row>
    <row r="44" spans="1:14" ht="26.25" customHeight="1" x14ac:dyDescent="0.4">
      <c r="A44" s="308" t="s">
        <v>136</v>
      </c>
      <c r="B44" s="309">
        <v>1</v>
      </c>
      <c r="C44" s="335" t="s">
        <v>137</v>
      </c>
      <c r="D44" s="336">
        <f>D43*$B$34</f>
        <v>17.489999999999998</v>
      </c>
      <c r="E44" s="337"/>
      <c r="F44" s="336">
        <f>F43*$B$34</f>
        <v>16.37</v>
      </c>
      <c r="H44" s="332"/>
    </row>
    <row r="45" spans="1:14" ht="19.5" customHeight="1" thickBot="1" x14ac:dyDescent="0.35">
      <c r="A45" s="308" t="s">
        <v>75</v>
      </c>
      <c r="B45" s="319">
        <f>(B44/B43)*(B42/B41)*(B40/B39)*(B38/B37)*B36</f>
        <v>50</v>
      </c>
      <c r="C45" s="335" t="s">
        <v>76</v>
      </c>
      <c r="D45" s="338">
        <f>D44*$B$30/100</f>
        <v>17.402549999999998</v>
      </c>
      <c r="E45" s="339"/>
      <c r="F45" s="338">
        <f>F44*$B$30/100</f>
        <v>16.288150000000002</v>
      </c>
      <c r="H45" s="332"/>
    </row>
    <row r="46" spans="1:14" ht="19.5" customHeight="1" thickBot="1" x14ac:dyDescent="0.35">
      <c r="A46" s="500" t="s">
        <v>77</v>
      </c>
      <c r="B46" s="501"/>
      <c r="C46" s="335" t="s">
        <v>78</v>
      </c>
      <c r="D46" s="340">
        <f>D45/$B$45</f>
        <v>0.34805099999999994</v>
      </c>
      <c r="E46" s="341"/>
      <c r="F46" s="342">
        <f>F45/$B$45</f>
        <v>0.32576300000000002</v>
      </c>
      <c r="H46" s="332"/>
    </row>
    <row r="47" spans="1:14" ht="27" customHeight="1" thickBot="1" x14ac:dyDescent="0.45">
      <c r="A47" s="502"/>
      <c r="B47" s="503"/>
      <c r="C47" s="343" t="s">
        <v>138</v>
      </c>
      <c r="D47" s="344">
        <v>0.32</v>
      </c>
      <c r="E47" s="345"/>
      <c r="F47" s="341"/>
      <c r="H47" s="332"/>
    </row>
    <row r="48" spans="1:14" ht="18.75" x14ac:dyDescent="0.3">
      <c r="C48" s="346" t="s">
        <v>80</v>
      </c>
      <c r="D48" s="338">
        <f>D47*$B$45</f>
        <v>16</v>
      </c>
      <c r="F48" s="347"/>
      <c r="H48" s="332"/>
    </row>
    <row r="49" spans="1:12" ht="19.5" customHeight="1" thickBot="1" x14ac:dyDescent="0.35">
      <c r="C49" s="348" t="s">
        <v>81</v>
      </c>
      <c r="D49" s="349">
        <f>D48/B34</f>
        <v>16</v>
      </c>
      <c r="F49" s="347"/>
      <c r="H49" s="332"/>
    </row>
    <row r="50" spans="1:12" ht="18.75" x14ac:dyDescent="0.3">
      <c r="C50" s="306" t="s">
        <v>82</v>
      </c>
      <c r="D50" s="350">
        <f>AVERAGE(E38:E41,G38:G41)</f>
        <v>63303605.693115912</v>
      </c>
      <c r="F50" s="351"/>
      <c r="H50" s="332"/>
    </row>
    <row r="51" spans="1:12" ht="18.75" x14ac:dyDescent="0.3">
      <c r="C51" s="308" t="s">
        <v>83</v>
      </c>
      <c r="D51" s="352">
        <f>STDEV(E38:E41,G38:G41)/D50</f>
        <v>9.9714874672075082E-3</v>
      </c>
      <c r="F51" s="351"/>
      <c r="H51" s="332"/>
    </row>
    <row r="52" spans="1:12" ht="19.5" customHeight="1" thickBot="1" x14ac:dyDescent="0.35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84</v>
      </c>
    </row>
    <row r="55" spans="1:12" ht="18.75" x14ac:dyDescent="0.3">
      <c r="A55" s="282" t="s">
        <v>85</v>
      </c>
      <c r="B55" s="357" t="str">
        <f>B21</f>
        <v>Each tablets contains betahistine dihydrochloride BP 24mg</v>
      </c>
    </row>
    <row r="56" spans="1:12" ht="26.25" customHeight="1" x14ac:dyDescent="0.4">
      <c r="A56" s="357" t="s">
        <v>86</v>
      </c>
      <c r="B56" s="358">
        <v>24</v>
      </c>
      <c r="C56" s="282" t="str">
        <f>B20</f>
        <v>Betahistine Dihydrochloride BP 24mg</v>
      </c>
      <c r="H56" s="337"/>
    </row>
    <row r="57" spans="1:12" ht="18.75" x14ac:dyDescent="0.3">
      <c r="A57" s="357" t="s">
        <v>87</v>
      </c>
      <c r="B57" s="359">
        <f>[1]Uniformity!C46</f>
        <v>308.44099999999997</v>
      </c>
      <c r="H57" s="337"/>
    </row>
    <row r="58" spans="1:12" ht="19.5" customHeight="1" thickBot="1" x14ac:dyDescent="0.35">
      <c r="H58" s="337"/>
    </row>
    <row r="59" spans="1:12" s="295" customFormat="1" ht="27" customHeight="1" thickBot="1" x14ac:dyDescent="0.45">
      <c r="A59" s="306" t="s">
        <v>139</v>
      </c>
      <c r="B59" s="307">
        <v>100</v>
      </c>
      <c r="C59" s="282"/>
      <c r="D59" s="360" t="s">
        <v>140</v>
      </c>
      <c r="E59" s="361" t="s">
        <v>62</v>
      </c>
      <c r="F59" s="361" t="s">
        <v>63</v>
      </c>
      <c r="G59" s="361" t="s">
        <v>141</v>
      </c>
      <c r="H59" s="310" t="s">
        <v>142</v>
      </c>
      <c r="L59" s="296"/>
    </row>
    <row r="60" spans="1:12" s="295" customFormat="1" ht="26.25" customHeight="1" x14ac:dyDescent="0.4">
      <c r="A60" s="308" t="s">
        <v>143</v>
      </c>
      <c r="B60" s="309">
        <v>1</v>
      </c>
      <c r="C60" s="504" t="s">
        <v>144</v>
      </c>
      <c r="D60" s="507">
        <v>423.22</v>
      </c>
      <c r="E60" s="362">
        <v>1</v>
      </c>
      <c r="F60" s="363">
        <v>62232077</v>
      </c>
      <c r="G60" s="364">
        <f>IF(ISBLANK(F60),"-",(F60/$D$50*$D$47*$B$68)*($B$57/$D$60))</f>
        <v>22.926710453044613</v>
      </c>
      <c r="H60" s="365">
        <f t="shared" ref="H60:H71" si="0">IF(ISBLANK(F60),"-",(G60/$B$56)*100)</f>
        <v>95.527960221019228</v>
      </c>
      <c r="L60" s="296"/>
    </row>
    <row r="61" spans="1:12" s="295" customFormat="1" ht="26.25" customHeight="1" x14ac:dyDescent="0.4">
      <c r="A61" s="308" t="s">
        <v>145</v>
      </c>
      <c r="B61" s="309">
        <v>1</v>
      </c>
      <c r="C61" s="505"/>
      <c r="D61" s="508"/>
      <c r="E61" s="366">
        <v>2</v>
      </c>
      <c r="F61" s="320">
        <v>62054304</v>
      </c>
      <c r="G61" s="367">
        <f>IF(ISBLANK(F61),"-",(F61/$D$50*$D$47*$B$68)*($B$57/$D$60))</f>
        <v>22.86121769924549</v>
      </c>
      <c r="H61" s="368">
        <f t="shared" si="0"/>
        <v>95.255073746856212</v>
      </c>
      <c r="L61" s="296"/>
    </row>
    <row r="62" spans="1:12" s="295" customFormat="1" ht="26.25" customHeight="1" x14ac:dyDescent="0.4">
      <c r="A62" s="308" t="s">
        <v>146</v>
      </c>
      <c r="B62" s="309">
        <v>1</v>
      </c>
      <c r="C62" s="505"/>
      <c r="D62" s="508"/>
      <c r="E62" s="366">
        <v>3</v>
      </c>
      <c r="F62" s="369">
        <v>62237216</v>
      </c>
      <c r="G62" s="367">
        <f>IF(ISBLANK(F62),"-",(F62/$D$50*$D$47*$B$68)*($B$57/$D$60))</f>
        <v>22.928603694772963</v>
      </c>
      <c r="H62" s="368">
        <f t="shared" si="0"/>
        <v>95.535848728220685</v>
      </c>
      <c r="L62" s="296"/>
    </row>
    <row r="63" spans="1:12" ht="27" customHeight="1" thickBot="1" x14ac:dyDescent="0.45">
      <c r="A63" s="308" t="s">
        <v>147</v>
      </c>
      <c r="B63" s="309">
        <v>1</v>
      </c>
      <c r="C63" s="506"/>
      <c r="D63" s="509"/>
      <c r="E63" s="370">
        <v>4</v>
      </c>
      <c r="F63" s="371"/>
      <c r="G63" s="367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8" t="s">
        <v>148</v>
      </c>
      <c r="B64" s="309">
        <v>1</v>
      </c>
      <c r="C64" s="504" t="s">
        <v>149</v>
      </c>
      <c r="D64" s="507">
        <v>415.4</v>
      </c>
      <c r="E64" s="362">
        <v>1</v>
      </c>
      <c r="F64" s="363">
        <v>62101741</v>
      </c>
      <c r="G64" s="364">
        <f>IF(ISBLANK(F64),"-",(F64/$D$50*$D$47*$B$68)*($B$57/$D$64))</f>
        <v>23.309390448205708</v>
      </c>
      <c r="H64" s="365">
        <f t="shared" si="0"/>
        <v>97.12246020085712</v>
      </c>
    </row>
    <row r="65" spans="1:8" ht="26.25" customHeight="1" x14ac:dyDescent="0.4">
      <c r="A65" s="308" t="s">
        <v>150</v>
      </c>
      <c r="B65" s="309">
        <v>1</v>
      </c>
      <c r="C65" s="505"/>
      <c r="D65" s="508"/>
      <c r="E65" s="366">
        <v>2</v>
      </c>
      <c r="F65" s="320">
        <v>62035415</v>
      </c>
      <c r="G65" s="367">
        <f>IF(ISBLANK(F65),"-",(F65/$D$50*$D$47*$B$68)*($B$57/$D$64))</f>
        <v>23.284495516019057</v>
      </c>
      <c r="H65" s="368">
        <f t="shared" si="0"/>
        <v>97.01873131674607</v>
      </c>
    </row>
    <row r="66" spans="1:8" ht="26.25" customHeight="1" x14ac:dyDescent="0.4">
      <c r="A66" s="308" t="s">
        <v>151</v>
      </c>
      <c r="B66" s="309">
        <v>1</v>
      </c>
      <c r="C66" s="505"/>
      <c r="D66" s="508"/>
      <c r="E66" s="366">
        <v>3</v>
      </c>
      <c r="F66" s="320">
        <v>62499860</v>
      </c>
      <c r="G66" s="367">
        <f>IF(ISBLANK(F66),"-",(F66/$D$50*$D$47*$B$68)*($B$57/$D$64))</f>
        <v>23.458821222068376</v>
      </c>
      <c r="H66" s="368">
        <f t="shared" si="0"/>
        <v>97.745088425284905</v>
      </c>
    </row>
    <row r="67" spans="1:8" ht="27" customHeight="1" thickBot="1" x14ac:dyDescent="0.45">
      <c r="A67" s="308" t="s">
        <v>152</v>
      </c>
      <c r="B67" s="309">
        <v>1</v>
      </c>
      <c r="C67" s="506"/>
      <c r="D67" s="509"/>
      <c r="E67" s="370">
        <v>4</v>
      </c>
      <c r="F67" s="371"/>
      <c r="G67" s="372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8" t="s">
        <v>121</v>
      </c>
      <c r="B68" s="374">
        <f>(B67/B66)*(B65/B64)*(B63/B62)*(B61/B60)*B59</f>
        <v>100</v>
      </c>
      <c r="C68" s="504" t="s">
        <v>153</v>
      </c>
      <c r="D68" s="507">
        <v>404.36</v>
      </c>
      <c r="E68" s="362">
        <v>1</v>
      </c>
      <c r="F68" s="363">
        <v>59819338</v>
      </c>
      <c r="G68" s="364">
        <f>IF(ISBLANK(F68),"-",(F68/$D$50*$D$47*$B$68)*($B$57/$D$68))</f>
        <v>23.065721707955191</v>
      </c>
      <c r="H68" s="368">
        <f t="shared" si="0"/>
        <v>96.107173783146621</v>
      </c>
    </row>
    <row r="69" spans="1:8" ht="27" customHeight="1" thickBot="1" x14ac:dyDescent="0.45">
      <c r="A69" s="353" t="s">
        <v>154</v>
      </c>
      <c r="B69" s="375">
        <f>(D47*B68)/B56*B57</f>
        <v>411.25466666666659</v>
      </c>
      <c r="C69" s="505"/>
      <c r="D69" s="508"/>
      <c r="E69" s="366">
        <v>2</v>
      </c>
      <c r="F69" s="320">
        <v>60524302</v>
      </c>
      <c r="G69" s="367">
        <f>IF(ISBLANK(F69),"-",(F69/$D$50*$D$47*$B$68)*($B$57/$D$68))</f>
        <v>23.337548578358323</v>
      </c>
      <c r="H69" s="368">
        <f t="shared" si="0"/>
        <v>97.239785743159672</v>
      </c>
    </row>
    <row r="70" spans="1:8" ht="26.25" customHeight="1" x14ac:dyDescent="0.4">
      <c r="A70" s="511" t="s">
        <v>77</v>
      </c>
      <c r="B70" s="512"/>
      <c r="C70" s="505"/>
      <c r="D70" s="508"/>
      <c r="E70" s="366">
        <v>3</v>
      </c>
      <c r="F70" s="320">
        <v>60342351</v>
      </c>
      <c r="G70" s="367">
        <f>IF(ISBLANK(F70),"-",(F70/$D$50*$D$47*$B$68)*($B$57/$D$68))</f>
        <v>23.267390143464173</v>
      </c>
      <c r="H70" s="368">
        <f t="shared" si="0"/>
        <v>96.947458931100712</v>
      </c>
    </row>
    <row r="71" spans="1:8" ht="27" customHeight="1" thickBot="1" x14ac:dyDescent="0.45">
      <c r="A71" s="513"/>
      <c r="B71" s="514"/>
      <c r="C71" s="510"/>
      <c r="D71" s="509"/>
      <c r="E71" s="370">
        <v>4</v>
      </c>
      <c r="F71" s="371"/>
      <c r="G71" s="372" t="str">
        <f>IF(ISBLANK(F71),"-",(F71/$D$50*$D$47*$B$68)*($B$57/$D$68))</f>
        <v>-</v>
      </c>
      <c r="H71" s="373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76" t="s">
        <v>70</v>
      </c>
      <c r="G72" s="377">
        <f>AVERAGE(G60:G71)</f>
        <v>23.159988829237097</v>
      </c>
      <c r="H72" s="378">
        <f>AVERAGE(H60:H71)</f>
        <v>96.499953455154596</v>
      </c>
    </row>
    <row r="73" spans="1:8" ht="26.25" customHeight="1" x14ac:dyDescent="0.4">
      <c r="C73" s="337"/>
      <c r="D73" s="337"/>
      <c r="E73" s="337"/>
      <c r="F73" s="379" t="s">
        <v>83</v>
      </c>
      <c r="G73" s="380">
        <f>STDEV(G60:G71)/G72</f>
        <v>9.3644128546690204E-3</v>
      </c>
      <c r="H73" s="380">
        <f>STDEV(H60:H71)/H72</f>
        <v>9.3644128546689995E-3</v>
      </c>
    </row>
    <row r="74" spans="1:8" ht="27" customHeight="1" thickBot="1" x14ac:dyDescent="0.45">
      <c r="A74" s="337"/>
      <c r="B74" s="337"/>
      <c r="C74" s="337"/>
      <c r="D74" s="337"/>
      <c r="E74" s="339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1" t="s">
        <v>155</v>
      </c>
      <c r="B76" s="292" t="s">
        <v>96</v>
      </c>
      <c r="C76" s="495" t="str">
        <f>B26</f>
        <v>Betahistine Dihydrochloride</v>
      </c>
      <c r="D76" s="495"/>
      <c r="E76" s="282" t="s">
        <v>97</v>
      </c>
      <c r="F76" s="282"/>
      <c r="G76" s="383">
        <f>H72</f>
        <v>96.499953455154596</v>
      </c>
      <c r="H76" s="297"/>
    </row>
    <row r="77" spans="1:8" ht="18.75" x14ac:dyDescent="0.3">
      <c r="A77" s="290" t="s">
        <v>104</v>
      </c>
      <c r="B77" s="290" t="s">
        <v>105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77" t="str">
        <f>B26</f>
        <v>Betahistine Dihydrochloride</v>
      </c>
      <c r="C79" s="477"/>
    </row>
    <row r="80" spans="1:8" ht="26.25" customHeight="1" x14ac:dyDescent="0.4">
      <c r="A80" s="292" t="s">
        <v>48</v>
      </c>
      <c r="B80" s="477" t="str">
        <f>B27</f>
        <v>B17-2</v>
      </c>
      <c r="C80" s="477"/>
    </row>
    <row r="81" spans="1:12" ht="27" customHeight="1" thickBot="1" x14ac:dyDescent="0.45">
      <c r="A81" s="292" t="s">
        <v>6</v>
      </c>
      <c r="B81" s="293">
        <f>B28</f>
        <v>99.5</v>
      </c>
    </row>
    <row r="82" spans="1:12" s="295" customFormat="1" ht="27" customHeight="1" thickBot="1" x14ac:dyDescent="0.45">
      <c r="A82" s="292" t="s">
        <v>49</v>
      </c>
      <c r="B82" s="294">
        <v>0</v>
      </c>
      <c r="C82" s="492" t="s">
        <v>106</v>
      </c>
      <c r="D82" s="493"/>
      <c r="E82" s="493"/>
      <c r="F82" s="493"/>
      <c r="G82" s="494"/>
      <c r="I82" s="296"/>
      <c r="J82" s="296"/>
      <c r="K82" s="296"/>
      <c r="L82" s="296"/>
    </row>
    <row r="83" spans="1:12" s="295" customFormat="1" ht="19.5" customHeight="1" thickBot="1" x14ac:dyDescent="0.35">
      <c r="A83" s="292" t="s">
        <v>51</v>
      </c>
      <c r="B83" s="297">
        <f>B81-B82</f>
        <v>99.5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295" customFormat="1" ht="27" customHeight="1" thickBot="1" x14ac:dyDescent="0.45">
      <c r="A84" s="292" t="s">
        <v>52</v>
      </c>
      <c r="B84" s="300">
        <v>1</v>
      </c>
      <c r="C84" s="482" t="s">
        <v>156</v>
      </c>
      <c r="D84" s="483"/>
      <c r="E84" s="483"/>
      <c r="F84" s="483"/>
      <c r="G84" s="483"/>
      <c r="H84" s="484"/>
      <c r="I84" s="296"/>
      <c r="J84" s="296"/>
      <c r="K84" s="296"/>
      <c r="L84" s="296"/>
    </row>
    <row r="85" spans="1:12" s="295" customFormat="1" ht="27" customHeight="1" thickBot="1" x14ac:dyDescent="0.45">
      <c r="A85" s="292" t="s">
        <v>54</v>
      </c>
      <c r="B85" s="300">
        <v>1</v>
      </c>
      <c r="C85" s="482" t="s">
        <v>157</v>
      </c>
      <c r="D85" s="483"/>
      <c r="E85" s="483"/>
      <c r="F85" s="483"/>
      <c r="G85" s="483"/>
      <c r="H85" s="484"/>
      <c r="I85" s="296"/>
      <c r="J85" s="296"/>
      <c r="K85" s="296"/>
      <c r="L85" s="296"/>
    </row>
    <row r="86" spans="1:12" s="295" customFormat="1" ht="18.75" x14ac:dyDescent="0.3">
      <c r="A86" s="292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295" customFormat="1" ht="18.75" x14ac:dyDescent="0.3">
      <c r="A87" s="292" t="s">
        <v>56</v>
      </c>
      <c r="B87" s="305">
        <f>B84/B85</f>
        <v>1</v>
      </c>
      <c r="C87" s="282" t="s">
        <v>57</v>
      </c>
      <c r="D87" s="282"/>
      <c r="E87" s="282"/>
      <c r="F87" s="282"/>
      <c r="G87" s="282"/>
      <c r="I87" s="296"/>
      <c r="J87" s="296"/>
      <c r="K87" s="296"/>
      <c r="L87" s="296"/>
    </row>
    <row r="88" spans="1:12" ht="19.5" customHeight="1" thickBot="1" x14ac:dyDescent="0.35">
      <c r="A88" s="290"/>
      <c r="B88" s="290"/>
    </row>
    <row r="89" spans="1:12" ht="27" customHeight="1" thickBot="1" x14ac:dyDescent="0.45">
      <c r="A89" s="306" t="s">
        <v>126</v>
      </c>
      <c r="B89" s="307">
        <v>100</v>
      </c>
      <c r="D89" s="384" t="s">
        <v>59</v>
      </c>
      <c r="E89" s="385"/>
      <c r="F89" s="496" t="s">
        <v>60</v>
      </c>
      <c r="G89" s="498"/>
    </row>
    <row r="90" spans="1:12" ht="27" customHeight="1" thickBot="1" x14ac:dyDescent="0.45">
      <c r="A90" s="308" t="s">
        <v>127</v>
      </c>
      <c r="B90" s="309">
        <v>4</v>
      </c>
      <c r="C90" s="386" t="s">
        <v>62</v>
      </c>
      <c r="D90" s="311" t="s">
        <v>63</v>
      </c>
      <c r="E90" s="312" t="s">
        <v>64</v>
      </c>
      <c r="F90" s="311" t="s">
        <v>63</v>
      </c>
      <c r="G90" s="387" t="s">
        <v>64</v>
      </c>
      <c r="I90" s="314" t="s">
        <v>128</v>
      </c>
    </row>
    <row r="91" spans="1:12" ht="26.25" customHeight="1" x14ac:dyDescent="0.4">
      <c r="A91" s="308" t="s">
        <v>129</v>
      </c>
      <c r="B91" s="309">
        <v>50</v>
      </c>
      <c r="C91" s="388">
        <v>1</v>
      </c>
      <c r="D91" s="525">
        <v>3902743</v>
      </c>
      <c r="E91" s="316">
        <f>IF(ISBLANK(D91),"-",$D$101/$D$98*D91)</f>
        <v>2656342.1196460426</v>
      </c>
      <c r="F91" s="527">
        <v>3424017</v>
      </c>
      <c r="G91" s="317">
        <f>IF(ISBLANK(F91),"-",$D$101/$F$98*F91)</f>
        <v>2616501.7606279575</v>
      </c>
      <c r="I91" s="318"/>
    </row>
    <row r="92" spans="1:12" ht="26.25" customHeight="1" x14ac:dyDescent="0.4">
      <c r="A92" s="308" t="s">
        <v>130</v>
      </c>
      <c r="B92" s="309">
        <v>1</v>
      </c>
      <c r="C92" s="337">
        <v>2</v>
      </c>
      <c r="D92" s="526">
        <v>3877213</v>
      </c>
      <c r="E92" s="321">
        <f>IF(ISBLANK(D92),"-",$D$101/$D$98*D92)</f>
        <v>2638965.5170066776</v>
      </c>
      <c r="F92" s="528">
        <v>3442535</v>
      </c>
      <c r="G92" s="322">
        <f>IF(ISBLANK(F92),"-",$D$101/$F$98*F92)</f>
        <v>2630652.5021702186</v>
      </c>
      <c r="I92" s="499">
        <f>ABS((F96/D96*D95)-F95)/D95</f>
        <v>7.5488433843842332E-3</v>
      </c>
    </row>
    <row r="93" spans="1:12" ht="26.25" customHeight="1" x14ac:dyDescent="0.4">
      <c r="A93" s="308" t="s">
        <v>131</v>
      </c>
      <c r="B93" s="309">
        <v>1</v>
      </c>
      <c r="C93" s="337">
        <v>3</v>
      </c>
      <c r="D93" s="526">
        <v>3880834</v>
      </c>
      <c r="E93" s="321">
        <f>IF(ISBLANK(D93),"-",$D$101/$D$98*D93)</f>
        <v>2641430.0950778546</v>
      </c>
      <c r="F93" s="529">
        <v>3431628</v>
      </c>
      <c r="G93" s="322">
        <f>IF(ISBLANK(F93),"-",$D$101/$F$98*F93)</f>
        <v>2622317.7933462937</v>
      </c>
      <c r="I93" s="499"/>
    </row>
    <row r="94" spans="1:12" ht="27" customHeight="1" thickBot="1" x14ac:dyDescent="0.45">
      <c r="A94" s="308" t="s">
        <v>132</v>
      </c>
      <c r="B94" s="309">
        <v>1</v>
      </c>
      <c r="C94" s="389">
        <v>4</v>
      </c>
      <c r="D94" s="324"/>
      <c r="E94" s="325" t="str">
        <f>IF(ISBLANK(D94),"-",$D$101/$D$98*D94)</f>
        <v>-</v>
      </c>
      <c r="F94" s="390"/>
      <c r="G94" s="326" t="str">
        <f>IF(ISBLANK(F94),"-",$D$101/$F$98*F94)</f>
        <v>-</v>
      </c>
      <c r="I94" s="327"/>
    </row>
    <row r="95" spans="1:12" ht="27" customHeight="1" thickBot="1" x14ac:dyDescent="0.45">
      <c r="A95" s="308" t="s">
        <v>133</v>
      </c>
      <c r="B95" s="309">
        <v>1</v>
      </c>
      <c r="C95" s="292" t="s">
        <v>70</v>
      </c>
      <c r="D95" s="391">
        <f>AVERAGE(D91:D94)</f>
        <v>3886930</v>
      </c>
      <c r="E95" s="330">
        <f>AVERAGE(E91:E94)</f>
        <v>2645579.2439101916</v>
      </c>
      <c r="F95" s="392">
        <f>AVERAGE(F91:F94)</f>
        <v>3432726.6666666665</v>
      </c>
      <c r="G95" s="393">
        <f>AVERAGE(G91:G94)</f>
        <v>2623157.3520481568</v>
      </c>
    </row>
    <row r="96" spans="1:12" ht="26.25" customHeight="1" x14ac:dyDescent="0.4">
      <c r="A96" s="308" t="s">
        <v>134</v>
      </c>
      <c r="B96" s="293">
        <v>1</v>
      </c>
      <c r="C96" s="394" t="s">
        <v>72</v>
      </c>
      <c r="D96" s="395">
        <v>24.61</v>
      </c>
      <c r="E96" s="282"/>
      <c r="F96" s="334">
        <v>21.92</v>
      </c>
    </row>
    <row r="97" spans="1:10" ht="26.25" customHeight="1" x14ac:dyDescent="0.4">
      <c r="A97" s="308" t="s">
        <v>136</v>
      </c>
      <c r="B97" s="293">
        <v>1</v>
      </c>
      <c r="C97" s="396" t="s">
        <v>74</v>
      </c>
      <c r="D97" s="397">
        <f>D96*$B$87</f>
        <v>24.61</v>
      </c>
      <c r="E97" s="337"/>
      <c r="F97" s="336">
        <f>F96*$B$87</f>
        <v>21.92</v>
      </c>
    </row>
    <row r="98" spans="1:10" ht="19.5" customHeight="1" thickBot="1" x14ac:dyDescent="0.35">
      <c r="A98" s="308" t="s">
        <v>75</v>
      </c>
      <c r="B98" s="337">
        <f>(B97/B96)*(B95/B94)*(B93/B92)*(B91/B90)*B89</f>
        <v>1250</v>
      </c>
      <c r="C98" s="396" t="s">
        <v>158</v>
      </c>
      <c r="D98" s="398">
        <f>D97*$B$83/100</f>
        <v>24.48695</v>
      </c>
      <c r="E98" s="339"/>
      <c r="F98" s="338">
        <f>F97*$B$83/100</f>
        <v>21.810400000000001</v>
      </c>
    </row>
    <row r="99" spans="1:10" ht="19.5" customHeight="1" thickBot="1" x14ac:dyDescent="0.35">
      <c r="A99" s="500" t="s">
        <v>77</v>
      </c>
      <c r="B99" s="516"/>
      <c r="C99" s="396" t="s">
        <v>159</v>
      </c>
      <c r="D99" s="399">
        <f>D98/$B$98</f>
        <v>1.9589559999999999E-2</v>
      </c>
      <c r="E99" s="339"/>
      <c r="F99" s="342">
        <f>F98/$B$98</f>
        <v>1.744832E-2</v>
      </c>
      <c r="H99" s="332"/>
    </row>
    <row r="100" spans="1:10" ht="19.5" customHeight="1" thickBot="1" x14ac:dyDescent="0.35">
      <c r="A100" s="502"/>
      <c r="B100" s="517"/>
      <c r="C100" s="396" t="s">
        <v>138</v>
      </c>
      <c r="D100" s="400">
        <f>$B$56/$B$116</f>
        <v>1.3333333333333334E-2</v>
      </c>
      <c r="F100" s="347"/>
      <c r="G100" s="401"/>
      <c r="H100" s="332"/>
    </row>
    <row r="101" spans="1:10" ht="18.75" x14ac:dyDescent="0.3">
      <c r="C101" s="396" t="s">
        <v>80</v>
      </c>
      <c r="D101" s="397">
        <f>D100*$B$98</f>
        <v>16.666666666666668</v>
      </c>
      <c r="F101" s="347"/>
      <c r="H101" s="332"/>
    </row>
    <row r="102" spans="1:10" ht="19.5" customHeight="1" thickBot="1" x14ac:dyDescent="0.35">
      <c r="C102" s="402" t="s">
        <v>81</v>
      </c>
      <c r="D102" s="403">
        <f>D101/B34</f>
        <v>16.666666666666668</v>
      </c>
      <c r="F102" s="351"/>
      <c r="H102" s="332"/>
      <c r="J102" s="404"/>
    </row>
    <row r="103" spans="1:10" ht="18.75" x14ac:dyDescent="0.3">
      <c r="C103" s="405" t="s">
        <v>160</v>
      </c>
      <c r="D103" s="406">
        <f>AVERAGE(E91:E94,G91:G94)</f>
        <v>2634368.2979791737</v>
      </c>
      <c r="F103" s="351"/>
      <c r="G103" s="401"/>
      <c r="H103" s="332"/>
      <c r="J103" s="407"/>
    </row>
    <row r="104" spans="1:10" ht="18.75" x14ac:dyDescent="0.3">
      <c r="C104" s="379" t="s">
        <v>83</v>
      </c>
      <c r="D104" s="408">
        <f>STDEV(E91:E94,G91:G94)/D103</f>
        <v>5.4537685321018351E-3</v>
      </c>
      <c r="F104" s="351"/>
      <c r="H104" s="332"/>
      <c r="J104" s="407"/>
    </row>
    <row r="105" spans="1:10" ht="19.5" customHeight="1" thickBot="1" x14ac:dyDescent="0.35">
      <c r="C105" s="381" t="s">
        <v>20</v>
      </c>
      <c r="D105" s="409">
        <f>COUNT(E91:E94,G91:G94)</f>
        <v>6</v>
      </c>
      <c r="F105" s="351"/>
      <c r="H105" s="332"/>
      <c r="J105" s="407"/>
    </row>
    <row r="106" spans="1:10" ht="19.5" customHeight="1" thickBot="1" x14ac:dyDescent="0.35">
      <c r="A106" s="355"/>
      <c r="B106" s="355"/>
      <c r="C106" s="355"/>
      <c r="D106" s="355"/>
      <c r="E106" s="355"/>
    </row>
    <row r="107" spans="1:10" ht="27" customHeight="1" thickBot="1" x14ac:dyDescent="0.45">
      <c r="A107" s="306" t="s">
        <v>109</v>
      </c>
      <c r="B107" s="307">
        <v>900</v>
      </c>
      <c r="C107" s="361" t="s">
        <v>161</v>
      </c>
      <c r="D107" s="361" t="s">
        <v>63</v>
      </c>
      <c r="E107" s="361" t="s">
        <v>111</v>
      </c>
      <c r="F107" s="410" t="s">
        <v>112</v>
      </c>
    </row>
    <row r="108" spans="1:10" ht="26.25" customHeight="1" x14ac:dyDescent="0.4">
      <c r="A108" s="308" t="s">
        <v>162</v>
      </c>
      <c r="B108" s="309">
        <v>5</v>
      </c>
      <c r="C108" s="362">
        <v>1</v>
      </c>
      <c r="D108" s="411">
        <v>2555965</v>
      </c>
      <c r="E108" s="412">
        <f t="shared" ref="E108:E113" si="1">IF(ISBLANK(D108),"-",D108/$D$103*$D$100*$B$116)</f>
        <v>23.285719026856039</v>
      </c>
      <c r="F108" s="413">
        <f t="shared" ref="F108:F113" si="2">IF(ISBLANK(D108), "-", (E108/$B$56)*100)</f>
        <v>97.023829278566836</v>
      </c>
    </row>
    <row r="109" spans="1:10" ht="26.25" customHeight="1" x14ac:dyDescent="0.4">
      <c r="A109" s="308" t="s">
        <v>145</v>
      </c>
      <c r="B109" s="309">
        <v>10</v>
      </c>
      <c r="C109" s="366">
        <v>2</v>
      </c>
      <c r="D109" s="414">
        <v>2462377</v>
      </c>
      <c r="E109" s="415">
        <f t="shared" si="1"/>
        <v>22.433100202934192</v>
      </c>
      <c r="F109" s="416">
        <f t="shared" si="2"/>
        <v>93.471250845559126</v>
      </c>
    </row>
    <row r="110" spans="1:10" ht="26.25" customHeight="1" x14ac:dyDescent="0.4">
      <c r="A110" s="308" t="s">
        <v>146</v>
      </c>
      <c r="B110" s="309">
        <v>1</v>
      </c>
      <c r="C110" s="366">
        <v>3</v>
      </c>
      <c r="D110" s="414">
        <v>2422331</v>
      </c>
      <c r="E110" s="415">
        <f t="shared" si="1"/>
        <v>22.06826738865486</v>
      </c>
      <c r="F110" s="416">
        <f t="shared" si="2"/>
        <v>91.951114119395243</v>
      </c>
    </row>
    <row r="111" spans="1:10" ht="26.25" customHeight="1" x14ac:dyDescent="0.4">
      <c r="A111" s="308" t="s">
        <v>147</v>
      </c>
      <c r="B111" s="309">
        <v>1</v>
      </c>
      <c r="C111" s="366">
        <v>4</v>
      </c>
      <c r="D111" s="414">
        <v>2338234</v>
      </c>
      <c r="E111" s="415">
        <f t="shared" si="1"/>
        <v>21.302114834530876</v>
      </c>
      <c r="F111" s="416">
        <f t="shared" si="2"/>
        <v>88.758811810545311</v>
      </c>
    </row>
    <row r="112" spans="1:10" ht="26.25" customHeight="1" x14ac:dyDescent="0.4">
      <c r="A112" s="308" t="s">
        <v>148</v>
      </c>
      <c r="B112" s="309">
        <v>1</v>
      </c>
      <c r="C112" s="366">
        <v>5</v>
      </c>
      <c r="D112" s="414">
        <v>2427252</v>
      </c>
      <c r="E112" s="415">
        <f t="shared" si="1"/>
        <v>22.113099388831369</v>
      </c>
      <c r="F112" s="416">
        <f t="shared" si="2"/>
        <v>92.137914120130702</v>
      </c>
    </row>
    <row r="113" spans="1:10" ht="27" customHeight="1" thickBot="1" x14ac:dyDescent="0.45">
      <c r="A113" s="308" t="s">
        <v>150</v>
      </c>
      <c r="B113" s="309">
        <v>1</v>
      </c>
      <c r="C113" s="370">
        <v>6</v>
      </c>
      <c r="D113" s="417">
        <v>2445114</v>
      </c>
      <c r="E113" s="418">
        <f t="shared" si="1"/>
        <v>22.275828343749652</v>
      </c>
      <c r="F113" s="419">
        <f t="shared" si="2"/>
        <v>92.815951432290206</v>
      </c>
    </row>
    <row r="114" spans="1:10" ht="27" customHeight="1" thickBot="1" x14ac:dyDescent="0.45">
      <c r="A114" s="308" t="s">
        <v>151</v>
      </c>
      <c r="B114" s="309">
        <v>1</v>
      </c>
      <c r="C114" s="420"/>
      <c r="D114" s="337"/>
      <c r="E114" s="282"/>
      <c r="F114" s="416"/>
    </row>
    <row r="115" spans="1:10" ht="26.25" customHeight="1" x14ac:dyDescent="0.4">
      <c r="A115" s="308" t="s">
        <v>152</v>
      </c>
      <c r="B115" s="309">
        <v>1</v>
      </c>
      <c r="C115" s="420"/>
      <c r="D115" s="421" t="s">
        <v>70</v>
      </c>
      <c r="E115" s="422">
        <f>AVERAGE(E108:E113)</f>
        <v>22.246354864259501</v>
      </c>
      <c r="F115" s="423">
        <f>AVERAGE(F108:F113)</f>
        <v>92.69314526774788</v>
      </c>
    </row>
    <row r="116" spans="1:10" ht="27" customHeight="1" thickBot="1" x14ac:dyDescent="0.45">
      <c r="A116" s="308" t="s">
        <v>121</v>
      </c>
      <c r="B116" s="319">
        <f>(B115/B114)*(B113/B112)*(B111/B110)*(B109/B108)*B107</f>
        <v>1800</v>
      </c>
      <c r="C116" s="424"/>
      <c r="D116" s="425" t="s">
        <v>83</v>
      </c>
      <c r="E116" s="380">
        <f>STDEV(E108:E113)/E115</f>
        <v>2.883247442080019E-2</v>
      </c>
      <c r="F116" s="426">
        <f>STDEV(F108:F113)/F115</f>
        <v>2.8832474420800246E-2</v>
      </c>
      <c r="I116" s="282"/>
    </row>
    <row r="117" spans="1:10" ht="27" customHeight="1" thickBot="1" x14ac:dyDescent="0.45">
      <c r="A117" s="500" t="s">
        <v>77</v>
      </c>
      <c r="B117" s="501"/>
      <c r="C117" s="427"/>
      <c r="D117" s="381" t="s">
        <v>20</v>
      </c>
      <c r="E117" s="428">
        <f>COUNT(E108:E113)</f>
        <v>6</v>
      </c>
      <c r="F117" s="429">
        <f>COUNT(F108:F113)</f>
        <v>6</v>
      </c>
      <c r="I117" s="282"/>
      <c r="J117" s="407"/>
    </row>
    <row r="118" spans="1:10" ht="26.25" customHeight="1" thickBot="1" x14ac:dyDescent="0.35">
      <c r="A118" s="502"/>
      <c r="B118" s="503"/>
      <c r="C118" s="282"/>
      <c r="D118" s="430"/>
      <c r="E118" s="518" t="s">
        <v>163</v>
      </c>
      <c r="F118" s="519"/>
      <c r="G118" s="282"/>
      <c r="H118" s="282"/>
      <c r="I118" s="282"/>
    </row>
    <row r="119" spans="1:10" ht="25.5" customHeight="1" x14ac:dyDescent="0.4">
      <c r="A119" s="431"/>
      <c r="B119" s="304"/>
      <c r="C119" s="282"/>
      <c r="D119" s="425" t="s">
        <v>164</v>
      </c>
      <c r="E119" s="432">
        <f>MIN(E108:E113)</f>
        <v>21.302114834530876</v>
      </c>
      <c r="F119" s="433">
        <f>MIN(F108:F113)</f>
        <v>88.758811810545311</v>
      </c>
      <c r="G119" s="282"/>
      <c r="H119" s="282"/>
      <c r="I119" s="282"/>
    </row>
    <row r="120" spans="1:10" ht="24" customHeight="1" thickBot="1" x14ac:dyDescent="0.45">
      <c r="A120" s="431"/>
      <c r="B120" s="304"/>
      <c r="C120" s="282"/>
      <c r="D120" s="348" t="s">
        <v>165</v>
      </c>
      <c r="E120" s="434">
        <f>MAX(E108:E113)</f>
        <v>23.285719026856039</v>
      </c>
      <c r="F120" s="435">
        <f>MAX(F108:F113)</f>
        <v>97.023829278566836</v>
      </c>
      <c r="G120" s="282"/>
      <c r="H120" s="282"/>
      <c r="I120" s="282"/>
    </row>
    <row r="121" spans="1:10" ht="27" customHeight="1" x14ac:dyDescent="0.3">
      <c r="A121" s="431"/>
      <c r="B121" s="304"/>
      <c r="C121" s="282"/>
      <c r="D121" s="282"/>
      <c r="E121" s="282"/>
      <c r="F121" s="337"/>
      <c r="G121" s="282"/>
      <c r="H121" s="282"/>
      <c r="I121" s="282"/>
    </row>
    <row r="122" spans="1:10" ht="25.5" customHeight="1" x14ac:dyDescent="0.3">
      <c r="A122" s="431"/>
      <c r="B122" s="304"/>
      <c r="C122" s="282"/>
      <c r="D122" s="282"/>
      <c r="E122" s="282"/>
      <c r="F122" s="337"/>
      <c r="G122" s="282"/>
      <c r="H122" s="282"/>
      <c r="I122" s="282"/>
    </row>
    <row r="123" spans="1:10" ht="18.75" x14ac:dyDescent="0.3">
      <c r="A123" s="431"/>
      <c r="B123" s="304"/>
      <c r="C123" s="282"/>
      <c r="D123" s="282"/>
      <c r="E123" s="282"/>
      <c r="F123" s="337"/>
      <c r="G123" s="282"/>
      <c r="H123" s="282"/>
      <c r="I123" s="282"/>
    </row>
    <row r="124" spans="1:10" ht="45.75" customHeight="1" x14ac:dyDescent="0.65">
      <c r="A124" s="291" t="s">
        <v>155</v>
      </c>
      <c r="B124" s="292" t="s">
        <v>122</v>
      </c>
      <c r="C124" s="495" t="str">
        <f>B26</f>
        <v>Betahistine Dihydrochloride</v>
      </c>
      <c r="D124" s="495"/>
      <c r="E124" s="282" t="s">
        <v>123</v>
      </c>
      <c r="F124" s="282"/>
      <c r="G124" s="436">
        <f>F115</f>
        <v>92.69314526774788</v>
      </c>
      <c r="H124" s="282"/>
      <c r="I124" s="282"/>
    </row>
    <row r="125" spans="1:10" ht="45.75" customHeight="1" x14ac:dyDescent="0.65">
      <c r="A125" s="291"/>
      <c r="B125" s="292" t="s">
        <v>166</v>
      </c>
      <c r="C125" s="292" t="s">
        <v>167</v>
      </c>
      <c r="D125" s="436">
        <f>MIN(F108:F113)</f>
        <v>88.758811810545311</v>
      </c>
      <c r="E125" s="292" t="s">
        <v>168</v>
      </c>
      <c r="F125" s="436">
        <f>MAX(F108:F113)</f>
        <v>97.023829278566836</v>
      </c>
      <c r="G125" s="383"/>
      <c r="H125" s="282"/>
      <c r="I125" s="282"/>
    </row>
    <row r="126" spans="1:10" ht="19.5" customHeight="1" thickBot="1" x14ac:dyDescent="0.35">
      <c r="A126" s="437"/>
      <c r="B126" s="437"/>
      <c r="C126" s="438"/>
      <c r="D126" s="438"/>
      <c r="E126" s="438"/>
      <c r="F126" s="438"/>
      <c r="G126" s="438"/>
      <c r="H126" s="438"/>
    </row>
    <row r="127" spans="1:10" ht="18.75" x14ac:dyDescent="0.3">
      <c r="B127" s="515" t="s">
        <v>26</v>
      </c>
      <c r="C127" s="515"/>
      <c r="E127" s="386" t="s">
        <v>27</v>
      </c>
      <c r="F127" s="439"/>
      <c r="G127" s="515" t="s">
        <v>28</v>
      </c>
      <c r="H127" s="515"/>
    </row>
    <row r="128" spans="1:10" ht="69.95" customHeight="1" x14ac:dyDescent="0.3">
      <c r="A128" s="291" t="s">
        <v>29</v>
      </c>
      <c r="B128" s="440"/>
      <c r="C128" s="440"/>
      <c r="E128" s="440"/>
      <c r="F128" s="282"/>
      <c r="G128" s="440"/>
      <c r="H128" s="440"/>
    </row>
    <row r="129" spans="1:9" ht="69.95" customHeight="1" x14ac:dyDescent="0.3">
      <c r="A129" s="291" t="s">
        <v>30</v>
      </c>
      <c r="B129" s="441"/>
      <c r="C129" s="441"/>
      <c r="E129" s="441"/>
      <c r="F129" s="282"/>
      <c r="G129" s="442"/>
      <c r="H129" s="442"/>
    </row>
    <row r="130" spans="1:9" ht="18.75" x14ac:dyDescent="0.3">
      <c r="A130" s="337"/>
      <c r="B130" s="337"/>
      <c r="C130" s="337"/>
      <c r="D130" s="337"/>
      <c r="E130" s="337"/>
      <c r="F130" s="339"/>
      <c r="G130" s="337"/>
      <c r="H130" s="337"/>
      <c r="I130" s="282"/>
    </row>
    <row r="131" spans="1:9" ht="18.75" x14ac:dyDescent="0.3">
      <c r="A131" s="337"/>
      <c r="B131" s="337"/>
      <c r="C131" s="337"/>
      <c r="D131" s="337"/>
      <c r="E131" s="337"/>
      <c r="F131" s="339"/>
      <c r="G131" s="337"/>
      <c r="H131" s="337"/>
      <c r="I131" s="282"/>
    </row>
    <row r="132" spans="1:9" ht="18.75" x14ac:dyDescent="0.3">
      <c r="A132" s="337"/>
      <c r="B132" s="337"/>
      <c r="C132" s="337"/>
      <c r="D132" s="337"/>
      <c r="E132" s="337"/>
      <c r="F132" s="339"/>
      <c r="G132" s="337"/>
      <c r="H132" s="337"/>
      <c r="I132" s="282"/>
    </row>
    <row r="133" spans="1:9" ht="18.75" x14ac:dyDescent="0.3">
      <c r="A133" s="337"/>
      <c r="B133" s="337"/>
      <c r="C133" s="337"/>
      <c r="D133" s="337"/>
      <c r="E133" s="337"/>
      <c r="F133" s="339"/>
      <c r="G133" s="337"/>
      <c r="H133" s="337"/>
      <c r="I133" s="282"/>
    </row>
    <row r="134" spans="1:9" ht="18.75" x14ac:dyDescent="0.3">
      <c r="A134" s="337"/>
      <c r="B134" s="337"/>
      <c r="C134" s="337"/>
      <c r="D134" s="337"/>
      <c r="E134" s="337"/>
      <c r="F134" s="339"/>
      <c r="G134" s="337"/>
      <c r="H134" s="337"/>
      <c r="I134" s="282"/>
    </row>
    <row r="135" spans="1:9" ht="18.75" x14ac:dyDescent="0.3">
      <c r="A135" s="337"/>
      <c r="B135" s="337"/>
      <c r="C135" s="337"/>
      <c r="D135" s="337"/>
      <c r="E135" s="337"/>
      <c r="F135" s="339"/>
      <c r="G135" s="337"/>
      <c r="H135" s="337"/>
      <c r="I135" s="282"/>
    </row>
    <row r="136" spans="1:9" ht="18.75" x14ac:dyDescent="0.3">
      <c r="A136" s="337"/>
      <c r="B136" s="337"/>
      <c r="C136" s="337"/>
      <c r="D136" s="337"/>
      <c r="E136" s="337"/>
      <c r="F136" s="339"/>
      <c r="G136" s="337"/>
      <c r="H136" s="337"/>
      <c r="I136" s="282"/>
    </row>
    <row r="137" spans="1:9" ht="18.75" x14ac:dyDescent="0.3">
      <c r="A137" s="337"/>
      <c r="B137" s="337"/>
      <c r="C137" s="337"/>
      <c r="D137" s="337"/>
      <c r="E137" s="337"/>
      <c r="F137" s="339"/>
      <c r="G137" s="337"/>
      <c r="H137" s="337"/>
      <c r="I137" s="282"/>
    </row>
    <row r="138" spans="1:9" ht="18.75" x14ac:dyDescent="0.3">
      <c r="A138" s="337"/>
      <c r="B138" s="337"/>
      <c r="C138" s="337"/>
      <c r="D138" s="337"/>
      <c r="E138" s="337"/>
      <c r="F138" s="339"/>
      <c r="G138" s="337"/>
      <c r="H138" s="337"/>
      <c r="I138" s="282"/>
    </row>
    <row r="250" spans="1:1" x14ac:dyDescent="0.25">
      <c r="A250" s="28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Betahistine Dihydrochloride</vt:lpstr>
      <vt:lpstr>Betahistine Dihydrochloride 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2017-05-26T08:12:21Z</cp:lastPrinted>
  <dcterms:created xsi:type="dcterms:W3CDTF">2005-07-05T10:19:27Z</dcterms:created>
  <dcterms:modified xsi:type="dcterms:W3CDTF">2017-05-29T09:23:54Z</dcterms:modified>
</cp:coreProperties>
</file>