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tabRatio="837" activeTab="3"/>
  </bookViews>
  <sheets>
    <sheet name="SST PYROGLUTAMIC ACID" sheetId="15" r:id="rId1"/>
    <sheet name="SST INORGANIC PHOSPHATES" sheetId="14" r:id="rId2"/>
    <sheet name="CHLORIDE-GLUCUSE COMPARTMENT" sheetId="8" r:id="rId3"/>
    <sheet name="CHLORIDE-AMINO ACID COMPARTMENT" sheetId="9" r:id="rId4"/>
    <sheet name="GLUCOSE" sheetId="10" r:id="rId5"/>
    <sheet name="PYROGLUTAMIC ACID" sheetId="11" r:id="rId6"/>
    <sheet name="INORGANIC PHOSPHATES" sheetId="12" r:id="rId7"/>
  </sheets>
  <definedNames>
    <definedName name="_xlnm.Print_Area" localSheetId="3">'CHLORIDE-AMINO ACID COMPARTMENT'!$A$1:$I$64</definedName>
    <definedName name="_xlnm.Print_Area" localSheetId="2">'CHLORIDE-GLUCUSE COMPARTMENT'!$A$1:$I$64</definedName>
    <definedName name="_xlnm.Print_Area" localSheetId="4">GLUCOSE!$A$1:$I$52</definedName>
    <definedName name="_xlnm.Print_Area" localSheetId="6">'INORGANIC PHOSPHATES'!$A$1:$J$95</definedName>
    <definedName name="_xlnm.Print_Area" localSheetId="5">'PYROGLUTAMIC ACID'!$A$1:$H$79</definedName>
    <definedName name="_xlnm.Print_Area" localSheetId="1">'SST INORGANIC PHOSPHATES'!$B$4:$L$40</definedName>
    <definedName name="_xlnm.Print_Area" localSheetId="0">'SST PYROGLUTAMIC ACID'!$A$15:$G$61</definedName>
  </definedNames>
  <calcPr calcId="144525"/>
</workbook>
</file>

<file path=xl/calcChain.xml><?xml version="1.0" encoding="utf-8"?>
<calcChain xmlns="http://schemas.openxmlformats.org/spreadsheetml/2006/main">
  <c r="B21" i="15" l="1"/>
  <c r="B53" i="15"/>
  <c r="E51" i="15"/>
  <c r="D51" i="15"/>
  <c r="C51" i="15"/>
  <c r="B51" i="15"/>
  <c r="B52" i="15" s="1"/>
  <c r="B32" i="15"/>
  <c r="E30" i="15"/>
  <c r="D30" i="15"/>
  <c r="C30" i="15"/>
  <c r="B30" i="15"/>
  <c r="B31" i="15" s="1"/>
  <c r="H73" i="12" l="1"/>
  <c r="G73" i="12" l="1"/>
  <c r="I73" i="12" s="1"/>
  <c r="I83" i="12"/>
  <c r="I82" i="12"/>
  <c r="I81" i="12"/>
  <c r="I79" i="12"/>
  <c r="I78" i="12"/>
  <c r="H83" i="12"/>
  <c r="H82" i="12"/>
  <c r="H81" i="12"/>
  <c r="H79" i="12"/>
  <c r="H78" i="12"/>
  <c r="H77" i="12"/>
  <c r="G83" i="12"/>
  <c r="G82" i="12"/>
  <c r="G81" i="12"/>
  <c r="G79" i="12"/>
  <c r="G78" i="12"/>
  <c r="I77" i="12"/>
  <c r="I75" i="12"/>
  <c r="H75" i="12"/>
  <c r="G77" i="12"/>
  <c r="G75" i="12"/>
  <c r="I74" i="12"/>
  <c r="H74" i="12"/>
  <c r="G74" i="12"/>
  <c r="I76" i="12"/>
  <c r="I80" i="12"/>
  <c r="I84" i="12"/>
  <c r="F58" i="12"/>
  <c r="F35" i="14" l="1"/>
  <c r="F34" i="14"/>
  <c r="F36" i="14" s="1"/>
  <c r="C90" i="12" l="1"/>
  <c r="H84" i="12"/>
  <c r="B81" i="12"/>
  <c r="E70" i="12"/>
  <c r="D70" i="12"/>
  <c r="B69" i="12"/>
  <c r="J59" i="12"/>
  <c r="I59" i="12"/>
  <c r="H59" i="12"/>
  <c r="J58" i="12"/>
  <c r="I58" i="12"/>
  <c r="H58" i="12"/>
  <c r="G58" i="12"/>
  <c r="E58" i="12"/>
  <c r="D58" i="12"/>
  <c r="C58" i="12"/>
  <c r="B58" i="12"/>
  <c r="J47" i="12"/>
  <c r="I47" i="12"/>
  <c r="H47" i="12"/>
  <c r="G47" i="12"/>
  <c r="G59" i="12" s="1"/>
  <c r="F47" i="12"/>
  <c r="E47" i="12"/>
  <c r="D47" i="12"/>
  <c r="C47" i="12"/>
  <c r="B47" i="12"/>
  <c r="B34" i="12"/>
  <c r="B61" i="12" s="1"/>
  <c r="B60" i="12" s="1"/>
  <c r="B30" i="12"/>
  <c r="C75" i="11"/>
  <c r="H70" i="11"/>
  <c r="G70" i="11"/>
  <c r="B67" i="11"/>
  <c r="B68" i="11" s="1"/>
  <c r="H66" i="11"/>
  <c r="G66" i="11"/>
  <c r="H62" i="11"/>
  <c r="G62" i="11"/>
  <c r="E56" i="11"/>
  <c r="B55" i="11"/>
  <c r="B45" i="11"/>
  <c r="D48" i="11" s="1"/>
  <c r="F42" i="11"/>
  <c r="D42" i="11"/>
  <c r="G41" i="11"/>
  <c r="E41" i="11"/>
  <c r="B34" i="11"/>
  <c r="D44" i="11" s="1"/>
  <c r="B30" i="11"/>
  <c r="D45" i="11" l="1"/>
  <c r="D46" i="11" s="1"/>
  <c r="F44" i="11"/>
  <c r="F45" i="11" s="1"/>
  <c r="F46" i="11" s="1"/>
  <c r="F59" i="12"/>
  <c r="E59" i="12"/>
  <c r="D59" i="12"/>
  <c r="C59" i="12"/>
  <c r="B59" i="12"/>
  <c r="B64" i="12" s="1"/>
  <c r="D49" i="11"/>
  <c r="C48" i="10"/>
  <c r="I43" i="10"/>
  <c r="H43" i="10"/>
  <c r="G43" i="10"/>
  <c r="B40" i="10"/>
  <c r="G38" i="10" s="1"/>
  <c r="H38" i="10" s="1"/>
  <c r="I38" i="10" s="1"/>
  <c r="I39" i="10"/>
  <c r="H39" i="10"/>
  <c r="G39" i="10"/>
  <c r="I35" i="10"/>
  <c r="H35" i="10"/>
  <c r="G35" i="10"/>
  <c r="B29" i="10"/>
  <c r="E28" i="10"/>
  <c r="G38" i="11" l="1"/>
  <c r="G39" i="11"/>
  <c r="E40" i="11"/>
  <c r="E39" i="11"/>
  <c r="E38" i="11"/>
  <c r="G42" i="10"/>
  <c r="H42" i="10" s="1"/>
  <c r="I42" i="10" s="1"/>
  <c r="G40" i="11"/>
  <c r="B66" i="12"/>
  <c r="B63" i="12"/>
  <c r="B65" i="12"/>
  <c r="G33" i="10"/>
  <c r="H33" i="10" s="1"/>
  <c r="I33" i="10" s="1"/>
  <c r="G36" i="10"/>
  <c r="H36" i="10" s="1"/>
  <c r="I36" i="10" s="1"/>
  <c r="G41" i="10"/>
  <c r="H41" i="10" s="1"/>
  <c r="I41" i="10" s="1"/>
  <c r="G34" i="10"/>
  <c r="H34" i="10" s="1"/>
  <c r="I34" i="10" s="1"/>
  <c r="G32" i="10"/>
  <c r="H32" i="10" s="1"/>
  <c r="G37" i="10"/>
  <c r="H37" i="10" s="1"/>
  <c r="I37" i="10" s="1"/>
  <c r="G40" i="10"/>
  <c r="H40" i="10" s="1"/>
  <c r="I40" i="10" s="1"/>
  <c r="D46" i="9"/>
  <c r="D46" i="8"/>
  <c r="D58" i="9"/>
  <c r="B57" i="9"/>
  <c r="D56" i="9"/>
  <c r="E53" i="9" s="1"/>
  <c r="I55" i="9"/>
  <c r="H55" i="9"/>
  <c r="G55" i="9"/>
  <c r="F55" i="9"/>
  <c r="E55" i="9"/>
  <c r="C48" i="9"/>
  <c r="E46" i="9"/>
  <c r="B44" i="9"/>
  <c r="G37" i="9"/>
  <c r="F37" i="9"/>
  <c r="E37" i="9"/>
  <c r="C37" i="9"/>
  <c r="C36" i="9"/>
  <c r="E36" i="9" s="1"/>
  <c r="C35" i="9"/>
  <c r="E35" i="9" s="1"/>
  <c r="C34" i="9"/>
  <c r="E34" i="9" s="1"/>
  <c r="D58" i="8"/>
  <c r="B57" i="8"/>
  <c r="D56" i="8"/>
  <c r="D57" i="8" s="1"/>
  <c r="I55" i="8"/>
  <c r="H55" i="8"/>
  <c r="G55" i="8"/>
  <c r="F55" i="8"/>
  <c r="E55" i="8"/>
  <c r="E54" i="8"/>
  <c r="E53" i="8"/>
  <c r="E52" i="8"/>
  <c r="C48" i="8"/>
  <c r="E46" i="8"/>
  <c r="B44" i="8"/>
  <c r="C37" i="8"/>
  <c r="E37" i="8" s="1"/>
  <c r="C36" i="8"/>
  <c r="E36" i="8" s="1"/>
  <c r="C35" i="8"/>
  <c r="E35" i="8" s="1"/>
  <c r="C34" i="8"/>
  <c r="E34" i="8" s="1"/>
  <c r="G42" i="11" l="1"/>
  <c r="D52" i="11"/>
  <c r="E42" i="11"/>
  <c r="D50" i="11"/>
  <c r="G60" i="11" s="1"/>
  <c r="H60" i="11" s="1"/>
  <c r="H46" i="10"/>
  <c r="I32" i="10"/>
  <c r="H44" i="10"/>
  <c r="H45" i="10" s="1"/>
  <c r="G34" i="9"/>
  <c r="G38" i="9" s="1"/>
  <c r="F53" i="9" s="1"/>
  <c r="G53" i="9" s="1"/>
  <c r="H53" i="9" s="1"/>
  <c r="I53" i="9" s="1"/>
  <c r="F34" i="9"/>
  <c r="E40" i="9"/>
  <c r="E38" i="9"/>
  <c r="E39" i="9" s="1"/>
  <c r="F35" i="9"/>
  <c r="G35" i="9"/>
  <c r="G36" i="9"/>
  <c r="F36" i="9"/>
  <c r="E52" i="9"/>
  <c r="D57" i="9"/>
  <c r="E54" i="9"/>
  <c r="G37" i="8"/>
  <c r="F37" i="8"/>
  <c r="G34" i="8"/>
  <c r="E40" i="8"/>
  <c r="F34" i="8"/>
  <c r="E38" i="8"/>
  <c r="E39" i="8" s="1"/>
  <c r="F35" i="8"/>
  <c r="G35" i="8"/>
  <c r="F36" i="8"/>
  <c r="G36" i="8"/>
  <c r="G61" i="11" l="1"/>
  <c r="H61" i="11" s="1"/>
  <c r="G68" i="11"/>
  <c r="H68" i="11" s="1"/>
  <c r="G59" i="11"/>
  <c r="H59" i="11" s="1"/>
  <c r="G64" i="11"/>
  <c r="H64" i="11" s="1"/>
  <c r="G65" i="11"/>
  <c r="H65" i="11" s="1"/>
  <c r="G63" i="11"/>
  <c r="H63" i="11" s="1"/>
  <c r="D51" i="11"/>
  <c r="G69" i="11"/>
  <c r="H69" i="11" s="1"/>
  <c r="G67" i="11"/>
  <c r="H67" i="11" s="1"/>
  <c r="F54" i="9"/>
  <c r="G54" i="9" s="1"/>
  <c r="H54" i="9" s="1"/>
  <c r="I54" i="9" s="1"/>
  <c r="F52" i="9"/>
  <c r="G52" i="9" s="1"/>
  <c r="G58" i="9" s="1"/>
  <c r="I46" i="10"/>
  <c r="I44" i="10"/>
  <c r="G56" i="9"/>
  <c r="H52" i="9"/>
  <c r="F38" i="9"/>
  <c r="F38" i="8"/>
  <c r="G38" i="8"/>
  <c r="H73" i="11" l="1"/>
  <c r="H71" i="11"/>
  <c r="G75" i="11" s="1"/>
  <c r="I45" i="10"/>
  <c r="G48" i="10"/>
  <c r="I52" i="9"/>
  <c r="H58" i="9"/>
  <c r="H56" i="9"/>
  <c r="H57" i="9" s="1"/>
  <c r="F52" i="8"/>
  <c r="G52" i="8" s="1"/>
  <c r="F53" i="8"/>
  <c r="G53" i="8" s="1"/>
  <c r="H53" i="8" s="1"/>
  <c r="I53" i="8" s="1"/>
  <c r="F54" i="8"/>
  <c r="G54" i="8" s="1"/>
  <c r="H54" i="8" s="1"/>
  <c r="I54" i="8" s="1"/>
  <c r="H72" i="11" l="1"/>
  <c r="I58" i="9"/>
  <c r="I56" i="9"/>
  <c r="I57" i="9" s="1"/>
  <c r="H52" i="8"/>
  <c r="G58" i="8"/>
  <c r="G56" i="8"/>
  <c r="H58" i="8" l="1"/>
  <c r="H56" i="8"/>
  <c r="H57" i="8" s="1"/>
  <c r="I52" i="8"/>
  <c r="I58" i="8" l="1"/>
  <c r="I56" i="8"/>
  <c r="I57" i="8" s="1"/>
  <c r="I87" i="12" l="1"/>
  <c r="I85" i="12"/>
  <c r="I86" i="12" l="1"/>
  <c r="I90" i="12"/>
</calcChain>
</file>

<file path=xl/sharedStrings.xml><?xml version="1.0" encoding="utf-8"?>
<sst xmlns="http://schemas.openxmlformats.org/spreadsheetml/2006/main" count="453" uniqueCount="200">
  <si>
    <t>Analysis Data</t>
  </si>
  <si>
    <t>Reference Substance:</t>
  </si>
  <si>
    <t>n: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</si>
  <si>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</si>
  <si>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</si>
  <si>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</si>
  <si>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</si>
  <si>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</si>
  <si>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</si>
  <si>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</si>
  <si>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</si>
  <si>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</si>
  <si>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</si>
  <si>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</si>
  <si>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</si>
  <si>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Laboratory Data Calculation Spreadsheet</t>
  </si>
  <si>
    <t>Analysis Report</t>
  </si>
  <si>
    <t>RSD:</t>
  </si>
  <si>
    <t>Determination of Content of Active Ingredient in the Sample</t>
  </si>
  <si>
    <t xml:space="preserve">Label Claim: </t>
  </si>
  <si>
    <t>National Quality Control Laoboratory</t>
  </si>
  <si>
    <t>Standardisation of Silver Nitrate</t>
  </si>
  <si>
    <t>Sodium Chloride</t>
  </si>
  <si>
    <t xml:space="preserve"> Molecular Weight:</t>
  </si>
  <si>
    <t>Target Concentration</t>
  </si>
  <si>
    <t>Reaction Ratio (Titrant:Standard)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</si>
  <si>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</si>
  <si>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</si>
  <si>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</si>
  <si>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</si>
  <si>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</si>
  <si>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</si>
  <si>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Deviation from true Value</t>
  </si>
  <si>
    <t>Correction Factor</t>
  </si>
  <si>
    <t>A</t>
  </si>
  <si>
    <t>B</t>
  </si>
  <si>
    <t>C</t>
  </si>
  <si>
    <t>D</t>
  </si>
  <si>
    <t>Average :</t>
  </si>
  <si>
    <t>Each</t>
  </si>
  <si>
    <t>contains</t>
  </si>
  <si>
    <t>Each mL of 0.1 M Silver Nitrate VS is Equivalent to</t>
  </si>
  <si>
    <t>Actual Amount (mg)</t>
  </si>
  <si>
    <t>Sample</t>
  </si>
  <si>
    <t>Volume (mL)</t>
  </si>
  <si>
    <t>Titre Vol. (mL)</t>
  </si>
  <si>
    <t>Blank</t>
  </si>
  <si>
    <t>Blank Correction</t>
  </si>
  <si>
    <t>Corrected Titre</t>
  </si>
  <si>
    <t>In sample</t>
  </si>
  <si>
    <t>Per Label Claim</t>
  </si>
  <si>
    <t>Percentage content</t>
  </si>
  <si>
    <t xml:space="preserve"> CHLORIDE</t>
  </si>
  <si>
    <t>NDQD201706443</t>
  </si>
  <si>
    <t>NUTRIFLEX SPECIAL</t>
  </si>
  <si>
    <t>RUTTO KENNEDY</t>
  </si>
  <si>
    <t>National Quality Control Laboratory</t>
  </si>
  <si>
    <t xml:space="preserve">Glucose </t>
  </si>
  <si>
    <t>Each 1ml contains 480mg glucose</t>
  </si>
  <si>
    <t>Conversion Factor:</t>
  </si>
  <si>
    <t>Initial Sample dilution (mL):</t>
  </si>
  <si>
    <t>Sample Vol (mL)</t>
  </si>
  <si>
    <t>Injection</t>
  </si>
  <si>
    <t>Response:</t>
  </si>
  <si>
    <t>Amt in sample (mg)</t>
  </si>
  <si>
    <t>Amt per label claim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</si>
  <si>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</si>
  <si>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</si>
  <si>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</si>
  <si>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</si>
  <si>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</si>
  <si>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</si>
  <si>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</si>
  <si>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</si>
  <si>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</si>
  <si>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</si>
  <si>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</si>
  <si>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</si>
  <si>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</si>
  <si>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If there are no serial dilutions, or only one dilution, enter 1 in all boxes not used.</t>
  </si>
  <si>
    <t>Average:</t>
  </si>
  <si>
    <t>Comment:</t>
  </si>
  <si>
    <t xml:space="preserve">The content of </t>
  </si>
  <si>
    <t xml:space="preserve">in the sample as a percentage of the stated  label claim is </t>
  </si>
  <si>
    <t>Each 1ml contains 0.577835mg chloride</t>
  </si>
  <si>
    <t>Each 1ml contains 2.931715mg chloride</t>
  </si>
  <si>
    <t>Code:</t>
  </si>
  <si>
    <t>% age Purity: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</si>
  <si>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</si>
  <si>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</si>
  <si>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</si>
  <si>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</si>
  <si>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</si>
  <si>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</si>
  <si>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</si>
  <si>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</si>
  <si>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</si>
  <si>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</si>
  <si>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</si>
  <si>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</si>
  <si>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</si>
  <si>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</si>
  <si>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</si>
  <si>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</si>
  <si>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</si>
  <si>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</si>
  <si>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</si>
  <si>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</si>
  <si>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</si>
  <si>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</si>
  <si>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</si>
  <si>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</si>
  <si>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</si>
  <si>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</si>
  <si>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</si>
  <si>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</si>
  <si>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</si>
  <si>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</si>
  <si>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Determination of Amoxicillin Content in Sample</t>
  </si>
  <si>
    <t>Determined Amt (mg)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</si>
  <si>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</si>
  <si>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</si>
  <si>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</si>
  <si>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</si>
  <si>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</si>
  <si>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</si>
  <si>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</si>
  <si>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</si>
  <si>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Desired Sample Volume (mL):</t>
  </si>
  <si>
    <r>
      <t>1</t>
    </r>
    <r>
      <rPr>
        <b/>
        <vertAlign val="superscript"/>
        <sz val="14"/>
        <rFont val="Book Antiqua"/>
        <family val="1"/>
      </rPr>
      <t>st</t>
    </r>
    <r>
      <rPr>
        <b/>
        <sz val="14"/>
        <rFont val="Book Antiqua"/>
        <family val="1"/>
      </rPr>
      <t xml:space="preserve"> Dilution</t>
    </r>
  </si>
  <si>
    <r>
      <t>2</t>
    </r>
    <r>
      <rPr>
        <b/>
        <vertAlign val="superscript"/>
        <sz val="14"/>
        <rFont val="Book Antiqua"/>
        <family val="1"/>
      </rPr>
      <t>nd</t>
    </r>
    <r>
      <rPr>
        <b/>
        <sz val="14"/>
        <rFont val="Book Antiqua"/>
        <family val="1"/>
      </rPr>
      <t xml:space="preserve"> Dilution</t>
    </r>
  </si>
  <si>
    <r>
      <t>3</t>
    </r>
    <r>
      <rPr>
        <b/>
        <vertAlign val="superscript"/>
        <sz val="14"/>
        <rFont val="Book Antiqua"/>
        <family val="1"/>
      </rPr>
      <t>rd</t>
    </r>
    <r>
      <rPr>
        <b/>
        <sz val="14"/>
        <rFont val="Book Antiqua"/>
        <family val="1"/>
      </rPr>
      <t xml:space="preserve"> Dilution</t>
    </r>
  </si>
  <si>
    <r>
      <t>4</t>
    </r>
    <r>
      <rPr>
        <b/>
        <vertAlign val="superscript"/>
        <sz val="14"/>
        <rFont val="Book Antiqua"/>
        <family val="1"/>
      </rPr>
      <t>th</t>
    </r>
    <r>
      <rPr>
        <b/>
        <sz val="14"/>
        <rFont val="Book Antiqua"/>
        <family val="1"/>
      </rPr>
      <t xml:space="preserve"> Dilution</t>
    </r>
  </si>
  <si>
    <r>
      <t>5</t>
    </r>
    <r>
      <rPr>
        <b/>
        <vertAlign val="superscript"/>
        <sz val="14"/>
        <rFont val="Book Antiqua"/>
        <family val="1"/>
      </rPr>
      <t>th</t>
    </r>
    <r>
      <rPr>
        <b/>
        <sz val="14"/>
        <rFont val="Book Antiqua"/>
        <family val="1"/>
      </rPr>
      <t xml:space="preserve"> Dilution</t>
    </r>
  </si>
  <si>
    <r>
      <t>6</t>
    </r>
    <r>
      <rPr>
        <b/>
        <vertAlign val="superscript"/>
        <sz val="14"/>
        <rFont val="Book Antiqua"/>
        <family val="1"/>
      </rPr>
      <t>th</t>
    </r>
    <r>
      <rPr>
        <b/>
        <sz val="14"/>
        <rFont val="Book Antiqua"/>
        <family val="1"/>
      </rPr>
      <t xml:space="preserve"> Dilution</t>
    </r>
  </si>
  <si>
    <r>
      <t>7</t>
    </r>
    <r>
      <rPr>
        <b/>
        <vertAlign val="superscript"/>
        <sz val="14"/>
        <rFont val="Book Antiqua"/>
        <family val="1"/>
      </rPr>
      <t>th</t>
    </r>
    <r>
      <rPr>
        <b/>
        <sz val="14"/>
        <rFont val="Book Antiqua"/>
        <family val="1"/>
      </rPr>
      <t xml:space="preserve"> Dilution</t>
    </r>
  </si>
  <si>
    <r>
      <t>8</t>
    </r>
    <r>
      <rPr>
        <b/>
        <vertAlign val="superscript"/>
        <sz val="14"/>
        <rFont val="Book Antiqua"/>
        <family val="1"/>
      </rPr>
      <t>th</t>
    </r>
    <r>
      <rPr>
        <b/>
        <sz val="14"/>
        <rFont val="Book Antiqua"/>
        <family val="1"/>
      </rPr>
      <t xml:space="preserve"> Dilution</t>
    </r>
  </si>
  <si>
    <r>
      <t>9</t>
    </r>
    <r>
      <rPr>
        <b/>
        <vertAlign val="superscript"/>
        <sz val="14"/>
        <rFont val="Book Antiqua"/>
        <family val="1"/>
      </rPr>
      <t>th</t>
    </r>
    <r>
      <rPr>
        <b/>
        <sz val="14"/>
        <rFont val="Book Antiqua"/>
        <family val="1"/>
      </rPr>
      <t xml:space="preserve"> Dilution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</si>
  <si>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</si>
  <si>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</si>
  <si>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</si>
  <si>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</si>
  <si>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</si>
  <si>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</si>
  <si>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</si>
  <si>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Final Volume (mL):</t>
    </r>
  </si>
  <si>
    <t>Slope:</t>
  </si>
  <si>
    <t>Y intercept:</t>
  </si>
  <si>
    <t>r:</t>
  </si>
  <si>
    <r>
      <t>r</t>
    </r>
    <r>
      <rPr>
        <vertAlign val="superscript"/>
        <sz val="14"/>
        <rFont val="Book Antiqua"/>
        <family val="1"/>
      </rPr>
      <t>2</t>
    </r>
    <r>
      <rPr>
        <sz val="14"/>
        <rFont val="Book Antiqua"/>
        <family val="1"/>
      </rPr>
      <t>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</si>
  <si>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</si>
  <si>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</si>
  <si>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</si>
  <si>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</si>
  <si>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</si>
  <si>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</si>
  <si>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</si>
  <si>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Final Volume (mL):</t>
    </r>
  </si>
  <si>
    <t>Comment</t>
  </si>
  <si>
    <t>Pyroglutamic acid</t>
  </si>
  <si>
    <t>L43-1</t>
  </si>
  <si>
    <t>INORGANIC PHOSPHATES</t>
  </si>
  <si>
    <t>Each 1ml contains 2.8518mg Inorganic Phosphates</t>
  </si>
  <si>
    <t>Sodium Dihydrogen Phosphate dihydrate</t>
  </si>
  <si>
    <t>RUTTO      KENNEDY</t>
  </si>
  <si>
    <t>SENSITIVITY</t>
  </si>
  <si>
    <t>SD</t>
  </si>
  <si>
    <t>MEAN</t>
  </si>
  <si>
    <t>RSD</t>
  </si>
  <si>
    <t>Absorbances</t>
  </si>
  <si>
    <t>Conc (mg/ml)</t>
  </si>
  <si>
    <t>RUTTO       KENNEDY</t>
  </si>
  <si>
    <t xml:space="preserve"> (Y) Response:</t>
  </si>
  <si>
    <t>(X) Concentration (mg/mL):</t>
  </si>
  <si>
    <t>Actual Conc. (mg/ml)</t>
  </si>
  <si>
    <t>Expected Conc. (mg/ml)</t>
  </si>
  <si>
    <t>RUTTO            KENNEDY</t>
  </si>
  <si>
    <t>RUTTO              KENNEDY</t>
  </si>
  <si>
    <r>
      <t xml:space="preserve">Each 1ml contains </t>
    </r>
    <r>
      <rPr>
        <sz val="20"/>
        <color rgb="FF000000"/>
        <rFont val="Calibri"/>
        <family val="2"/>
      </rPr>
      <t xml:space="preserve">≤0.65g/l </t>
    </r>
    <r>
      <rPr>
        <sz val="20"/>
        <color rgb="FF000000"/>
        <rFont val="Book Antiqua"/>
        <family val="1"/>
      </rPr>
      <t>pyroglutamic acid</t>
    </r>
  </si>
  <si>
    <t>Analysed by</t>
  </si>
  <si>
    <t>Reviewed by</t>
  </si>
  <si>
    <t>HPLC System Suitability Report</t>
  </si>
  <si>
    <t>Assay</t>
  </si>
  <si>
    <t>Sample(s)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</si>
  <si>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</si>
  <si>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</si>
  <si>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</si>
  <si>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</si>
  <si>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</si>
  <si>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</si>
  <si>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</si>
  <si>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</si>
  <si>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</si>
  <si>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</si>
  <si>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</si>
  <si>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</si>
  <si>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</si>
  <si>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</si>
  <si>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PYROGLUTAMIC ACID</t>
  </si>
  <si>
    <t>RUTTO  KENNEDY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</si>
</sst>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164" formatCode="0.00000"/>
    <numFmt numFmtId="165" formatCode="0.0000"/>
    <numFmt numFmtId="166" formatCode="0.000"/>
    <numFmt numFmtId="167" formatCode="0\ &quot;mg&quot;"/>
    <numFmt numFmtId="168" formatCode="0.00\ &quot;M&quot;"/>
    <numFmt numFmtId="169" formatCode="0\ &quot;mL&quot;"/>
    <numFmt numFmtId="170" formatCode="0.000\ &quot;mg&quot;"/>
    <numFmt numFmtId="171" formatCode="dd\-mmm\-yyyy"/>
    <numFmt numFmtId="172" formatCode="0.0\ &quot;mL&quot;"/>
    <numFmt numFmtId="173" formatCode="0.0%"/>
    <numFmt numFmtId="174" formatCode="0.0000\ &quot;mg&quot;"/>
    <numFmt numFmtId="175" formatCode="0.00\ &quot;mg&quot;"/>
    <numFmt numFmtId="176" formatCode="0.0000000000"/>
    <numFmt numFmtId="177" formatCode="0.00\ &quot;%&quot;"/>
    <numFmt numFmtId="178" formatCode="0.0\ &quot;%&quot;"/>
    <numFmt numFmtId="179" formatCode="0.0"/>
    <numFmt numFmtId="180" formatCode="0.00000000000"/>
  </numFmts>
  <fonts count="5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1"/>
      <color rgb="FF000000"/>
      <name val="Calibri"/>
      <family val="2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4"/>
      <color rgb="FF000000"/>
      <name val="Arial"/>
      <family val="2"/>
    </font>
    <font>
      <i/>
      <sz val="14"/>
      <color rgb="FF000000"/>
      <name val="Arial"/>
      <family val="2"/>
    </font>
    <font>
      <sz val="10"/>
      <name val="Arial"/>
      <family val="2"/>
    </font>
    <font>
      <b/>
      <sz val="72"/>
      <name val="Book Antiqua"/>
      <family val="1"/>
    </font>
    <font>
      <b/>
      <sz val="52"/>
      <name val="Book Antiqua"/>
      <family val="1"/>
    </font>
    <font>
      <b/>
      <i/>
      <sz val="14"/>
      <name val="Book Antiqua"/>
      <family val="1"/>
    </font>
    <font>
      <b/>
      <u/>
      <sz val="14"/>
      <name val="Book Antiqua"/>
      <family val="1"/>
    </font>
    <font>
      <sz val="14"/>
      <name val="Book Antiqua"/>
      <family val="1"/>
    </font>
    <font>
      <b/>
      <sz val="14"/>
      <name val="Book Antiqua"/>
      <family val="1"/>
    </font>
    <font>
      <b/>
      <sz val="20"/>
      <name val="Book Antiqua"/>
      <family val="1"/>
    </font>
    <font>
      <sz val="20"/>
      <name val="Book Antiqua"/>
      <family val="1"/>
    </font>
    <font>
      <i/>
      <sz val="14"/>
      <name val="Arial"/>
      <family val="2"/>
    </font>
    <font>
      <sz val="14"/>
      <name val="Arial"/>
      <family val="2"/>
    </font>
    <font>
      <b/>
      <vertAlign val="superscript"/>
      <sz val="14"/>
      <name val="Book Antiqua"/>
      <family val="1"/>
    </font>
    <font>
      <vertAlign val="superscript"/>
      <sz val="14"/>
      <name val="Book Antiqua"/>
      <family val="1"/>
    </font>
    <font>
      <b/>
      <u/>
      <sz val="12"/>
      <name val="Book Antiqua"/>
      <family val="1"/>
    </font>
    <font>
      <sz val="12"/>
      <name val="Book Antiqua"/>
      <family val="1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</font>
    <font>
      <sz val="20"/>
      <color rgb="FF000000"/>
      <name val="Calibri"/>
      <family val="2"/>
    </font>
    <font>
      <b/>
      <sz val="11"/>
      <name val="Calibri"/>
      <family val="2"/>
      <scheme val="minor"/>
    </font>
    <font>
      <b/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9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1">
    <xf numFmtId="0" fontId="0" fillId="0" borderId="0"/>
    <xf numFmtId="0" fontId="16" fillId="2" borderId="0"/>
    <xf numFmtId="0" fontId="17" fillId="2" borderId="0"/>
    <xf numFmtId="0" fontId="16" fillId="2" borderId="0"/>
    <xf numFmtId="0" fontId="17" fillId="2" borderId="0"/>
    <xf numFmtId="0" fontId="31" fillId="2" borderId="0"/>
    <xf numFmtId="0" fontId="4" fillId="2" borderId="0"/>
    <xf numFmtId="0" fontId="4" fillId="2" borderId="0"/>
    <xf numFmtId="9" fontId="4" fillId="2" borderId="0" applyFont="0" applyFill="0" applyBorder="0" applyAlignment="0" applyProtection="0"/>
    <xf numFmtId="0" fontId="3" fillId="2" borderId="0"/>
    <xf numFmtId="0" fontId="48" fillId="2" borderId="0"/>
  </cellStyleXfs>
  <cellXfs count="581">
    <xf numFmtId="0" fontId="0" fillId="2" borderId="0" xfId="0" applyFill="1"/>
    <xf numFmtId="0" fontId="5" fillId="2" borderId="0" xfId="0" applyFont="1" applyFill="1"/>
    <xf numFmtId="0" fontId="7" fillId="2" borderId="0" xfId="0" applyFont="1" applyFill="1" applyAlignment="1">
      <alignment horizontal="left"/>
    </xf>
    <xf numFmtId="0" fontId="8" fillId="2" borderId="0" xfId="0" applyFont="1" applyFill="1" applyAlignment="1" applyProtection="1">
      <alignment horizontal="left"/>
      <protection locked="0"/>
    </xf>
    <xf numFmtId="0" fontId="0" fillId="2" borderId="0" xfId="0" applyFill="1"/>
    <xf numFmtId="0" fontId="9" fillId="3" borderId="0" xfId="0" applyFont="1" applyFill="1" applyProtection="1">
      <protection locked="0"/>
    </xf>
    <xf numFmtId="0" fontId="13" fillId="2" borderId="2" xfId="0" applyFont="1" applyFill="1" applyBorder="1" applyAlignment="1">
      <alignment horizontal="left" vertical="center" wrapText="1"/>
    </xf>
    <xf numFmtId="0" fontId="10" fillId="2" borderId="0" xfId="0" applyFont="1" applyFill="1" applyAlignment="1">
      <alignment vertical="center"/>
    </xf>
    <xf numFmtId="15" fontId="9" fillId="2" borderId="0" xfId="0" applyNumberFormat="1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9" fillId="2" borderId="24" xfId="0" applyFont="1" applyFill="1" applyBorder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10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2" fontId="10" fillId="2" borderId="21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2" fontId="9" fillId="2" borderId="0" xfId="0" applyNumberFormat="1" applyFont="1" applyFill="1" applyAlignment="1">
      <alignment horizontal="center" vertical="center"/>
    </xf>
    <xf numFmtId="0" fontId="9" fillId="2" borderId="2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right" vertical="center"/>
    </xf>
    <xf numFmtId="0" fontId="9" fillId="2" borderId="1" xfId="0" applyFont="1" applyFill="1" applyBorder="1" applyAlignment="1">
      <alignment vertical="center"/>
    </xf>
    <xf numFmtId="0" fontId="10" fillId="2" borderId="4" xfId="0" applyFont="1" applyFill="1" applyBorder="1" applyAlignment="1" applyProtection="1">
      <alignment vertical="center"/>
      <protection locked="0"/>
    </xf>
    <xf numFmtId="0" fontId="10" fillId="2" borderId="4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10" fillId="2" borderId="0" xfId="0" applyFont="1" applyFill="1" applyAlignment="1">
      <alignment vertical="center" wrapText="1"/>
    </xf>
    <xf numFmtId="0" fontId="10" fillId="3" borderId="0" xfId="0" applyFont="1" applyFill="1" applyAlignment="1" applyProtection="1">
      <alignment vertical="center"/>
      <protection locked="0"/>
    </xf>
    <xf numFmtId="0" fontId="9" fillId="3" borderId="0" xfId="0" applyFont="1" applyFill="1" applyAlignment="1" applyProtection="1">
      <alignment horizontal="left" vertical="center"/>
      <protection locked="0"/>
    </xf>
    <xf numFmtId="15" fontId="9" fillId="3" borderId="0" xfId="0" applyNumberFormat="1" applyFont="1" applyFill="1" applyAlignment="1" applyProtection="1">
      <alignment horizontal="left" vertical="center"/>
      <protection locked="0"/>
    </xf>
    <xf numFmtId="2" fontId="9" fillId="2" borderId="31" xfId="0" applyNumberFormat="1" applyFont="1" applyFill="1" applyBorder="1"/>
    <xf numFmtId="2" fontId="9" fillId="6" borderId="31" xfId="0" applyNumberFormat="1" applyFont="1" applyFill="1" applyBorder="1"/>
    <xf numFmtId="164" fontId="9" fillId="6" borderId="31" xfId="0" applyNumberFormat="1" applyFont="1" applyFill="1" applyBorder="1"/>
    <xf numFmtId="0" fontId="9" fillId="2" borderId="0" xfId="0" applyFont="1" applyFill="1" applyAlignment="1">
      <alignment vertical="center"/>
    </xf>
    <xf numFmtId="2" fontId="9" fillId="2" borderId="32" xfId="0" applyNumberFormat="1" applyFont="1" applyFill="1" applyBorder="1"/>
    <xf numFmtId="0" fontId="13" fillId="2" borderId="0" xfId="0" applyFont="1" applyFill="1" applyAlignment="1">
      <alignment vertical="center" wrapText="1"/>
    </xf>
    <xf numFmtId="0" fontId="10" fillId="2" borderId="0" xfId="0" applyFont="1" applyFill="1" applyAlignment="1">
      <alignment horizontal="right"/>
    </xf>
    <xf numFmtId="0" fontId="9" fillId="2" borderId="26" xfId="0" applyFont="1" applyFill="1" applyBorder="1" applyAlignment="1">
      <alignment horizontal="right"/>
    </xf>
    <xf numFmtId="0" fontId="9" fillId="2" borderId="28" xfId="0" applyFont="1" applyFill="1" applyBorder="1" applyAlignment="1">
      <alignment horizontal="right"/>
    </xf>
    <xf numFmtId="10" fontId="9" fillId="4" borderId="9" xfId="0" applyNumberFormat="1" applyFont="1" applyFill="1" applyBorder="1" applyAlignment="1">
      <alignment horizontal="center"/>
    </xf>
    <xf numFmtId="0" fontId="9" fillId="2" borderId="15" xfId="0" applyFont="1" applyFill="1" applyBorder="1" applyAlignment="1">
      <alignment horizontal="right"/>
    </xf>
    <xf numFmtId="0" fontId="9" fillId="5" borderId="10" xfId="0" applyFont="1" applyFill="1" applyBorder="1" applyAlignment="1">
      <alignment horizontal="center"/>
    </xf>
    <xf numFmtId="164" fontId="10" fillId="5" borderId="18" xfId="0" applyNumberFormat="1" applyFont="1" applyFill="1" applyBorder="1" applyAlignment="1">
      <alignment horizontal="center"/>
    </xf>
    <xf numFmtId="0" fontId="9" fillId="2" borderId="0" xfId="0" applyFont="1" applyFill="1"/>
    <xf numFmtId="2" fontId="10" fillId="2" borderId="0" xfId="0" applyNumberFormat="1" applyFont="1" applyFill="1" applyAlignment="1" applyProtection="1">
      <alignment horizontal="center"/>
      <protection locked="0"/>
    </xf>
    <xf numFmtId="2" fontId="10" fillId="2" borderId="0" xfId="0" applyNumberFormat="1" applyFont="1" applyFill="1" applyAlignment="1">
      <alignment horizontal="centerContinuous"/>
    </xf>
    <xf numFmtId="0" fontId="9" fillId="2" borderId="18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2" fontId="9" fillId="2" borderId="0" xfId="0" applyNumberFormat="1" applyFont="1" applyFill="1" applyAlignment="1">
      <alignment horizontal="right"/>
    </xf>
    <xf numFmtId="2" fontId="12" fillId="3" borderId="18" xfId="0" applyNumberFormat="1" applyFont="1" applyFill="1" applyBorder="1" applyAlignment="1" applyProtection="1">
      <alignment horizontal="center"/>
      <protection locked="0"/>
    </xf>
    <xf numFmtId="2" fontId="12" fillId="3" borderId="9" xfId="0" applyNumberFormat="1" applyFont="1" applyFill="1" applyBorder="1" applyAlignment="1" applyProtection="1">
      <alignment horizontal="center"/>
      <protection locked="0"/>
    </xf>
    <xf numFmtId="2" fontId="12" fillId="3" borderId="10" xfId="0" applyNumberFormat="1" applyFont="1" applyFill="1" applyBorder="1" applyAlignment="1" applyProtection="1">
      <alignment horizontal="center"/>
      <protection locked="0"/>
    </xf>
    <xf numFmtId="2" fontId="10" fillId="2" borderId="3" xfId="0" applyNumberFormat="1" applyFont="1" applyFill="1" applyBorder="1" applyAlignment="1">
      <alignment horizontal="center" vertical="center"/>
    </xf>
    <xf numFmtId="165" fontId="9" fillId="2" borderId="27" xfId="0" applyNumberFormat="1" applyFont="1" applyFill="1" applyBorder="1" applyAlignment="1">
      <alignment horizontal="center"/>
    </xf>
    <xf numFmtId="165" fontId="9" fillId="2" borderId="4" xfId="0" applyNumberFormat="1" applyFont="1" applyFill="1" applyBorder="1" applyAlignment="1">
      <alignment horizontal="center"/>
    </xf>
    <xf numFmtId="165" fontId="9" fillId="2" borderId="33" xfId="0" applyNumberFormat="1" applyFont="1" applyFill="1" applyBorder="1" applyAlignment="1">
      <alignment horizontal="center"/>
    </xf>
    <xf numFmtId="2" fontId="12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 applyProtection="1">
      <alignment horizontal="center"/>
      <protection locked="0"/>
    </xf>
    <xf numFmtId="2" fontId="12" fillId="3" borderId="0" xfId="0" applyNumberFormat="1" applyFont="1" applyFill="1" applyAlignment="1" applyProtection="1">
      <alignment horizontal="left"/>
      <protection locked="0"/>
    </xf>
    <xf numFmtId="2" fontId="10" fillId="2" borderId="23" xfId="0" applyNumberFormat="1" applyFont="1" applyFill="1" applyBorder="1" applyAlignment="1">
      <alignment horizontal="center" vertical="center"/>
    </xf>
    <xf numFmtId="2" fontId="10" fillId="2" borderId="5" xfId="0" applyNumberFormat="1" applyFont="1" applyFill="1" applyBorder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0" fontId="9" fillId="2" borderId="12" xfId="0" applyFont="1" applyFill="1" applyBorder="1" applyAlignment="1">
      <alignment horizontal="center"/>
    </xf>
    <xf numFmtId="0" fontId="9" fillId="2" borderId="28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2" fontId="12" fillId="3" borderId="12" xfId="0" applyNumberFormat="1" applyFont="1" applyFill="1" applyBorder="1" applyAlignment="1" applyProtection="1">
      <alignment horizontal="center"/>
      <protection locked="0"/>
    </xf>
    <xf numFmtId="2" fontId="12" fillId="3" borderId="28" xfId="0" applyNumberFormat="1" applyFont="1" applyFill="1" applyBorder="1" applyAlignment="1" applyProtection="1">
      <alignment horizontal="center"/>
      <protection locked="0"/>
    </xf>
    <xf numFmtId="2" fontId="12" fillId="3" borderId="15" xfId="0" applyNumberFormat="1" applyFont="1" applyFill="1" applyBorder="1" applyAlignment="1" applyProtection="1">
      <alignment horizontal="center"/>
      <protection locked="0"/>
    </xf>
    <xf numFmtId="165" fontId="10" fillId="5" borderId="7" xfId="0" applyNumberFormat="1" applyFont="1" applyFill="1" applyBorder="1" applyAlignment="1">
      <alignment horizontal="center"/>
    </xf>
    <xf numFmtId="2" fontId="12" fillId="3" borderId="14" xfId="0" applyNumberFormat="1" applyFont="1" applyFill="1" applyBorder="1" applyAlignment="1" applyProtection="1">
      <alignment horizontal="center"/>
      <protection locked="0"/>
    </xf>
    <xf numFmtId="2" fontId="12" fillId="3" borderId="34" xfId="0" applyNumberFormat="1" applyFont="1" applyFill="1" applyBorder="1" applyAlignment="1" applyProtection="1">
      <alignment horizontal="center"/>
      <protection locked="0"/>
    </xf>
    <xf numFmtId="2" fontId="12" fillId="3" borderId="17" xfId="0" applyNumberFormat="1" applyFont="1" applyFill="1" applyBorder="1" applyAlignment="1" applyProtection="1">
      <alignment horizontal="center"/>
      <protection locked="0"/>
    </xf>
    <xf numFmtId="0" fontId="9" fillId="2" borderId="12" xfId="0" applyFont="1" applyFill="1" applyBorder="1" applyAlignment="1">
      <alignment horizontal="right"/>
    </xf>
    <xf numFmtId="10" fontId="11" fillId="4" borderId="9" xfId="0" applyNumberFormat="1" applyFont="1" applyFill="1" applyBorder="1" applyAlignment="1">
      <alignment horizontal="center"/>
    </xf>
    <xf numFmtId="0" fontId="11" fillId="5" borderId="10" xfId="0" applyFont="1" applyFill="1" applyBorder="1" applyAlignment="1">
      <alignment horizontal="center"/>
    </xf>
    <xf numFmtId="2" fontId="10" fillId="2" borderId="22" xfId="0" applyNumberFormat="1" applyFont="1" applyFill="1" applyBorder="1" applyAlignment="1">
      <alignment horizontal="center" vertical="center"/>
    </xf>
    <xf numFmtId="2" fontId="12" fillId="5" borderId="7" xfId="0" applyNumberFormat="1" applyFont="1" applyFill="1" applyBorder="1" applyAlignment="1">
      <alignment horizontal="center"/>
    </xf>
    <xf numFmtId="2" fontId="9" fillId="2" borderId="27" xfId="0" applyNumberFormat="1" applyFont="1" applyFill="1" applyBorder="1" applyAlignment="1">
      <alignment horizontal="center"/>
    </xf>
    <xf numFmtId="165" fontId="9" fillId="2" borderId="18" xfId="0" applyNumberFormat="1" applyFont="1" applyFill="1" applyBorder="1" applyAlignment="1">
      <alignment horizontal="center" vertical="center"/>
    </xf>
    <xf numFmtId="165" fontId="9" fillId="2" borderId="9" xfId="0" applyNumberFormat="1" applyFont="1" applyFill="1" applyBorder="1" applyAlignment="1">
      <alignment horizontal="center" vertical="center"/>
    </xf>
    <xf numFmtId="165" fontId="9" fillId="2" borderId="10" xfId="0" applyNumberFormat="1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right" vertical="center"/>
    </xf>
    <xf numFmtId="168" fontId="12" fillId="3" borderId="0" xfId="0" applyNumberFormat="1" applyFont="1" applyFill="1" applyAlignment="1" applyProtection="1">
      <alignment horizontal="center"/>
      <protection locked="0"/>
    </xf>
    <xf numFmtId="164" fontId="9" fillId="2" borderId="27" xfId="0" applyNumberFormat="1" applyFont="1" applyFill="1" applyBorder="1" applyAlignment="1">
      <alignment horizontal="center"/>
    </xf>
    <xf numFmtId="164" fontId="9" fillId="2" borderId="4" xfId="0" applyNumberFormat="1" applyFont="1" applyFill="1" applyBorder="1" applyAlignment="1">
      <alignment horizontal="center"/>
    </xf>
    <xf numFmtId="164" fontId="9" fillId="2" borderId="33" xfId="0" applyNumberFormat="1" applyFont="1" applyFill="1" applyBorder="1" applyAlignment="1">
      <alignment horizontal="center"/>
    </xf>
    <xf numFmtId="164" fontId="9" fillId="2" borderId="18" xfId="0" applyNumberFormat="1" applyFont="1" applyFill="1" applyBorder="1" applyAlignment="1">
      <alignment horizontal="center"/>
    </xf>
    <xf numFmtId="164" fontId="9" fillId="2" borderId="9" xfId="0" applyNumberFormat="1" applyFont="1" applyFill="1" applyBorder="1" applyAlignment="1">
      <alignment horizontal="center"/>
    </xf>
    <xf numFmtId="164" fontId="9" fillId="2" borderId="10" xfId="0" applyNumberFormat="1" applyFont="1" applyFill="1" applyBorder="1" applyAlignment="1">
      <alignment horizontal="center"/>
    </xf>
    <xf numFmtId="2" fontId="9" fillId="2" borderId="35" xfId="0" applyNumberFormat="1" applyFont="1" applyFill="1" applyBorder="1"/>
    <xf numFmtId="10" fontId="9" fillId="2" borderId="0" xfId="0" applyNumberFormat="1" applyFont="1" applyFill="1" applyAlignment="1">
      <alignment horizontal="center"/>
    </xf>
    <xf numFmtId="10" fontId="9" fillId="2" borderId="10" xfId="0" applyNumberFormat="1" applyFont="1" applyFill="1" applyBorder="1" applyAlignment="1">
      <alignment horizontal="center"/>
    </xf>
    <xf numFmtId="2" fontId="9" fillId="2" borderId="19" xfId="0" applyNumberFormat="1" applyFont="1" applyFill="1" applyBorder="1" applyAlignment="1">
      <alignment horizontal="center"/>
    </xf>
    <xf numFmtId="2" fontId="9" fillId="2" borderId="8" xfId="0" applyNumberFormat="1" applyFont="1" applyFill="1" applyBorder="1" applyAlignment="1">
      <alignment horizontal="center"/>
    </xf>
    <xf numFmtId="2" fontId="9" fillId="2" borderId="11" xfId="0" applyNumberFormat="1" applyFont="1" applyFill="1" applyBorder="1" applyAlignment="1">
      <alignment horizontal="center"/>
    </xf>
    <xf numFmtId="10" fontId="11" fillId="2" borderId="9" xfId="0" applyNumberFormat="1" applyFont="1" applyFill="1" applyBorder="1" applyAlignment="1">
      <alignment horizontal="center"/>
    </xf>
    <xf numFmtId="2" fontId="9" fillId="2" borderId="4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vertical="center"/>
    </xf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10" fontId="9" fillId="2" borderId="18" xfId="0" applyNumberFormat="1" applyFont="1" applyFill="1" applyBorder="1" applyAlignment="1">
      <alignment horizontal="center"/>
    </xf>
    <xf numFmtId="10" fontId="9" fillId="2" borderId="9" xfId="0" applyNumberFormat="1" applyFont="1" applyFill="1" applyBorder="1" applyAlignment="1">
      <alignment horizontal="center"/>
    </xf>
    <xf numFmtId="10" fontId="12" fillId="5" borderId="7" xfId="0" applyNumberFormat="1" applyFont="1" applyFill="1" applyBorder="1" applyAlignment="1">
      <alignment horizontal="center"/>
    </xf>
    <xf numFmtId="2" fontId="9" fillId="2" borderId="33" xfId="0" applyNumberFormat="1" applyFont="1" applyFill="1" applyBorder="1" applyAlignment="1">
      <alignment horizontal="center"/>
    </xf>
    <xf numFmtId="165" fontId="10" fillId="5" borderId="5" xfId="0" applyNumberFormat="1" applyFont="1" applyFill="1" applyBorder="1" applyAlignment="1">
      <alignment horizontal="center"/>
    </xf>
    <xf numFmtId="10" fontId="10" fillId="5" borderId="29" xfId="0" applyNumberFormat="1" applyFont="1" applyFill="1" applyBorder="1" applyAlignment="1">
      <alignment horizontal="center"/>
    </xf>
    <xf numFmtId="165" fontId="10" fillId="2" borderId="0" xfId="0" applyNumberFormat="1" applyFont="1" applyFill="1" applyAlignment="1" applyProtection="1">
      <alignment horizontal="center" vertical="center"/>
      <protection locked="0"/>
    </xf>
    <xf numFmtId="0" fontId="9" fillId="2" borderId="0" xfId="0" applyFont="1" applyFill="1" applyAlignment="1" applyProtection="1">
      <alignment vertical="center"/>
      <protection locked="0"/>
    </xf>
    <xf numFmtId="0" fontId="10" fillId="2" borderId="0" xfId="0" applyFont="1" applyFill="1" applyAlignment="1" applyProtection="1">
      <alignment horizontal="center" vertical="center"/>
      <protection locked="0"/>
    </xf>
    <xf numFmtId="166" fontId="12" fillId="3" borderId="18" xfId="0" applyNumberFormat="1" applyFont="1" applyFill="1" applyBorder="1" applyAlignment="1" applyProtection="1">
      <alignment horizontal="center"/>
      <protection locked="0"/>
    </xf>
    <xf numFmtId="166" fontId="12" fillId="3" borderId="9" xfId="0" applyNumberFormat="1" applyFont="1" applyFill="1" applyBorder="1" applyAlignment="1" applyProtection="1">
      <alignment horizontal="center"/>
      <protection locked="0"/>
    </xf>
    <xf numFmtId="166" fontId="12" fillId="3" borderId="10" xfId="0" applyNumberFormat="1" applyFont="1" applyFill="1" applyBorder="1" applyAlignment="1" applyProtection="1">
      <alignment horizontal="center"/>
      <protection locked="0"/>
    </xf>
    <xf numFmtId="166" fontId="12" fillId="3" borderId="13" xfId="0" applyNumberFormat="1" applyFont="1" applyFill="1" applyBorder="1" applyAlignment="1" applyProtection="1">
      <alignment horizontal="center"/>
      <protection locked="0"/>
    </xf>
    <xf numFmtId="166" fontId="12" fillId="3" borderId="25" xfId="0" applyNumberFormat="1" applyFont="1" applyFill="1" applyBorder="1" applyAlignment="1" applyProtection="1">
      <alignment horizontal="center"/>
      <protection locked="0"/>
    </xf>
    <xf numFmtId="166" fontId="12" fillId="3" borderId="16" xfId="0" applyNumberFormat="1" applyFont="1" applyFill="1" applyBorder="1" applyAlignment="1" applyProtection="1">
      <alignment horizontal="center"/>
      <protection locked="0"/>
    </xf>
    <xf numFmtId="166" fontId="9" fillId="2" borderId="27" xfId="0" applyNumberFormat="1" applyFont="1" applyFill="1" applyBorder="1" applyAlignment="1">
      <alignment horizontal="center" vertical="center"/>
    </xf>
    <xf numFmtId="166" fontId="9" fillId="2" borderId="4" xfId="0" applyNumberFormat="1" applyFont="1" applyFill="1" applyBorder="1" applyAlignment="1">
      <alignment horizontal="center" vertical="center"/>
    </xf>
    <xf numFmtId="2" fontId="12" fillId="5" borderId="26" xfId="0" applyNumberFormat="1" applyFont="1" applyFill="1" applyBorder="1" applyAlignment="1">
      <alignment horizontal="center"/>
    </xf>
    <xf numFmtId="10" fontId="11" fillId="4" borderId="28" xfId="0" applyNumberFormat="1" applyFont="1" applyFill="1" applyBorder="1" applyAlignment="1">
      <alignment horizontal="center"/>
    </xf>
    <xf numFmtId="0" fontId="11" fillId="5" borderId="15" xfId="0" applyFont="1" applyFill="1" applyBorder="1" applyAlignment="1">
      <alignment horizontal="center"/>
    </xf>
    <xf numFmtId="2" fontId="10" fillId="2" borderId="5" xfId="0" applyNumberFormat="1" applyFont="1" applyFill="1" applyBorder="1" applyAlignment="1">
      <alignment vertical="center"/>
    </xf>
    <xf numFmtId="169" fontId="12" fillId="3" borderId="0" xfId="0" applyNumberFormat="1" applyFont="1" applyFill="1" applyAlignment="1" applyProtection="1">
      <alignment horizontal="center"/>
      <protection locked="0"/>
    </xf>
    <xf numFmtId="167" fontId="12" fillId="3" borderId="0" xfId="0" applyNumberFormat="1" applyFont="1" applyFill="1" applyAlignment="1" applyProtection="1">
      <alignment horizontal="center"/>
      <protection locked="0"/>
    </xf>
    <xf numFmtId="170" fontId="12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vertical="center"/>
      <protection locked="0"/>
    </xf>
    <xf numFmtId="0" fontId="9" fillId="2" borderId="1" xfId="0" applyFont="1" applyFill="1" applyBorder="1" applyAlignment="1" applyProtection="1">
      <alignment vertical="center"/>
      <protection locked="0"/>
    </xf>
    <xf numFmtId="0" fontId="10" fillId="2" borderId="3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8" fillId="2" borderId="0" xfId="3" applyFont="1" applyFill="1"/>
    <xf numFmtId="0" fontId="9" fillId="2" borderId="0" xfId="3" applyFont="1" applyFill="1"/>
    <xf numFmtId="0" fontId="6" fillId="2" borderId="0" xfId="3" applyFont="1" applyFill="1"/>
    <xf numFmtId="0" fontId="10" fillId="2" borderId="0" xfId="3" applyFont="1" applyFill="1"/>
    <xf numFmtId="0" fontId="11" fillId="3" borderId="0" xfId="3" applyFont="1" applyFill="1" applyAlignment="1" applyProtection="1">
      <alignment horizontal="left"/>
      <protection locked="0"/>
    </xf>
    <xf numFmtId="0" fontId="11" fillId="2" borderId="0" xfId="3" applyFont="1" applyFill="1" applyAlignment="1" applyProtection="1">
      <alignment horizontal="right"/>
      <protection locked="0"/>
    </xf>
    <xf numFmtId="0" fontId="9" fillId="2" borderId="0" xfId="3" applyFont="1" applyFill="1" applyAlignment="1">
      <alignment horizontal="left"/>
    </xf>
    <xf numFmtId="22" fontId="11" fillId="3" borderId="0" xfId="3" applyNumberFormat="1" applyFont="1" applyFill="1" applyAlignment="1" applyProtection="1">
      <alignment horizontal="left"/>
      <protection locked="0"/>
    </xf>
    <xf numFmtId="171" fontId="11" fillId="3" borderId="0" xfId="3" applyNumberFormat="1" applyFont="1" applyFill="1" applyAlignment="1" applyProtection="1">
      <alignment horizontal="left"/>
      <protection locked="0"/>
    </xf>
    <xf numFmtId="15" fontId="9" fillId="2" borderId="0" xfId="3" applyNumberFormat="1" applyFont="1" applyFill="1" applyAlignment="1">
      <alignment horizontal="left"/>
    </xf>
    <xf numFmtId="0" fontId="10" fillId="2" borderId="0" xfId="3" applyFont="1" applyFill="1" applyAlignment="1">
      <alignment horizontal="left"/>
    </xf>
    <xf numFmtId="0" fontId="9" fillId="2" borderId="0" xfId="3" applyFont="1" applyFill="1" applyAlignment="1">
      <alignment horizontal="right"/>
    </xf>
    <xf numFmtId="172" fontId="12" fillId="3" borderId="0" xfId="3" applyNumberFormat="1" applyFont="1" applyFill="1" applyAlignment="1" applyProtection="1">
      <alignment horizontal="center"/>
      <protection locked="0"/>
    </xf>
    <xf numFmtId="0" fontId="9" fillId="2" borderId="0" xfId="3" applyFont="1" applyFill="1" applyAlignment="1">
      <alignment horizontal="center"/>
    </xf>
    <xf numFmtId="167" fontId="12" fillId="3" borderId="0" xfId="3" applyNumberFormat="1" applyFont="1" applyFill="1" applyAlignment="1" applyProtection="1">
      <alignment horizontal="center"/>
      <protection locked="0"/>
    </xf>
    <xf numFmtId="165" fontId="12" fillId="3" borderId="0" xfId="3" applyNumberFormat="1" applyFont="1" applyFill="1" applyAlignment="1" applyProtection="1">
      <alignment horizontal="center"/>
      <protection locked="0"/>
    </xf>
    <xf numFmtId="167" fontId="12" fillId="2" borderId="0" xfId="3" applyNumberFormat="1" applyFont="1" applyFill="1" applyAlignment="1" applyProtection="1">
      <alignment horizontal="center"/>
      <protection locked="0"/>
    </xf>
    <xf numFmtId="0" fontId="9" fillId="2" borderId="22" xfId="3" applyFont="1" applyFill="1" applyBorder="1" applyAlignment="1">
      <alignment horizontal="right"/>
    </xf>
    <xf numFmtId="0" fontId="11" fillId="3" borderId="23" xfId="3" applyFont="1" applyFill="1" applyBorder="1" applyAlignment="1" applyProtection="1">
      <alignment horizontal="center"/>
      <protection locked="0"/>
    </xf>
    <xf numFmtId="2" fontId="10" fillId="2" borderId="21" xfId="3" applyNumberFormat="1" applyFont="1" applyFill="1" applyBorder="1" applyAlignment="1">
      <alignment horizontal="center"/>
    </xf>
    <xf numFmtId="0" fontId="10" fillId="2" borderId="21" xfId="3" applyFont="1" applyFill="1" applyBorder="1" applyAlignment="1">
      <alignment horizontal="center"/>
    </xf>
    <xf numFmtId="0" fontId="10" fillId="2" borderId="23" xfId="3" applyFont="1" applyFill="1" applyBorder="1" applyAlignment="1">
      <alignment horizontal="center"/>
    </xf>
    <xf numFmtId="0" fontId="9" fillId="2" borderId="24" xfId="3" applyFont="1" applyFill="1" applyBorder="1" applyAlignment="1">
      <alignment horizontal="right"/>
    </xf>
    <xf numFmtId="0" fontId="11" fillId="3" borderId="36" xfId="3" applyFont="1" applyFill="1" applyBorder="1" applyAlignment="1" applyProtection="1">
      <alignment horizontal="center"/>
      <protection locked="0"/>
    </xf>
    <xf numFmtId="0" fontId="9" fillId="2" borderId="21" xfId="3" applyFont="1" applyFill="1" applyBorder="1" applyAlignment="1">
      <alignment horizontal="center"/>
    </xf>
    <xf numFmtId="2" fontId="11" fillId="3" borderId="22" xfId="3" applyNumberFormat="1" applyFont="1" applyFill="1" applyBorder="1" applyAlignment="1" applyProtection="1">
      <alignment horizontal="center"/>
      <protection locked="0"/>
    </xf>
    <xf numFmtId="2" fontId="9" fillId="2" borderId="21" xfId="3" applyNumberFormat="1" applyFont="1" applyFill="1" applyBorder="1" applyAlignment="1">
      <alignment horizontal="center"/>
    </xf>
    <xf numFmtId="0" fontId="20" fillId="2" borderId="22" xfId="3" applyFont="1" applyFill="1" applyBorder="1" applyAlignment="1">
      <alignment horizontal="center"/>
    </xf>
    <xf numFmtId="10" fontId="9" fillId="2" borderId="21" xfId="3" applyNumberFormat="1" applyFont="1" applyFill="1" applyBorder="1" applyAlignment="1">
      <alignment horizontal="center" vertical="center"/>
    </xf>
    <xf numFmtId="0" fontId="9" fillId="2" borderId="37" xfId="3" applyFont="1" applyFill="1" applyBorder="1" applyAlignment="1">
      <alignment horizontal="center"/>
    </xf>
    <xf numFmtId="2" fontId="11" fillId="3" borderId="24" xfId="3" applyNumberFormat="1" applyFont="1" applyFill="1" applyBorder="1" applyAlignment="1" applyProtection="1">
      <alignment horizontal="center"/>
      <protection locked="0"/>
    </xf>
    <xf numFmtId="2" fontId="9" fillId="2" borderId="37" xfId="3" applyNumberFormat="1" applyFont="1" applyFill="1" applyBorder="1" applyAlignment="1">
      <alignment horizontal="center"/>
    </xf>
    <xf numFmtId="0" fontId="20" fillId="2" borderId="24" xfId="3" applyFont="1" applyFill="1" applyBorder="1" applyAlignment="1">
      <alignment horizontal="center"/>
    </xf>
    <xf numFmtId="10" fontId="9" fillId="2" borderId="37" xfId="3" applyNumberFormat="1" applyFont="1" applyFill="1" applyBorder="1" applyAlignment="1">
      <alignment horizontal="center" vertical="center"/>
    </xf>
    <xf numFmtId="0" fontId="9" fillId="2" borderId="39" xfId="3" applyFont="1" applyFill="1" applyBorder="1" applyAlignment="1">
      <alignment horizontal="center"/>
    </xf>
    <xf numFmtId="2" fontId="11" fillId="3" borderId="38" xfId="3" applyNumberFormat="1" applyFont="1" applyFill="1" applyBorder="1" applyAlignment="1" applyProtection="1">
      <alignment horizontal="center"/>
      <protection locked="0"/>
    </xf>
    <xf numFmtId="0" fontId="20" fillId="2" borderId="38" xfId="3" applyFont="1" applyFill="1" applyBorder="1" applyAlignment="1">
      <alignment horizontal="center"/>
    </xf>
    <xf numFmtId="0" fontId="20" fillId="2" borderId="0" xfId="3" applyFont="1" applyFill="1" applyAlignment="1">
      <alignment horizontal="center"/>
    </xf>
    <xf numFmtId="2" fontId="9" fillId="2" borderId="39" xfId="3" applyNumberFormat="1" applyFont="1" applyFill="1" applyBorder="1" applyAlignment="1">
      <alignment horizontal="center"/>
    </xf>
    <xf numFmtId="10" fontId="9" fillId="2" borderId="39" xfId="3" applyNumberFormat="1" applyFont="1" applyFill="1" applyBorder="1" applyAlignment="1">
      <alignment horizontal="center" vertical="center"/>
    </xf>
    <xf numFmtId="0" fontId="9" fillId="2" borderId="36" xfId="3" applyFont="1" applyFill="1" applyBorder="1" applyAlignment="1">
      <alignment horizontal="center"/>
    </xf>
    <xf numFmtId="0" fontId="9" fillId="2" borderId="38" xfId="3" applyFont="1" applyFill="1" applyBorder="1" applyAlignment="1">
      <alignment horizontal="right"/>
    </xf>
    <xf numFmtId="0" fontId="12" fillId="2" borderId="29" xfId="3" applyFont="1" applyFill="1" applyBorder="1" applyAlignment="1">
      <alignment horizontal="center"/>
    </xf>
    <xf numFmtId="0" fontId="11" fillId="3" borderId="38" xfId="3" applyFont="1" applyFill="1" applyBorder="1" applyAlignment="1" applyProtection="1">
      <alignment horizontal="center"/>
      <protection locked="0"/>
    </xf>
    <xf numFmtId="0" fontId="9" fillId="2" borderId="7" xfId="3" applyFont="1" applyFill="1" applyBorder="1" applyAlignment="1">
      <alignment horizontal="right"/>
    </xf>
    <xf numFmtId="10" fontId="12" fillId="5" borderId="40" xfId="3" applyNumberFormat="1" applyFont="1" applyFill="1" applyBorder="1" applyAlignment="1">
      <alignment horizontal="center"/>
    </xf>
    <xf numFmtId="0" fontId="9" fillId="2" borderId="9" xfId="3" applyFont="1" applyFill="1" applyBorder="1" applyAlignment="1">
      <alignment horizontal="right"/>
    </xf>
    <xf numFmtId="10" fontId="12" fillId="4" borderId="8" xfId="3" applyNumberFormat="1" applyFont="1" applyFill="1" applyBorder="1" applyAlignment="1">
      <alignment horizontal="center"/>
    </xf>
    <xf numFmtId="2" fontId="9" fillId="2" borderId="0" xfId="3" applyNumberFormat="1" applyFont="1" applyFill="1" applyAlignment="1">
      <alignment horizontal="center"/>
    </xf>
    <xf numFmtId="0" fontId="9" fillId="2" borderId="10" xfId="3" applyFont="1" applyFill="1" applyBorder="1" applyAlignment="1">
      <alignment horizontal="right"/>
    </xf>
    <xf numFmtId="0" fontId="12" fillId="5" borderId="11" xfId="3" applyFont="1" applyFill="1" applyBorder="1" applyAlignment="1">
      <alignment horizontal="center"/>
    </xf>
    <xf numFmtId="0" fontId="10" fillId="2" borderId="0" xfId="3" applyFont="1" applyFill="1" applyAlignment="1">
      <alignment horizontal="right"/>
    </xf>
    <xf numFmtId="173" fontId="12" fillId="2" borderId="0" xfId="3" applyNumberFormat="1" applyFont="1" applyFill="1" applyAlignment="1">
      <alignment horizontal="center"/>
    </xf>
    <xf numFmtId="0" fontId="13" fillId="2" borderId="2" xfId="3" applyFont="1" applyFill="1" applyBorder="1" applyAlignment="1">
      <alignment horizontal="right" vertical="center" wrapText="1"/>
    </xf>
    <xf numFmtId="0" fontId="9" fillId="2" borderId="2" xfId="3" applyFont="1" applyFill="1" applyBorder="1"/>
    <xf numFmtId="0" fontId="10" fillId="2" borderId="0" xfId="3" applyFont="1" applyFill="1" applyAlignment="1">
      <alignment horizontal="center"/>
    </xf>
    <xf numFmtId="0" fontId="9" fillId="2" borderId="1" xfId="3" applyFont="1" applyFill="1" applyBorder="1" applyProtection="1">
      <protection locked="0"/>
    </xf>
    <xf numFmtId="0" fontId="9" fillId="2" borderId="0" xfId="3" applyFont="1" applyFill="1" applyProtection="1">
      <protection locked="0"/>
    </xf>
    <xf numFmtId="0" fontId="9" fillId="2" borderId="1" xfId="3" applyFont="1" applyFill="1" applyBorder="1"/>
    <xf numFmtId="0" fontId="10" fillId="2" borderId="4" xfId="3" applyFont="1" applyFill="1" applyBorder="1" applyProtection="1">
      <protection locked="0"/>
    </xf>
    <xf numFmtId="0" fontId="10" fillId="2" borderId="0" xfId="3" applyFont="1" applyFill="1" applyProtection="1">
      <protection locked="0"/>
    </xf>
    <xf numFmtId="0" fontId="9" fillId="2" borderId="4" xfId="3" applyFont="1" applyFill="1" applyBorder="1" applyProtection="1">
      <protection locked="0"/>
    </xf>
    <xf numFmtId="0" fontId="9" fillId="2" borderId="4" xfId="3" applyFont="1" applyFill="1" applyBorder="1"/>
    <xf numFmtId="0" fontId="16" fillId="2" borderId="0" xfId="3" applyFill="1"/>
    <xf numFmtId="0" fontId="17" fillId="2" borderId="0" xfId="4" applyFill="1"/>
    <xf numFmtId="0" fontId="23" fillId="2" borderId="0" xfId="4" applyFont="1" applyFill="1"/>
    <xf numFmtId="0" fontId="25" fillId="2" borderId="0" xfId="4" applyFont="1" applyFill="1"/>
    <xf numFmtId="0" fontId="26" fillId="2" borderId="0" xfId="4" applyFont="1" applyFill="1"/>
    <xf numFmtId="0" fontId="28" fillId="2" borderId="0" xfId="4" applyFont="1" applyFill="1" applyAlignment="1" applyProtection="1">
      <alignment horizontal="right"/>
      <protection locked="0"/>
    </xf>
    <xf numFmtId="0" fontId="23" fillId="2" borderId="0" xfId="4" applyFont="1" applyFill="1" applyAlignment="1">
      <alignment horizontal="left"/>
    </xf>
    <xf numFmtId="14" fontId="28" fillId="3" borderId="0" xfId="4" applyNumberFormat="1" applyFont="1" applyFill="1" applyAlignment="1" applyProtection="1">
      <alignment horizontal="left"/>
      <protection locked="0"/>
    </xf>
    <xf numFmtId="15" fontId="23" fillId="2" borderId="0" xfId="4" applyNumberFormat="1" applyFont="1" applyFill="1" applyAlignment="1">
      <alignment horizontal="left"/>
    </xf>
    <xf numFmtId="0" fontId="25" fillId="2" borderId="0" xfId="4" applyFont="1" applyFill="1" applyAlignment="1">
      <alignment horizontal="left"/>
    </xf>
    <xf numFmtId="0" fontId="26" fillId="2" borderId="0" xfId="4" applyFont="1" applyFill="1" applyAlignment="1">
      <alignment horizontal="right"/>
    </xf>
    <xf numFmtId="0" fontId="23" fillId="2" borderId="0" xfId="4" applyFont="1" applyFill="1" applyAlignment="1">
      <alignment horizontal="right"/>
    </xf>
    <xf numFmtId="0" fontId="27" fillId="3" borderId="0" xfId="4" applyFont="1" applyFill="1" applyAlignment="1" applyProtection="1">
      <alignment horizontal="center"/>
      <protection locked="0"/>
    </xf>
    <xf numFmtId="0" fontId="28" fillId="3" borderId="0" xfId="4" applyFont="1" applyFill="1" applyAlignment="1" applyProtection="1">
      <alignment horizontal="center"/>
      <protection locked="0"/>
    </xf>
    <xf numFmtId="0" fontId="29" fillId="2" borderId="0" xfId="4" applyFont="1" applyFill="1"/>
    <xf numFmtId="0" fontId="26" fillId="2" borderId="0" xfId="4" applyFont="1" applyFill="1" applyAlignment="1" applyProtection="1">
      <alignment horizontal="center"/>
      <protection locked="0"/>
    </xf>
    <xf numFmtId="0" fontId="30" fillId="2" borderId="0" xfId="4" applyFont="1" applyFill="1"/>
    <xf numFmtId="2" fontId="27" fillId="3" borderId="0" xfId="4" applyNumberFormat="1" applyFont="1" applyFill="1" applyAlignment="1" applyProtection="1">
      <alignment horizontal="center"/>
      <protection locked="0"/>
    </xf>
    <xf numFmtId="0" fontId="24" fillId="2" borderId="0" xfId="4" applyFont="1" applyFill="1" applyAlignment="1">
      <alignment vertical="center" wrapText="1"/>
    </xf>
    <xf numFmtId="2" fontId="26" fillId="2" borderId="0" xfId="4" applyNumberFormat="1" applyFont="1" applyFill="1" applyAlignment="1">
      <alignment horizontal="center"/>
    </xf>
    <xf numFmtId="0" fontId="24" fillId="2" borderId="0" xfId="4" applyFont="1" applyFill="1" applyAlignment="1">
      <alignment horizontal="left" vertical="center" wrapText="1"/>
    </xf>
    <xf numFmtId="174" fontId="26" fillId="2" borderId="0" xfId="4" applyNumberFormat="1" applyFont="1" applyFill="1" applyAlignment="1">
      <alignment horizontal="center"/>
    </xf>
    <xf numFmtId="0" fontId="26" fillId="2" borderId="0" xfId="4" applyFont="1" applyFill="1" applyAlignment="1">
      <alignment horizontal="center"/>
    </xf>
    <xf numFmtId="0" fontId="23" fillId="2" borderId="22" xfId="4" applyFont="1" applyFill="1" applyBorder="1" applyAlignment="1">
      <alignment horizontal="right"/>
    </xf>
    <xf numFmtId="0" fontId="28" fillId="3" borderId="23" xfId="4" applyFont="1" applyFill="1" applyBorder="1" applyAlignment="1" applyProtection="1">
      <alignment horizontal="center"/>
      <protection locked="0"/>
    </xf>
    <xf numFmtId="0" fontId="23" fillId="2" borderId="24" xfId="4" applyFont="1" applyFill="1" applyBorder="1" applyAlignment="1">
      <alignment horizontal="right"/>
    </xf>
    <xf numFmtId="0" fontId="28" fillId="3" borderId="36" xfId="4" applyFont="1" applyFill="1" applyBorder="1" applyAlignment="1" applyProtection="1">
      <alignment horizontal="center"/>
      <protection locked="0"/>
    </xf>
    <xf numFmtId="0" fontId="26" fillId="2" borderId="23" xfId="4" applyFont="1" applyFill="1" applyBorder="1" applyAlignment="1">
      <alignment horizontal="center"/>
    </xf>
    <xf numFmtId="0" fontId="26" fillId="2" borderId="25" xfId="4" applyFont="1" applyFill="1" applyBorder="1" applyAlignment="1">
      <alignment horizontal="center"/>
    </xf>
    <xf numFmtId="0" fontId="26" fillId="2" borderId="41" xfId="4" applyFont="1" applyFill="1" applyBorder="1" applyAlignment="1">
      <alignment horizontal="center"/>
    </xf>
    <xf numFmtId="0" fontId="26" fillId="2" borderId="42" xfId="4" applyFont="1" applyFill="1" applyBorder="1" applyAlignment="1">
      <alignment horizontal="center"/>
    </xf>
    <xf numFmtId="0" fontId="23" fillId="2" borderId="43" xfId="4" applyFont="1" applyFill="1" applyBorder="1" applyAlignment="1">
      <alignment horizontal="center"/>
    </xf>
    <xf numFmtId="0" fontId="28" fillId="3" borderId="44" xfId="4" applyFont="1" applyFill="1" applyBorder="1" applyAlignment="1" applyProtection="1">
      <alignment horizontal="center"/>
      <protection locked="0"/>
    </xf>
    <xf numFmtId="166" fontId="23" fillId="2" borderId="41" xfId="4" applyNumberFormat="1" applyFont="1" applyFill="1" applyBorder="1" applyAlignment="1">
      <alignment horizontal="center"/>
    </xf>
    <xf numFmtId="0" fontId="28" fillId="3" borderId="45" xfId="4" applyFont="1" applyFill="1" applyBorder="1" applyAlignment="1" applyProtection="1">
      <alignment horizontal="center"/>
      <protection locked="0"/>
    </xf>
    <xf numFmtId="0" fontId="23" fillId="2" borderId="36" xfId="4" applyFont="1" applyFill="1" applyBorder="1" applyAlignment="1">
      <alignment horizontal="center"/>
    </xf>
    <xf numFmtId="0" fontId="28" fillId="3" borderId="24" xfId="4" applyFont="1" applyFill="1" applyBorder="1" applyAlignment="1" applyProtection="1">
      <alignment horizontal="center"/>
      <protection locked="0"/>
    </xf>
    <xf numFmtId="166" fontId="23" fillId="2" borderId="46" xfId="4" applyNumberFormat="1" applyFont="1" applyFill="1" applyBorder="1" applyAlignment="1">
      <alignment horizontal="center"/>
    </xf>
    <xf numFmtId="0" fontId="23" fillId="2" borderId="40" xfId="4" applyFont="1" applyFill="1" applyBorder="1" applyAlignment="1">
      <alignment horizontal="center"/>
    </xf>
    <xf numFmtId="0" fontId="28" fillId="3" borderId="26" xfId="4" applyFont="1" applyFill="1" applyBorder="1" applyAlignment="1" applyProtection="1">
      <alignment horizontal="center"/>
      <protection locked="0"/>
    </xf>
    <xf numFmtId="166" fontId="23" fillId="2" borderId="47" xfId="4" applyNumberFormat="1" applyFont="1" applyFill="1" applyBorder="1" applyAlignment="1">
      <alignment horizontal="center"/>
    </xf>
    <xf numFmtId="0" fontId="28" fillId="3" borderId="1" xfId="4" applyFont="1" applyFill="1" applyBorder="1" applyAlignment="1" applyProtection="1">
      <alignment horizontal="center"/>
      <protection locked="0"/>
    </xf>
    <xf numFmtId="0" fontId="23" fillId="2" borderId="36" xfId="4" applyFont="1" applyFill="1" applyBorder="1" applyAlignment="1">
      <alignment horizontal="right"/>
    </xf>
    <xf numFmtId="1" fontId="26" fillId="4" borderId="48" xfId="4" applyNumberFormat="1" applyFont="1" applyFill="1" applyBorder="1" applyAlignment="1">
      <alignment horizontal="center"/>
    </xf>
    <xf numFmtId="166" fontId="26" fillId="4" borderId="49" xfId="4" applyNumberFormat="1" applyFont="1" applyFill="1" applyBorder="1" applyAlignment="1">
      <alignment horizontal="center"/>
    </xf>
    <xf numFmtId="1" fontId="26" fillId="4" borderId="50" xfId="4" applyNumberFormat="1" applyFont="1" applyFill="1" applyBorder="1" applyAlignment="1">
      <alignment horizontal="center"/>
    </xf>
    <xf numFmtId="0" fontId="23" fillId="2" borderId="12" xfId="4" applyFont="1" applyFill="1" applyBorder="1" applyAlignment="1">
      <alignment horizontal="right"/>
    </xf>
    <xf numFmtId="0" fontId="28" fillId="3" borderId="18" xfId="4" applyFont="1" applyFill="1" applyBorder="1" applyAlignment="1" applyProtection="1">
      <alignment horizontal="center"/>
      <protection locked="0"/>
    </xf>
    <xf numFmtId="0" fontId="23" fillId="2" borderId="28" xfId="4" applyFont="1" applyFill="1" applyBorder="1" applyAlignment="1">
      <alignment horizontal="right"/>
    </xf>
    <xf numFmtId="2" fontId="23" fillId="4" borderId="9" xfId="4" applyNumberFormat="1" applyFont="1" applyFill="1" applyBorder="1" applyAlignment="1">
      <alignment horizontal="center"/>
    </xf>
    <xf numFmtId="0" fontId="23" fillId="2" borderId="0" xfId="4" applyFont="1" applyFill="1" applyAlignment="1">
      <alignment horizontal="center"/>
    </xf>
    <xf numFmtId="2" fontId="23" fillId="5" borderId="9" xfId="4" applyNumberFormat="1" applyFont="1" applyFill="1" applyBorder="1" applyAlignment="1">
      <alignment horizontal="center"/>
    </xf>
    <xf numFmtId="2" fontId="23" fillId="2" borderId="0" xfId="4" applyNumberFormat="1" applyFont="1" applyFill="1" applyAlignment="1">
      <alignment horizontal="center"/>
    </xf>
    <xf numFmtId="2" fontId="23" fillId="4" borderId="10" xfId="4" applyNumberFormat="1" applyFont="1" applyFill="1" applyBorder="1" applyAlignment="1">
      <alignment horizontal="center"/>
    </xf>
    <xf numFmtId="0" fontId="28" fillId="3" borderId="9" xfId="4" applyFont="1" applyFill="1" applyBorder="1" applyAlignment="1" applyProtection="1">
      <alignment horizontal="center"/>
      <protection locked="0"/>
    </xf>
    <xf numFmtId="1" fontId="23" fillId="2" borderId="0" xfId="4" applyNumberFormat="1" applyFont="1" applyFill="1" applyAlignment="1">
      <alignment horizontal="center"/>
    </xf>
    <xf numFmtId="0" fontId="23" fillId="2" borderId="15" xfId="4" applyFont="1" applyFill="1" applyBorder="1" applyAlignment="1">
      <alignment horizontal="right"/>
    </xf>
    <xf numFmtId="2" fontId="23" fillId="4" borderId="51" xfId="4" applyNumberFormat="1" applyFont="1" applyFill="1" applyBorder="1" applyAlignment="1">
      <alignment horizontal="center"/>
    </xf>
    <xf numFmtId="166" fontId="23" fillId="2" borderId="0" xfId="4" applyNumberFormat="1" applyFont="1" applyFill="1" applyAlignment="1">
      <alignment horizontal="center"/>
    </xf>
    <xf numFmtId="0" fontId="23" fillId="2" borderId="26" xfId="4" applyFont="1" applyFill="1" applyBorder="1" applyAlignment="1">
      <alignment horizontal="right"/>
    </xf>
    <xf numFmtId="166" fontId="26" fillId="5" borderId="18" xfId="4" applyNumberFormat="1" applyFont="1" applyFill="1" applyBorder="1" applyAlignment="1">
      <alignment horizontal="center"/>
    </xf>
    <xf numFmtId="10" fontId="23" fillId="4" borderId="9" xfId="4" applyNumberFormat="1" applyFont="1" applyFill="1" applyBorder="1" applyAlignment="1">
      <alignment horizontal="center"/>
    </xf>
    <xf numFmtId="0" fontId="23" fillId="5" borderId="10" xfId="4" applyFont="1" applyFill="1" applyBorder="1" applyAlignment="1">
      <alignment horizontal="center"/>
    </xf>
    <xf numFmtId="0" fontId="26" fillId="2" borderId="0" xfId="4" applyFont="1" applyFill="1" applyAlignment="1">
      <alignment horizontal="left"/>
    </xf>
    <xf numFmtId="172" fontId="27" fillId="3" borderId="0" xfId="4" applyNumberFormat="1" applyFont="1" applyFill="1" applyAlignment="1" applyProtection="1">
      <alignment horizontal="center"/>
      <protection locked="0"/>
    </xf>
    <xf numFmtId="175" fontId="27" fillId="3" borderId="0" xfId="4" applyNumberFormat="1" applyFont="1" applyFill="1" applyAlignment="1" applyProtection="1">
      <alignment horizontal="center"/>
      <protection locked="0"/>
    </xf>
    <xf numFmtId="2" fontId="26" fillId="2" borderId="21" xfId="4" applyNumberFormat="1" applyFont="1" applyFill="1" applyBorder="1" applyAlignment="1">
      <alignment horizontal="center"/>
    </xf>
    <xf numFmtId="0" fontId="26" fillId="2" borderId="21" xfId="4" applyFont="1" applyFill="1" applyBorder="1" applyAlignment="1">
      <alignment horizontal="center"/>
    </xf>
    <xf numFmtId="0" fontId="23" fillId="2" borderId="21" xfId="4" applyFont="1" applyFill="1" applyBorder="1" applyAlignment="1">
      <alignment horizontal="center"/>
    </xf>
    <xf numFmtId="0" fontId="28" fillId="3" borderId="22" xfId="4" applyFont="1" applyFill="1" applyBorder="1" applyAlignment="1" applyProtection="1">
      <alignment horizontal="center"/>
      <protection locked="0"/>
    </xf>
    <xf numFmtId="10" fontId="23" fillId="2" borderId="21" xfId="4" applyNumberFormat="1" applyFont="1" applyFill="1" applyBorder="1" applyAlignment="1">
      <alignment horizontal="center" vertical="center"/>
    </xf>
    <xf numFmtId="0" fontId="23" fillId="2" borderId="37" xfId="4" applyFont="1" applyFill="1" applyBorder="1" applyAlignment="1">
      <alignment horizontal="center"/>
    </xf>
    <xf numFmtId="10" fontId="23" fillId="2" borderId="37" xfId="4" applyNumberFormat="1" applyFont="1" applyFill="1" applyBorder="1" applyAlignment="1">
      <alignment horizontal="center" vertical="center"/>
    </xf>
    <xf numFmtId="0" fontId="23" fillId="2" borderId="39" xfId="4" applyFont="1" applyFill="1" applyBorder="1" applyAlignment="1">
      <alignment horizontal="center"/>
    </xf>
    <xf numFmtId="0" fontId="28" fillId="3" borderId="38" xfId="4" applyFont="1" applyFill="1" applyBorder="1" applyAlignment="1" applyProtection="1">
      <alignment horizontal="center"/>
      <protection locked="0"/>
    </xf>
    <xf numFmtId="2" fontId="23" fillId="2" borderId="38" xfId="4" applyNumberFormat="1" applyFont="1" applyFill="1" applyBorder="1" applyAlignment="1">
      <alignment horizontal="center"/>
    </xf>
    <xf numFmtId="10" fontId="23" fillId="2" borderId="39" xfId="4" applyNumberFormat="1" applyFont="1" applyFill="1" applyBorder="1" applyAlignment="1">
      <alignment horizontal="center" vertical="center"/>
    </xf>
    <xf numFmtId="0" fontId="23" fillId="2" borderId="38" xfId="4" applyFont="1" applyFill="1" applyBorder="1" applyAlignment="1">
      <alignment horizontal="right"/>
    </xf>
    <xf numFmtId="0" fontId="27" fillId="2" borderId="29" xfId="4" applyFont="1" applyFill="1" applyBorder="1" applyAlignment="1">
      <alignment horizontal="center"/>
    </xf>
    <xf numFmtId="0" fontId="23" fillId="2" borderId="7" xfId="4" applyFont="1" applyFill="1" applyBorder="1" applyAlignment="1">
      <alignment horizontal="right"/>
    </xf>
    <xf numFmtId="10" fontId="27" fillId="5" borderId="40" xfId="4" applyNumberFormat="1" applyFont="1" applyFill="1" applyBorder="1" applyAlignment="1">
      <alignment horizontal="center"/>
    </xf>
    <xf numFmtId="0" fontId="23" fillId="2" borderId="9" xfId="4" applyFont="1" applyFill="1" applyBorder="1" applyAlignment="1">
      <alignment horizontal="right"/>
    </xf>
    <xf numFmtId="10" fontId="27" fillId="4" borderId="8" xfId="4" applyNumberFormat="1" applyFont="1" applyFill="1" applyBorder="1" applyAlignment="1">
      <alignment horizontal="center"/>
    </xf>
    <xf numFmtId="0" fontId="23" fillId="2" borderId="10" xfId="4" applyFont="1" applyFill="1" applyBorder="1" applyAlignment="1">
      <alignment horizontal="right"/>
    </xf>
    <xf numFmtId="0" fontId="27" fillId="5" borderId="11" xfId="4" applyFont="1" applyFill="1" applyBorder="1" applyAlignment="1">
      <alignment horizontal="center"/>
    </xf>
    <xf numFmtId="173" fontId="27" fillId="2" borderId="0" xfId="4" applyNumberFormat="1" applyFont="1" applyFill="1" applyAlignment="1">
      <alignment horizontal="center"/>
    </xf>
    <xf numFmtId="0" fontId="24" fillId="2" borderId="2" xfId="4" applyFont="1" applyFill="1" applyBorder="1" applyAlignment="1">
      <alignment horizontal="right" vertical="center" wrapText="1"/>
    </xf>
    <xf numFmtId="0" fontId="23" fillId="2" borderId="2" xfId="4" applyFont="1" applyFill="1" applyBorder="1"/>
    <xf numFmtId="0" fontId="23" fillId="2" borderId="1" xfId="4" applyFont="1" applyFill="1" applyBorder="1" applyProtection="1">
      <protection locked="0"/>
    </xf>
    <xf numFmtId="0" fontId="23" fillId="2" borderId="0" xfId="4" applyFont="1" applyFill="1" applyProtection="1">
      <protection locked="0"/>
    </xf>
    <xf numFmtId="0" fontId="23" fillId="2" borderId="1" xfId="4" applyFont="1" applyFill="1" applyBorder="1"/>
    <xf numFmtId="0" fontId="26" fillId="2" borderId="4" xfId="4" applyFont="1" applyFill="1" applyBorder="1" applyProtection="1">
      <protection locked="0"/>
    </xf>
    <xf numFmtId="0" fontId="26" fillId="2" borderId="0" xfId="4" applyFont="1" applyFill="1" applyProtection="1">
      <protection locked="0"/>
    </xf>
    <xf numFmtId="0" fontId="23" fillId="2" borderId="4" xfId="4" applyFont="1" applyFill="1" applyBorder="1" applyProtection="1">
      <protection locked="0"/>
    </xf>
    <xf numFmtId="0" fontId="23" fillId="2" borderId="4" xfId="4" applyFont="1" applyFill="1" applyBorder="1"/>
    <xf numFmtId="0" fontId="4" fillId="2" borderId="0" xfId="6"/>
    <xf numFmtId="0" fontId="35" fillId="2" borderId="0" xfId="5" applyFont="1"/>
    <xf numFmtId="0" fontId="36" fillId="2" borderId="0" xfId="5" applyFont="1"/>
    <xf numFmtId="0" fontId="37" fillId="2" borderId="0" xfId="5" applyFont="1"/>
    <xf numFmtId="0" fontId="38" fillId="7" borderId="0" xfId="5" applyFont="1" applyFill="1" applyAlignment="1" applyProtection="1">
      <alignment horizontal="center"/>
      <protection locked="0"/>
    </xf>
    <xf numFmtId="0" fontId="39" fillId="7" borderId="0" xfId="5" applyFont="1" applyFill="1" applyAlignment="1" applyProtection="1">
      <alignment horizontal="left"/>
      <protection locked="0"/>
    </xf>
    <xf numFmtId="0" fontId="36" fillId="2" borderId="0" xfId="5" applyFont="1" applyProtection="1">
      <protection locked="0"/>
    </xf>
    <xf numFmtId="15" fontId="39" fillId="7" borderId="0" xfId="5" applyNumberFormat="1" applyFont="1" applyFill="1" applyAlignment="1" applyProtection="1">
      <alignment horizontal="left"/>
      <protection locked="0"/>
    </xf>
    <xf numFmtId="15" fontId="39" fillId="2" borderId="0" xfId="5" applyNumberFormat="1" applyFont="1" applyFill="1" applyAlignment="1" applyProtection="1">
      <alignment horizontal="left"/>
      <protection locked="0"/>
    </xf>
    <xf numFmtId="0" fontId="39" fillId="2" borderId="0" xfId="5" applyFont="1"/>
    <xf numFmtId="15" fontId="36" fillId="2" borderId="0" xfId="5" applyNumberFormat="1" applyFont="1" applyAlignment="1">
      <alignment horizontal="left"/>
    </xf>
    <xf numFmtId="0" fontId="35" fillId="2" borderId="0" xfId="5" applyFont="1" applyAlignment="1">
      <alignment horizontal="left"/>
    </xf>
    <xf numFmtId="0" fontId="37" fillId="2" borderId="0" xfId="5" applyFont="1" applyAlignment="1">
      <alignment horizontal="right"/>
    </xf>
    <xf numFmtId="0" fontId="38" fillId="2" borderId="0" xfId="5" applyFont="1" applyFill="1" applyAlignment="1" applyProtection="1">
      <protection locked="0"/>
    </xf>
    <xf numFmtId="0" fontId="36" fillId="2" borderId="0" xfId="5" applyFont="1" applyAlignment="1">
      <alignment horizontal="right"/>
    </xf>
    <xf numFmtId="0" fontId="39" fillId="2" borderId="0" xfId="5" applyFont="1" applyFill="1" applyAlignment="1" applyProtection="1">
      <protection locked="0"/>
    </xf>
    <xf numFmtId="0" fontId="38" fillId="7" borderId="0" xfId="5" applyFont="1" applyFill="1" applyBorder="1" applyAlignment="1" applyProtection="1">
      <alignment horizontal="center"/>
      <protection locked="0"/>
    </xf>
    <xf numFmtId="0" fontId="38" fillId="2" borderId="0" xfId="5" applyFont="1" applyFill="1" applyBorder="1" applyAlignment="1" applyProtection="1">
      <alignment horizontal="center"/>
      <protection locked="0"/>
    </xf>
    <xf numFmtId="0" fontId="39" fillId="7" borderId="0" xfId="5" applyFont="1" applyFill="1" applyAlignment="1" applyProtection="1">
      <alignment horizontal="center"/>
      <protection locked="0"/>
    </xf>
    <xf numFmtId="0" fontId="37" fillId="2" borderId="0" xfId="5" applyFont="1" applyAlignment="1">
      <alignment horizontal="center"/>
    </xf>
    <xf numFmtId="0" fontId="40" fillId="2" borderId="0" xfId="5" applyFont="1" applyFill="1"/>
    <xf numFmtId="2" fontId="38" fillId="7" borderId="0" xfId="5" applyNumberFormat="1" applyFont="1" applyFill="1" applyAlignment="1" applyProtection="1">
      <alignment horizontal="center"/>
      <protection locked="0"/>
    </xf>
    <xf numFmtId="2" fontId="37" fillId="2" borderId="0" xfId="5" applyNumberFormat="1" applyFont="1" applyAlignment="1">
      <alignment horizontal="center"/>
    </xf>
    <xf numFmtId="0" fontId="34" fillId="2" borderId="0" xfId="5" applyFont="1" applyFill="1" applyBorder="1" applyAlignment="1">
      <alignment horizontal="left" vertical="center" wrapText="1"/>
    </xf>
    <xf numFmtId="174" fontId="37" fillId="2" borderId="0" xfId="5" applyNumberFormat="1" applyFont="1" applyAlignment="1">
      <alignment horizontal="center"/>
    </xf>
    <xf numFmtId="0" fontId="41" fillId="2" borderId="0" xfId="6" applyFont="1"/>
    <xf numFmtId="0" fontId="37" fillId="2" borderId="56" xfId="5" applyFont="1" applyBorder="1" applyAlignment="1">
      <alignment horizontal="center"/>
    </xf>
    <xf numFmtId="0" fontId="36" fillId="2" borderId="57" xfId="5" applyFont="1" applyBorder="1" applyAlignment="1">
      <alignment horizontal="right"/>
    </xf>
    <xf numFmtId="0" fontId="38" fillId="7" borderId="58" xfId="5" applyFont="1" applyFill="1" applyBorder="1" applyAlignment="1" applyProtection="1">
      <alignment horizontal="center"/>
      <protection locked="0"/>
    </xf>
    <xf numFmtId="0" fontId="38" fillId="7" borderId="59" xfId="5" applyFont="1" applyFill="1" applyBorder="1" applyAlignment="1" applyProtection="1">
      <alignment horizontal="center"/>
      <protection locked="0"/>
    </xf>
    <xf numFmtId="0" fontId="36" fillId="2" borderId="60" xfId="5" applyFont="1" applyBorder="1" applyAlignment="1">
      <alignment horizontal="right"/>
    </xf>
    <xf numFmtId="0" fontId="38" fillId="7" borderId="61" xfId="5" applyFont="1" applyFill="1" applyBorder="1" applyAlignment="1" applyProtection="1">
      <alignment horizontal="center"/>
      <protection locked="0"/>
    </xf>
    <xf numFmtId="0" fontId="38" fillId="7" borderId="62" xfId="5" applyFont="1" applyFill="1" applyBorder="1" applyAlignment="1" applyProtection="1">
      <alignment horizontal="center"/>
      <protection locked="0"/>
    </xf>
    <xf numFmtId="0" fontId="38" fillId="7" borderId="63" xfId="5" applyFont="1" applyFill="1" applyBorder="1" applyAlignment="1" applyProtection="1">
      <alignment horizontal="center"/>
      <protection locked="0"/>
    </xf>
    <xf numFmtId="0" fontId="38" fillId="7" borderId="64" xfId="5" applyFont="1" applyFill="1" applyBorder="1" applyAlignment="1" applyProtection="1">
      <alignment horizontal="center"/>
      <protection locked="0"/>
    </xf>
    <xf numFmtId="0" fontId="36" fillId="2" borderId="56" xfId="5" applyFont="1" applyFill="1" applyBorder="1" applyAlignment="1" applyProtection="1">
      <alignment horizontal="center"/>
    </xf>
    <xf numFmtId="0" fontId="36" fillId="2" borderId="64" xfId="5" applyFont="1" applyFill="1" applyBorder="1" applyAlignment="1" applyProtection="1">
      <alignment horizontal="center"/>
    </xf>
    <xf numFmtId="0" fontId="37" fillId="2" borderId="58" xfId="5" applyFont="1" applyBorder="1" applyAlignment="1">
      <alignment horizontal="center"/>
    </xf>
    <xf numFmtId="0" fontId="37" fillId="2" borderId="68" xfId="5" applyFont="1" applyBorder="1" applyAlignment="1">
      <alignment horizontal="center"/>
    </xf>
    <xf numFmtId="0" fontId="37" fillId="2" borderId="69" xfId="5" applyFont="1" applyBorder="1" applyAlignment="1">
      <alignment horizontal="center"/>
    </xf>
    <xf numFmtId="0" fontId="36" fillId="2" borderId="70" xfId="5" applyFont="1" applyBorder="1" applyAlignment="1">
      <alignment horizontal="center"/>
    </xf>
    <xf numFmtId="0" fontId="38" fillId="7" borderId="71" xfId="5" applyFont="1" applyFill="1" applyBorder="1" applyAlignment="1" applyProtection="1">
      <alignment horizontal="center"/>
      <protection locked="0"/>
    </xf>
    <xf numFmtId="0" fontId="38" fillId="7" borderId="72" xfId="5" applyFont="1" applyFill="1" applyBorder="1" applyAlignment="1" applyProtection="1">
      <alignment horizontal="center"/>
      <protection locked="0"/>
    </xf>
    <xf numFmtId="0" fontId="38" fillId="7" borderId="60" xfId="5" applyFont="1" applyFill="1" applyBorder="1" applyAlignment="1" applyProtection="1">
      <alignment horizontal="center"/>
      <protection locked="0"/>
    </xf>
    <xf numFmtId="0" fontId="36" fillId="2" borderId="61" xfId="5" applyFont="1" applyBorder="1" applyAlignment="1">
      <alignment horizontal="center"/>
    </xf>
    <xf numFmtId="0" fontId="36" fillId="2" borderId="73" xfId="5" applyFont="1" applyBorder="1" applyAlignment="1">
      <alignment horizontal="center"/>
    </xf>
    <xf numFmtId="0" fontId="36" fillId="2" borderId="58" xfId="5" applyFont="1" applyBorder="1" applyAlignment="1">
      <alignment horizontal="right"/>
    </xf>
    <xf numFmtId="0" fontId="38" fillId="8" borderId="55" xfId="5" applyFont="1" applyFill="1" applyBorder="1" applyAlignment="1" applyProtection="1">
      <alignment horizontal="center"/>
      <protection locked="0"/>
    </xf>
    <xf numFmtId="0" fontId="38" fillId="8" borderId="56" xfId="5" applyFont="1" applyFill="1" applyBorder="1" applyAlignment="1" applyProtection="1">
      <alignment horizontal="center"/>
      <protection locked="0"/>
    </xf>
    <xf numFmtId="0" fontId="36" fillId="2" borderId="70" xfId="5" applyFont="1" applyBorder="1" applyAlignment="1">
      <alignment horizontal="right"/>
    </xf>
    <xf numFmtId="0" fontId="38" fillId="9" borderId="55" xfId="5" applyFont="1" applyFill="1" applyBorder="1" applyAlignment="1" applyProtection="1">
      <alignment horizontal="center"/>
      <protection locked="0"/>
    </xf>
    <xf numFmtId="0" fontId="38" fillId="9" borderId="56" xfId="5" applyFont="1" applyFill="1" applyBorder="1" applyAlignment="1" applyProtection="1">
      <alignment horizontal="center"/>
      <protection locked="0"/>
    </xf>
    <xf numFmtId="0" fontId="36" fillId="2" borderId="74" xfId="5" applyFont="1" applyBorder="1" applyAlignment="1">
      <alignment horizontal="right"/>
    </xf>
    <xf numFmtId="164" fontId="36" fillId="8" borderId="75" xfId="5" applyNumberFormat="1" applyFont="1" applyFill="1" applyBorder="1" applyAlignment="1">
      <alignment horizontal="center"/>
    </xf>
    <xf numFmtId="2" fontId="36" fillId="9" borderId="76" xfId="5" applyNumberFormat="1" applyFont="1" applyFill="1" applyBorder="1" applyAlignment="1">
      <alignment horizontal="center"/>
    </xf>
    <xf numFmtId="0" fontId="36" fillId="2" borderId="77" xfId="5" applyFont="1" applyBorder="1" applyAlignment="1">
      <alignment horizontal="right"/>
    </xf>
    <xf numFmtId="0" fontId="38" fillId="7" borderId="78" xfId="5" applyFont="1" applyFill="1" applyBorder="1" applyAlignment="1" applyProtection="1">
      <alignment horizontal="center"/>
      <protection locked="0"/>
    </xf>
    <xf numFmtId="0" fontId="36" fillId="2" borderId="74" xfId="5" applyFont="1" applyFill="1" applyBorder="1" applyAlignment="1">
      <alignment horizontal="right"/>
    </xf>
    <xf numFmtId="2" fontId="36" fillId="8" borderId="76" xfId="5" applyNumberFormat="1" applyFont="1" applyFill="1" applyBorder="1" applyAlignment="1">
      <alignment horizontal="center"/>
    </xf>
    <xf numFmtId="176" fontId="36" fillId="9" borderId="76" xfId="5" applyNumberFormat="1" applyFont="1" applyFill="1" applyBorder="1" applyAlignment="1">
      <alignment horizontal="center"/>
    </xf>
    <xf numFmtId="0" fontId="37" fillId="2" borderId="0" xfId="5" quotePrefix="1" applyFont="1" applyAlignment="1">
      <alignment horizontal="left"/>
    </xf>
    <xf numFmtId="165" fontId="36" fillId="8" borderId="76" xfId="5" applyNumberFormat="1" applyFont="1" applyFill="1" applyBorder="1" applyAlignment="1">
      <alignment horizontal="center"/>
    </xf>
    <xf numFmtId="0" fontId="36" fillId="2" borderId="79" xfId="5" applyFont="1" applyFill="1" applyBorder="1" applyAlignment="1">
      <alignment horizontal="right"/>
    </xf>
    <xf numFmtId="165" fontId="36" fillId="9" borderId="80" xfId="5" applyNumberFormat="1" applyFont="1" applyFill="1" applyBorder="1" applyAlignment="1">
      <alignment horizontal="center"/>
    </xf>
    <xf numFmtId="176" fontId="36" fillId="2" borderId="0" xfId="5" applyNumberFormat="1" applyFont="1"/>
    <xf numFmtId="0" fontId="36" fillId="2" borderId="0" xfId="5" quotePrefix="1" applyFont="1" applyAlignment="1">
      <alignment horizontal="left"/>
    </xf>
    <xf numFmtId="0" fontId="36" fillId="2" borderId="0" xfId="5" applyFont="1" applyAlignment="1" applyProtection="1">
      <alignment horizontal="right"/>
    </xf>
    <xf numFmtId="172" fontId="38" fillId="7" borderId="0" xfId="5" applyNumberFormat="1" applyFont="1" applyFill="1" applyAlignment="1" applyProtection="1">
      <alignment horizontal="center"/>
      <protection locked="0"/>
    </xf>
    <xf numFmtId="0" fontId="36" fillId="2" borderId="0" xfId="5" applyFont="1" applyAlignment="1" applyProtection="1">
      <alignment horizontal="center"/>
    </xf>
    <xf numFmtId="174" fontId="38" fillId="7" borderId="0" xfId="5" applyNumberFormat="1" applyFont="1" applyFill="1" applyAlignment="1" applyProtection="1">
      <alignment horizontal="center"/>
      <protection locked="0"/>
    </xf>
    <xf numFmtId="0" fontId="36" fillId="2" borderId="0" xfId="5" applyFont="1" applyProtection="1"/>
    <xf numFmtId="0" fontId="44" fillId="2" borderId="0" xfId="5" applyFont="1"/>
    <xf numFmtId="0" fontId="45" fillId="2" borderId="0" xfId="5" applyFont="1"/>
    <xf numFmtId="0" fontId="36" fillId="2" borderId="57" xfId="5" applyFont="1" applyBorder="1" applyAlignment="1" applyProtection="1">
      <alignment horizontal="right"/>
    </xf>
    <xf numFmtId="0" fontId="39" fillId="7" borderId="65" xfId="5" applyFont="1" applyFill="1" applyBorder="1" applyAlignment="1" applyProtection="1">
      <alignment horizontal="center"/>
      <protection locked="0"/>
    </xf>
    <xf numFmtId="2" fontId="37" fillId="2" borderId="58" xfId="5" applyNumberFormat="1" applyFont="1" applyBorder="1" applyAlignment="1" applyProtection="1">
      <alignment horizontal="center"/>
    </xf>
    <xf numFmtId="0" fontId="37" fillId="2" borderId="58" xfId="5" applyFont="1" applyBorder="1" applyAlignment="1" applyProtection="1">
      <alignment horizontal="center"/>
    </xf>
    <xf numFmtId="0" fontId="41" fillId="2" borderId="0" xfId="7" applyFont="1"/>
    <xf numFmtId="0" fontId="46" fillId="2" borderId="0" xfId="7" applyFont="1" applyFill="1" applyBorder="1" applyAlignment="1">
      <alignment vertical="center" wrapText="1"/>
    </xf>
    <xf numFmtId="0" fontId="36" fillId="2" borderId="60" xfId="5" applyFont="1" applyBorder="1" applyAlignment="1" applyProtection="1">
      <alignment horizontal="right"/>
    </xf>
    <xf numFmtId="0" fontId="39" fillId="7" borderId="81" xfId="5" applyFont="1" applyFill="1" applyBorder="1" applyAlignment="1" applyProtection="1">
      <alignment horizontal="center"/>
      <protection locked="0"/>
    </xf>
    <xf numFmtId="0" fontId="36" fillId="2" borderId="58" xfId="5" applyFont="1" applyBorder="1" applyAlignment="1" applyProtection="1">
      <alignment horizontal="center"/>
    </xf>
    <xf numFmtId="0" fontId="39" fillId="7" borderId="57" xfId="5" applyFont="1" applyFill="1" applyBorder="1" applyAlignment="1" applyProtection="1">
      <alignment horizontal="center"/>
      <protection locked="0"/>
    </xf>
    <xf numFmtId="177" fontId="36" fillId="2" borderId="65" xfId="5" applyNumberFormat="1" applyFont="1" applyBorder="1" applyAlignment="1" applyProtection="1">
      <alignment horizontal="center" vertical="center"/>
    </xf>
    <xf numFmtId="0" fontId="36" fillId="2" borderId="61" xfId="5" applyFont="1" applyBorder="1" applyAlignment="1" applyProtection="1">
      <alignment horizontal="center"/>
    </xf>
    <xf numFmtId="0" fontId="39" fillId="7" borderId="60" xfId="5" applyFont="1" applyFill="1" applyBorder="1" applyAlignment="1" applyProtection="1">
      <alignment horizontal="center"/>
      <protection locked="0"/>
    </xf>
    <xf numFmtId="177" fontId="36" fillId="2" borderId="81" xfId="5" applyNumberFormat="1" applyFont="1" applyBorder="1" applyAlignment="1" applyProtection="1">
      <alignment horizontal="center" vertical="center"/>
    </xf>
    <xf numFmtId="0" fontId="36" fillId="2" borderId="63" xfId="5" applyFont="1" applyBorder="1" applyAlignment="1" applyProtection="1">
      <alignment horizontal="center"/>
    </xf>
    <xf numFmtId="0" fontId="39" fillId="7" borderId="66" xfId="5" applyFont="1" applyFill="1" applyBorder="1" applyAlignment="1" applyProtection="1">
      <alignment horizontal="center"/>
      <protection locked="0"/>
    </xf>
    <xf numFmtId="177" fontId="36" fillId="2" borderId="67" xfId="5" applyNumberFormat="1" applyFont="1" applyBorder="1" applyAlignment="1" applyProtection="1">
      <alignment horizontal="center" vertical="center"/>
    </xf>
    <xf numFmtId="0" fontId="36" fillId="2" borderId="81" xfId="5" applyFont="1" applyBorder="1" applyAlignment="1" applyProtection="1">
      <alignment horizontal="center"/>
    </xf>
    <xf numFmtId="0" fontId="36" fillId="2" borderId="66" xfId="5" applyFont="1" applyBorder="1" applyAlignment="1" applyProtection="1">
      <alignment horizontal="right"/>
    </xf>
    <xf numFmtId="0" fontId="38" fillId="2" borderId="67" xfId="5" applyFont="1" applyBorder="1" applyAlignment="1" applyProtection="1">
      <alignment horizontal="center"/>
    </xf>
    <xf numFmtId="0" fontId="36" fillId="2" borderId="0" xfId="5" quotePrefix="1" applyFont="1" applyBorder="1" applyAlignment="1" applyProtection="1">
      <alignment horizontal="center"/>
    </xf>
    <xf numFmtId="0" fontId="36" fillId="2" borderId="0" xfId="5" applyFont="1" applyBorder="1" applyAlignment="1" applyProtection="1">
      <alignment horizontal="center"/>
    </xf>
    <xf numFmtId="0" fontId="36" fillId="2" borderId="73" xfId="5" applyFont="1" applyBorder="1" applyAlignment="1" applyProtection="1">
      <alignment horizontal="right"/>
    </xf>
    <xf numFmtId="177" fontId="38" fillId="8" borderId="73" xfId="5" applyNumberFormat="1" applyFont="1" applyFill="1" applyBorder="1" applyAlignment="1" applyProtection="1">
      <alignment horizontal="center"/>
    </xf>
    <xf numFmtId="0" fontId="36" fillId="2" borderId="74" xfId="5" applyFont="1" applyBorder="1" applyAlignment="1" applyProtection="1">
      <alignment horizontal="right"/>
    </xf>
    <xf numFmtId="10" fontId="38" fillId="9" borderId="74" xfId="5" applyNumberFormat="1" applyFont="1" applyFill="1" applyBorder="1" applyAlignment="1" applyProtection="1">
      <alignment horizontal="center"/>
    </xf>
    <xf numFmtId="2" fontId="36" fillId="2" borderId="0" xfId="5" applyNumberFormat="1" applyFont="1" applyBorder="1" applyAlignment="1" applyProtection="1">
      <alignment horizontal="center"/>
    </xf>
    <xf numFmtId="0" fontId="36" fillId="2" borderId="79" xfId="5" applyFont="1" applyBorder="1" applyAlignment="1" applyProtection="1">
      <alignment horizontal="right"/>
    </xf>
    <xf numFmtId="0" fontId="38" fillId="8" borderId="79" xfId="5" applyFont="1" applyFill="1" applyBorder="1" applyAlignment="1" applyProtection="1">
      <alignment horizontal="center"/>
    </xf>
    <xf numFmtId="0" fontId="36" fillId="2" borderId="0" xfId="5" quotePrefix="1" applyFont="1" applyBorder="1" applyAlignment="1">
      <alignment horizontal="center"/>
    </xf>
    <xf numFmtId="0" fontId="36" fillId="2" borderId="0" xfId="5" applyFont="1" applyBorder="1" applyAlignment="1">
      <alignment horizontal="center"/>
    </xf>
    <xf numFmtId="2" fontId="36" fillId="2" borderId="0" xfId="5" applyNumberFormat="1" applyFont="1" applyBorder="1" applyAlignment="1">
      <alignment horizontal="center"/>
    </xf>
    <xf numFmtId="0" fontId="36" fillId="2" borderId="79" xfId="5" applyFont="1" applyBorder="1" applyAlignment="1">
      <alignment horizontal="right"/>
    </xf>
    <xf numFmtId="0" fontId="38" fillId="9" borderId="79" xfId="5" applyFont="1" applyFill="1" applyBorder="1" applyAlignment="1">
      <alignment horizontal="center"/>
    </xf>
    <xf numFmtId="0" fontId="36" fillId="2" borderId="0" xfId="5" quotePrefix="1" applyFont="1" applyBorder="1" applyAlignment="1">
      <alignment horizontal="right"/>
    </xf>
    <xf numFmtId="0" fontId="37" fillId="2" borderId="0" xfId="5" quotePrefix="1" applyFont="1" applyBorder="1" applyAlignment="1">
      <alignment horizontal="center"/>
    </xf>
    <xf numFmtId="0" fontId="36" fillId="2" borderId="0" xfId="5" applyFont="1" applyBorder="1" applyAlignment="1"/>
    <xf numFmtId="178" fontId="38" fillId="2" borderId="0" xfId="5" applyNumberFormat="1" applyFont="1" applyFill="1" applyBorder="1" applyAlignment="1">
      <alignment horizontal="center"/>
    </xf>
    <xf numFmtId="0" fontId="34" fillId="2" borderId="52" xfId="5" applyFont="1" applyFill="1" applyBorder="1" applyAlignment="1">
      <alignment horizontal="left" vertical="center" wrapText="1"/>
    </xf>
    <xf numFmtId="0" fontId="36" fillId="2" borderId="52" xfId="5" applyFont="1" applyBorder="1"/>
    <xf numFmtId="0" fontId="37" fillId="2" borderId="82" xfId="5" applyFont="1" applyBorder="1" applyAlignment="1"/>
    <xf numFmtId="0" fontId="37" fillId="2" borderId="82" xfId="5" applyFont="1" applyBorder="1" applyAlignment="1">
      <alignment horizontal="center"/>
    </xf>
    <xf numFmtId="0" fontId="36" fillId="2" borderId="82" xfId="5" applyFont="1" applyBorder="1" applyAlignment="1">
      <alignment horizontal="center"/>
    </xf>
    <xf numFmtId="0" fontId="37" fillId="2" borderId="0" xfId="5" applyFont="1" applyBorder="1" applyAlignment="1">
      <alignment horizontal="right"/>
    </xf>
    <xf numFmtId="0" fontId="36" fillId="2" borderId="0" xfId="5" quotePrefix="1" applyFont="1" applyBorder="1" applyAlignment="1"/>
    <xf numFmtId="0" fontId="36" fillId="2" borderId="83" xfId="5" quotePrefix="1" applyFont="1" applyBorder="1" applyAlignment="1" applyProtection="1">
      <protection locked="0"/>
    </xf>
    <xf numFmtId="0" fontId="36" fillId="2" borderId="0" xfId="5" applyFont="1" applyBorder="1"/>
    <xf numFmtId="0" fontId="36" fillId="2" borderId="83" xfId="5" applyFont="1" applyBorder="1" applyAlignment="1" applyProtection="1">
      <protection locked="0"/>
    </xf>
    <xf numFmtId="0" fontId="37" fillId="2" borderId="0" xfId="5" applyFont="1" applyBorder="1" applyAlignment="1"/>
    <xf numFmtId="0" fontId="37" fillId="2" borderId="84" xfId="5" applyFont="1" applyBorder="1" applyAlignment="1" applyProtection="1">
      <protection locked="0"/>
    </xf>
    <xf numFmtId="0" fontId="36" fillId="2" borderId="84" xfId="5" applyFont="1" applyBorder="1" applyAlignment="1" applyProtection="1">
      <protection locked="0"/>
    </xf>
    <xf numFmtId="0" fontId="11" fillId="3" borderId="0" xfId="4" applyFont="1" applyFill="1" applyAlignment="1" applyProtection="1">
      <alignment horizontal="left"/>
      <protection locked="0"/>
    </xf>
    <xf numFmtId="14" fontId="11" fillId="3" borderId="0" xfId="4" applyNumberFormat="1" applyFont="1" applyFill="1" applyAlignment="1" applyProtection="1">
      <alignment horizontal="left"/>
      <protection locked="0"/>
    </xf>
    <xf numFmtId="0" fontId="9" fillId="2" borderId="1" xfId="4" applyFont="1" applyFill="1" applyBorder="1" applyProtection="1">
      <protection locked="0"/>
    </xf>
    <xf numFmtId="0" fontId="3" fillId="2" borderId="0" xfId="9"/>
    <xf numFmtId="0" fontId="47" fillId="2" borderId="0" xfId="9" applyFont="1"/>
    <xf numFmtId="179" fontId="47" fillId="2" borderId="0" xfId="9" applyNumberFormat="1" applyFont="1"/>
    <xf numFmtId="2" fontId="3" fillId="2" borderId="0" xfId="9" applyNumberFormat="1"/>
    <xf numFmtId="0" fontId="2" fillId="2" borderId="0" xfId="9" applyFont="1"/>
    <xf numFmtId="165" fontId="36" fillId="2" borderId="58" xfId="5" applyNumberFormat="1" applyFont="1" applyBorder="1" applyAlignment="1" applyProtection="1">
      <alignment horizontal="center"/>
    </xf>
    <xf numFmtId="165" fontId="36" fillId="2" borderId="61" xfId="5" applyNumberFormat="1" applyFont="1" applyBorder="1" applyAlignment="1" applyProtection="1">
      <alignment horizontal="center"/>
    </xf>
    <xf numFmtId="165" fontId="36" fillId="2" borderId="63" xfId="5" applyNumberFormat="1" applyFont="1" applyBorder="1" applyAlignment="1" applyProtection="1">
      <alignment horizontal="center"/>
    </xf>
    <xf numFmtId="165" fontId="36" fillId="2" borderId="81" xfId="5" applyNumberFormat="1" applyFont="1" applyBorder="1" applyAlignment="1" applyProtection="1">
      <alignment horizontal="center" vertical="center"/>
    </xf>
    <xf numFmtId="165" fontId="36" fillId="2" borderId="65" xfId="5" applyNumberFormat="1" applyFont="1" applyBorder="1" applyAlignment="1" applyProtection="1">
      <alignment horizontal="center" vertical="center"/>
    </xf>
    <xf numFmtId="165" fontId="36" fillId="2" borderId="67" xfId="5" applyNumberFormat="1" applyFont="1" applyBorder="1" applyAlignment="1" applyProtection="1">
      <alignment horizontal="center" vertical="center"/>
    </xf>
    <xf numFmtId="166" fontId="38" fillId="7" borderId="60" xfId="5" applyNumberFormat="1" applyFont="1" applyFill="1" applyBorder="1" applyAlignment="1" applyProtection="1">
      <alignment horizontal="center"/>
      <protection locked="0"/>
    </xf>
    <xf numFmtId="180" fontId="36" fillId="2" borderId="0" xfId="5" applyNumberFormat="1" applyFont="1"/>
    <xf numFmtId="165" fontId="23" fillId="2" borderId="22" xfId="4" applyNumberFormat="1" applyFont="1" applyFill="1" applyBorder="1" applyAlignment="1">
      <alignment horizontal="center"/>
    </xf>
    <xf numFmtId="165" fontId="23" fillId="2" borderId="24" xfId="4" applyNumberFormat="1" applyFont="1" applyFill="1" applyBorder="1" applyAlignment="1">
      <alignment horizontal="center"/>
    </xf>
    <xf numFmtId="165" fontId="23" fillId="2" borderId="38" xfId="4" applyNumberFormat="1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3" fillId="2" borderId="30" xfId="0" applyFont="1" applyFill="1" applyBorder="1" applyAlignment="1">
      <alignment horizontal="center" vertical="center"/>
    </xf>
    <xf numFmtId="0" fontId="13" fillId="2" borderId="20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2" fontId="10" fillId="2" borderId="30" xfId="0" applyNumberFormat="1" applyFont="1" applyFill="1" applyBorder="1" applyAlignment="1">
      <alignment horizontal="center" vertical="center"/>
    </xf>
    <xf numFmtId="2" fontId="10" fillId="2" borderId="6" xfId="0" applyNumberFormat="1" applyFont="1" applyFill="1" applyBorder="1" applyAlignment="1">
      <alignment horizontal="center" vertical="center"/>
    </xf>
    <xf numFmtId="0" fontId="10" fillId="2" borderId="3" xfId="3" applyFont="1" applyFill="1" applyBorder="1" applyAlignment="1">
      <alignment horizontal="center"/>
    </xf>
    <xf numFmtId="0" fontId="10" fillId="2" borderId="3" xfId="3" applyFont="1" applyFill="1" applyBorder="1" applyAlignment="1">
      <alignment horizontal="center" vertical="center"/>
    </xf>
    <xf numFmtId="0" fontId="10" fillId="2" borderId="0" xfId="3" applyFont="1" applyFill="1" applyAlignment="1">
      <alignment horizontal="center" vertical="center"/>
    </xf>
    <xf numFmtId="0" fontId="10" fillId="2" borderId="2" xfId="3" applyFont="1" applyFill="1" applyBorder="1" applyAlignment="1">
      <alignment horizontal="center" vertical="center"/>
    </xf>
    <xf numFmtId="2" fontId="11" fillId="3" borderId="21" xfId="3" applyNumberFormat="1" applyFont="1" applyFill="1" applyBorder="1" applyAlignment="1" applyProtection="1">
      <alignment horizontal="center" vertical="center"/>
      <protection locked="0"/>
    </xf>
    <xf numFmtId="2" fontId="11" fillId="3" borderId="37" xfId="3" applyNumberFormat="1" applyFont="1" applyFill="1" applyBorder="1" applyAlignment="1" applyProtection="1">
      <alignment horizontal="center" vertical="center"/>
      <protection locked="0"/>
    </xf>
    <xf numFmtId="2" fontId="11" fillId="3" borderId="39" xfId="3" applyNumberFormat="1" applyFont="1" applyFill="1" applyBorder="1" applyAlignment="1" applyProtection="1">
      <alignment horizontal="center" vertical="center"/>
      <protection locked="0"/>
    </xf>
    <xf numFmtId="0" fontId="10" fillId="2" borderId="38" xfId="3" applyFont="1" applyFill="1" applyBorder="1" applyAlignment="1">
      <alignment horizontal="center" vertical="center"/>
    </xf>
    <xf numFmtId="2" fontId="11" fillId="3" borderId="22" xfId="3" applyNumberFormat="1" applyFont="1" applyFill="1" applyBorder="1" applyAlignment="1" applyProtection="1">
      <alignment horizontal="center" vertical="center"/>
      <protection locked="0"/>
    </xf>
    <xf numFmtId="2" fontId="11" fillId="3" borderId="24" xfId="3" applyNumberFormat="1" applyFont="1" applyFill="1" applyBorder="1" applyAlignment="1" applyProtection="1">
      <alignment horizontal="center" vertical="center"/>
      <protection locked="0"/>
    </xf>
    <xf numFmtId="2" fontId="11" fillId="3" borderId="38" xfId="3" applyNumberFormat="1" applyFont="1" applyFill="1" applyBorder="1" applyAlignment="1" applyProtection="1">
      <alignment horizontal="center" vertical="center"/>
      <protection locked="0"/>
    </xf>
    <xf numFmtId="0" fontId="13" fillId="2" borderId="22" xfId="3" applyFont="1" applyFill="1" applyBorder="1" applyAlignment="1">
      <alignment horizontal="left" vertical="center" wrapText="1"/>
    </xf>
    <xf numFmtId="0" fontId="13" fillId="2" borderId="23" xfId="3" applyFont="1" applyFill="1" applyBorder="1" applyAlignment="1">
      <alignment horizontal="left" vertical="center" wrapText="1"/>
    </xf>
    <xf numFmtId="0" fontId="13" fillId="2" borderId="38" xfId="3" applyFont="1" applyFill="1" applyBorder="1" applyAlignment="1">
      <alignment horizontal="left" vertical="center" wrapText="1"/>
    </xf>
    <xf numFmtId="0" fontId="13" fillId="2" borderId="29" xfId="3" applyFont="1" applyFill="1" applyBorder="1" applyAlignment="1">
      <alignment horizontal="left" vertical="center" wrapText="1"/>
    </xf>
    <xf numFmtId="0" fontId="10" fillId="2" borderId="0" xfId="3" applyFont="1" applyFill="1" applyAlignment="1">
      <alignment horizontal="center"/>
    </xf>
    <xf numFmtId="0" fontId="14" fillId="2" borderId="0" xfId="3" applyFont="1" applyFill="1" applyAlignment="1">
      <alignment horizontal="center" vertical="center"/>
    </xf>
    <xf numFmtId="0" fontId="15" fillId="2" borderId="0" xfId="3" applyFont="1" applyFill="1" applyAlignment="1">
      <alignment horizontal="center" vertical="center"/>
    </xf>
    <xf numFmtId="0" fontId="13" fillId="2" borderId="24" xfId="3" applyFont="1" applyFill="1" applyBorder="1" applyAlignment="1">
      <alignment horizontal="center"/>
    </xf>
    <xf numFmtId="0" fontId="13" fillId="2" borderId="0" xfId="3" applyFont="1" applyFill="1" applyAlignment="1">
      <alignment horizontal="center"/>
    </xf>
    <xf numFmtId="0" fontId="12" fillId="3" borderId="0" xfId="3" applyFont="1" applyFill="1" applyAlignment="1" applyProtection="1">
      <alignment horizontal="left"/>
      <protection locked="0"/>
    </xf>
    <xf numFmtId="0" fontId="11" fillId="3" borderId="0" xfId="3" applyFont="1" applyFill="1" applyAlignment="1" applyProtection="1">
      <alignment horizontal="left"/>
      <protection locked="0"/>
    </xf>
    <xf numFmtId="0" fontId="27" fillId="3" borderId="0" xfId="4" applyFont="1" applyFill="1" applyAlignment="1" applyProtection="1">
      <alignment horizontal="left"/>
      <protection locked="0"/>
    </xf>
    <xf numFmtId="0" fontId="21" fillId="2" borderId="0" xfId="4" applyFont="1" applyFill="1" applyAlignment="1">
      <alignment horizontal="center" vertical="center"/>
    </xf>
    <xf numFmtId="0" fontId="22" fillId="2" borderId="0" xfId="4" applyFont="1" applyFill="1" applyAlignment="1">
      <alignment horizontal="center" vertical="center"/>
    </xf>
    <xf numFmtId="0" fontId="24" fillId="2" borderId="30" xfId="4" applyFont="1" applyFill="1" applyBorder="1" applyAlignment="1">
      <alignment horizontal="center"/>
    </xf>
    <xf numFmtId="0" fontId="24" fillId="2" borderId="20" xfId="4" applyFont="1" applyFill="1" applyBorder="1" applyAlignment="1">
      <alignment horizontal="center"/>
    </xf>
    <xf numFmtId="0" fontId="24" fillId="2" borderId="6" xfId="4" applyFont="1" applyFill="1" applyBorder="1" applyAlignment="1">
      <alignment horizontal="center"/>
    </xf>
    <xf numFmtId="0" fontId="11" fillId="3" borderId="0" xfId="4" applyFont="1" applyFill="1" applyAlignment="1" applyProtection="1">
      <alignment horizontal="left"/>
      <protection locked="0"/>
    </xf>
    <xf numFmtId="0" fontId="28" fillId="3" borderId="0" xfId="4" applyFont="1" applyFill="1" applyAlignment="1" applyProtection="1">
      <alignment horizontal="left"/>
      <protection locked="0"/>
    </xf>
    <xf numFmtId="0" fontId="24" fillId="2" borderId="30" xfId="4" applyFont="1" applyFill="1" applyBorder="1" applyAlignment="1">
      <alignment horizontal="left" vertical="center" wrapText="1"/>
    </xf>
    <xf numFmtId="0" fontId="24" fillId="2" borderId="20" xfId="4" applyFont="1" applyFill="1" applyBorder="1" applyAlignment="1">
      <alignment horizontal="left" vertical="center" wrapText="1"/>
    </xf>
    <xf numFmtId="0" fontId="24" fillId="2" borderId="6" xfId="4" applyFont="1" applyFill="1" applyBorder="1" applyAlignment="1">
      <alignment horizontal="left" vertical="center" wrapText="1"/>
    </xf>
    <xf numFmtId="0" fontId="26" fillId="2" borderId="12" xfId="4" applyFont="1" applyFill="1" applyBorder="1" applyAlignment="1">
      <alignment horizontal="center"/>
    </xf>
    <xf numFmtId="0" fontId="26" fillId="2" borderId="19" xfId="4" applyFont="1" applyFill="1" applyBorder="1" applyAlignment="1">
      <alignment horizontal="center"/>
    </xf>
    <xf numFmtId="0" fontId="26" fillId="2" borderId="27" xfId="4" applyFont="1" applyFill="1" applyBorder="1" applyAlignment="1">
      <alignment horizontal="center"/>
    </xf>
    <xf numFmtId="0" fontId="26" fillId="2" borderId="0" xfId="4" applyFont="1" applyFill="1" applyAlignment="1">
      <alignment horizontal="center"/>
    </xf>
    <xf numFmtId="0" fontId="26" fillId="2" borderId="3" xfId="4" applyFont="1" applyFill="1" applyBorder="1" applyAlignment="1">
      <alignment horizontal="center"/>
    </xf>
    <xf numFmtId="0" fontId="24" fillId="2" borderId="22" xfId="4" applyFont="1" applyFill="1" applyBorder="1" applyAlignment="1">
      <alignment horizontal="left" vertical="center" wrapText="1"/>
    </xf>
    <xf numFmtId="0" fontId="24" fillId="2" borderId="3" xfId="4" applyFont="1" applyFill="1" applyBorder="1" applyAlignment="1">
      <alignment horizontal="left" vertical="center" wrapText="1"/>
    </xf>
    <xf numFmtId="0" fontId="24" fillId="2" borderId="38" xfId="4" applyFont="1" applyFill="1" applyBorder="1" applyAlignment="1">
      <alignment horizontal="left" vertical="center" wrapText="1"/>
    </xf>
    <xf numFmtId="0" fontId="24" fillId="2" borderId="2" xfId="4" applyFont="1" applyFill="1" applyBorder="1" applyAlignment="1">
      <alignment horizontal="left" vertical="center" wrapText="1"/>
    </xf>
    <xf numFmtId="0" fontId="26" fillId="2" borderId="3" xfId="4" applyFont="1" applyFill="1" applyBorder="1" applyAlignment="1">
      <alignment horizontal="center" vertical="center"/>
    </xf>
    <xf numFmtId="0" fontId="26" fillId="2" borderId="0" xfId="4" applyFont="1" applyFill="1" applyAlignment="1">
      <alignment horizontal="center" vertical="center"/>
    </xf>
    <xf numFmtId="0" fontId="26" fillId="2" borderId="2" xfId="4" applyFont="1" applyFill="1" applyBorder="1" applyAlignment="1">
      <alignment horizontal="center" vertical="center"/>
    </xf>
    <xf numFmtId="2" fontId="28" fillId="3" borderId="22" xfId="4" applyNumberFormat="1" applyFont="1" applyFill="1" applyBorder="1" applyAlignment="1" applyProtection="1">
      <alignment horizontal="center" vertical="center"/>
      <protection locked="0"/>
    </xf>
    <xf numFmtId="2" fontId="28" fillId="3" borderId="24" xfId="4" applyNumberFormat="1" applyFont="1" applyFill="1" applyBorder="1" applyAlignment="1" applyProtection="1">
      <alignment horizontal="center" vertical="center"/>
      <protection locked="0"/>
    </xf>
    <xf numFmtId="2" fontId="28" fillId="3" borderId="38" xfId="4" applyNumberFormat="1" applyFont="1" applyFill="1" applyBorder="1" applyAlignment="1" applyProtection="1">
      <alignment horizontal="center" vertical="center"/>
      <protection locked="0"/>
    </xf>
    <xf numFmtId="2" fontId="28" fillId="3" borderId="21" xfId="4" applyNumberFormat="1" applyFont="1" applyFill="1" applyBorder="1" applyAlignment="1" applyProtection="1">
      <alignment horizontal="center" vertical="center"/>
      <protection locked="0"/>
    </xf>
    <xf numFmtId="2" fontId="28" fillId="3" borderId="37" xfId="4" applyNumberFormat="1" applyFont="1" applyFill="1" applyBorder="1" applyAlignment="1" applyProtection="1">
      <alignment horizontal="center" vertical="center"/>
      <protection locked="0"/>
    </xf>
    <xf numFmtId="2" fontId="28" fillId="3" borderId="39" xfId="4" applyNumberFormat="1" applyFont="1" applyFill="1" applyBorder="1" applyAlignment="1" applyProtection="1">
      <alignment horizontal="center" vertical="center"/>
      <protection locked="0"/>
    </xf>
    <xf numFmtId="0" fontId="26" fillId="2" borderId="38" xfId="4" applyFont="1" applyFill="1" applyBorder="1" applyAlignment="1">
      <alignment horizontal="center" vertical="center"/>
    </xf>
    <xf numFmtId="0" fontId="24" fillId="2" borderId="23" xfId="4" applyFont="1" applyFill="1" applyBorder="1" applyAlignment="1">
      <alignment horizontal="left" vertical="center" wrapText="1"/>
    </xf>
    <xf numFmtId="0" fontId="24" fillId="2" borderId="29" xfId="4" applyFont="1" applyFill="1" applyBorder="1" applyAlignment="1">
      <alignment horizontal="left" vertical="center" wrapText="1"/>
    </xf>
    <xf numFmtId="0" fontId="34" fillId="2" borderId="57" xfId="5" applyFont="1" applyFill="1" applyBorder="1" applyAlignment="1">
      <alignment horizontal="left" vertical="center" wrapText="1"/>
    </xf>
    <xf numFmtId="0" fontId="34" fillId="2" borderId="65" xfId="5" applyFont="1" applyFill="1" applyBorder="1" applyAlignment="1">
      <alignment horizontal="left" vertical="center" wrapText="1"/>
    </xf>
    <xf numFmtId="0" fontId="34" fillId="2" borderId="66" xfId="5" applyFont="1" applyFill="1" applyBorder="1" applyAlignment="1">
      <alignment horizontal="left" vertical="center" wrapText="1"/>
    </xf>
    <xf numFmtId="0" fontId="34" fillId="2" borderId="67" xfId="5" applyFont="1" applyFill="1" applyBorder="1" applyAlignment="1">
      <alignment horizontal="left" vertical="center" wrapText="1"/>
    </xf>
    <xf numFmtId="0" fontId="32" fillId="2" borderId="0" xfId="5" applyFont="1" applyAlignment="1">
      <alignment horizontal="center" vertical="center"/>
    </xf>
    <xf numFmtId="0" fontId="33" fillId="2" borderId="0" xfId="5" applyFont="1" applyAlignment="1">
      <alignment horizontal="center" vertical="center"/>
    </xf>
    <xf numFmtId="0" fontId="33" fillId="2" borderId="52" xfId="5" applyFont="1" applyBorder="1" applyAlignment="1">
      <alignment horizontal="center" vertical="center"/>
    </xf>
    <xf numFmtId="0" fontId="34" fillId="2" borderId="53" xfId="5" applyFont="1" applyBorder="1" applyAlignment="1">
      <alignment horizontal="center"/>
    </xf>
    <xf numFmtId="0" fontId="34" fillId="2" borderId="54" xfId="5" applyFont="1" applyBorder="1" applyAlignment="1">
      <alignment horizontal="center"/>
    </xf>
    <xf numFmtId="0" fontId="38" fillId="7" borderId="0" xfId="5" applyFont="1" applyFill="1" applyAlignment="1" applyProtection="1">
      <alignment horizontal="left"/>
      <protection locked="0"/>
    </xf>
    <xf numFmtId="0" fontId="39" fillId="7" borderId="0" xfId="5" applyFont="1" applyFill="1" applyAlignment="1" applyProtection="1">
      <alignment horizontal="left"/>
      <protection locked="0"/>
    </xf>
    <xf numFmtId="0" fontId="39" fillId="7" borderId="0" xfId="5" quotePrefix="1" applyFont="1" applyFill="1" applyAlignment="1" applyProtection="1">
      <alignment horizontal="center"/>
      <protection locked="0"/>
    </xf>
    <xf numFmtId="0" fontId="38" fillId="7" borderId="0" xfId="5" applyFont="1" applyFill="1" applyAlignment="1" applyProtection="1">
      <alignment horizontal="center"/>
      <protection locked="0"/>
    </xf>
    <xf numFmtId="0" fontId="39" fillId="7" borderId="0" xfId="5" applyFont="1" applyFill="1" applyAlignment="1" applyProtection="1">
      <alignment horizontal="center"/>
      <protection locked="0"/>
    </xf>
    <xf numFmtId="0" fontId="34" fillId="2" borderId="53" xfId="5" applyFont="1" applyFill="1" applyBorder="1" applyAlignment="1">
      <alignment horizontal="center" vertical="center" wrapText="1"/>
    </xf>
    <xf numFmtId="0" fontId="34" fillId="2" borderId="54" xfId="5" applyFont="1" applyFill="1" applyBorder="1" applyAlignment="1">
      <alignment horizontal="center" vertical="center" wrapText="1"/>
    </xf>
    <xf numFmtId="0" fontId="34" fillId="2" borderId="55" xfId="5" applyFont="1" applyFill="1" applyBorder="1" applyAlignment="1">
      <alignment horizontal="center" vertical="center" wrapText="1"/>
    </xf>
    <xf numFmtId="0" fontId="37" fillId="2" borderId="82" xfId="5" applyFont="1" applyBorder="1" applyAlignment="1">
      <alignment horizontal="center"/>
    </xf>
    <xf numFmtId="0" fontId="36" fillId="2" borderId="83" xfId="5" quotePrefix="1" applyFont="1" applyBorder="1" applyAlignment="1" applyProtection="1">
      <alignment horizontal="center"/>
      <protection locked="0"/>
    </xf>
    <xf numFmtId="0" fontId="37" fillId="2" borderId="84" xfId="5" applyFont="1" applyBorder="1" applyAlignment="1" applyProtection="1">
      <alignment horizontal="center"/>
      <protection locked="0"/>
    </xf>
    <xf numFmtId="0" fontId="37" fillId="2" borderId="53" xfId="5" applyFont="1" applyBorder="1" applyAlignment="1">
      <alignment horizontal="center"/>
    </xf>
    <xf numFmtId="0" fontId="37" fillId="2" borderId="54" xfId="5" applyFont="1" applyBorder="1" applyAlignment="1">
      <alignment horizontal="center"/>
    </xf>
    <xf numFmtId="0" fontId="37" fillId="2" borderId="55" xfId="5" applyFont="1" applyBorder="1" applyAlignment="1">
      <alignment horizontal="center"/>
    </xf>
    <xf numFmtId="0" fontId="37" fillId="2" borderId="82" xfId="5" applyFont="1" applyBorder="1" applyAlignment="1" applyProtection="1">
      <alignment horizontal="center" vertical="center"/>
    </xf>
    <xf numFmtId="0" fontId="37" fillId="2" borderId="0" xfId="5" applyFont="1" applyBorder="1" applyAlignment="1" applyProtection="1">
      <alignment horizontal="center" vertical="center"/>
    </xf>
    <xf numFmtId="0" fontId="37" fillId="2" borderId="52" xfId="5" applyFont="1" applyBorder="1" applyAlignment="1" applyProtection="1">
      <alignment horizontal="center" vertical="center"/>
    </xf>
    <xf numFmtId="2" fontId="39" fillId="7" borderId="57" xfId="5" applyNumberFormat="1" applyFont="1" applyFill="1" applyBorder="1" applyAlignment="1" applyProtection="1">
      <alignment horizontal="center" vertical="center"/>
      <protection locked="0"/>
    </xf>
    <xf numFmtId="2" fontId="39" fillId="7" borderId="60" xfId="5" applyNumberFormat="1" applyFont="1" applyFill="1" applyBorder="1" applyAlignment="1" applyProtection="1">
      <alignment horizontal="center" vertical="center"/>
      <protection locked="0"/>
    </xf>
    <xf numFmtId="2" fontId="39" fillId="7" borderId="66" xfId="5" applyNumberFormat="1" applyFont="1" applyFill="1" applyBorder="1" applyAlignment="1" applyProtection="1">
      <alignment horizontal="center" vertical="center"/>
      <protection locked="0"/>
    </xf>
    <xf numFmtId="2" fontId="39" fillId="7" borderId="58" xfId="5" applyNumberFormat="1" applyFont="1" applyFill="1" applyBorder="1" applyAlignment="1" applyProtection="1">
      <alignment horizontal="center" vertical="center"/>
      <protection locked="0"/>
    </xf>
    <xf numFmtId="2" fontId="39" fillId="7" borderId="61" xfId="5" applyNumberFormat="1" applyFont="1" applyFill="1" applyBorder="1" applyAlignment="1" applyProtection="1">
      <alignment horizontal="center" vertical="center"/>
      <protection locked="0"/>
    </xf>
    <xf numFmtId="2" fontId="39" fillId="7" borderId="63" xfId="5" applyNumberFormat="1" applyFont="1" applyFill="1" applyBorder="1" applyAlignment="1" applyProtection="1">
      <alignment horizontal="center" vertical="center"/>
      <protection locked="0"/>
    </xf>
    <xf numFmtId="0" fontId="37" fillId="2" borderId="66" xfId="5" applyFont="1" applyBorder="1" applyAlignment="1" applyProtection="1">
      <alignment horizontal="center" vertical="center"/>
    </xf>
    <xf numFmtId="0" fontId="34" fillId="2" borderId="57" xfId="5" applyFont="1" applyFill="1" applyBorder="1" applyAlignment="1" applyProtection="1">
      <alignment horizontal="left" vertical="center" wrapText="1"/>
    </xf>
    <xf numFmtId="0" fontId="34" fillId="2" borderId="65" xfId="5" applyFont="1" applyFill="1" applyBorder="1" applyAlignment="1" applyProtection="1">
      <alignment horizontal="left" vertical="center" wrapText="1"/>
    </xf>
    <xf numFmtId="0" fontId="34" fillId="2" borderId="66" xfId="5" applyFont="1" applyFill="1" applyBorder="1" applyAlignment="1" applyProtection="1">
      <alignment horizontal="left" vertical="center" wrapText="1"/>
    </xf>
    <xf numFmtId="0" fontId="34" fillId="2" borderId="67" xfId="5" applyFont="1" applyFill="1" applyBorder="1" applyAlignment="1" applyProtection="1">
      <alignment horizontal="left" vertical="center" wrapText="1"/>
    </xf>
    <xf numFmtId="0" fontId="1" fillId="2" borderId="0" xfId="9" applyFont="1"/>
    <xf numFmtId="0" fontId="50" fillId="2" borderId="0" xfId="9" applyFont="1"/>
    <xf numFmtId="0" fontId="5" fillId="2" borderId="0" xfId="10" applyFont="1" applyFill="1"/>
    <xf numFmtId="0" fontId="18" fillId="2" borderId="0" xfId="10" applyFont="1" applyFill="1"/>
    <xf numFmtId="0" fontId="18" fillId="2" borderId="0" xfId="10" applyFont="1" applyFill="1" applyAlignment="1">
      <alignment horizontal="right"/>
    </xf>
    <xf numFmtId="0" fontId="6" fillId="2" borderId="0" xfId="10" applyFont="1" applyFill="1" applyAlignment="1">
      <alignment horizontal="center"/>
    </xf>
    <xf numFmtId="0" fontId="7" fillId="2" borderId="0" xfId="10" applyFont="1" applyFill="1"/>
    <xf numFmtId="0" fontId="7" fillId="2" borderId="0" xfId="10" applyFont="1" applyFill="1" applyAlignment="1">
      <alignment horizontal="left"/>
    </xf>
    <xf numFmtId="0" fontId="51" fillId="2" borderId="0" xfId="10" applyFont="1" applyFill="1" applyAlignment="1">
      <alignment horizontal="left"/>
    </xf>
    <xf numFmtId="0" fontId="51" fillId="2" borderId="0" xfId="10" applyFont="1" applyFill="1" applyAlignment="1">
      <alignment horizontal="center"/>
    </xf>
    <xf numFmtId="0" fontId="8" fillId="2" borderId="0" xfId="10" applyFont="1" applyFill="1"/>
    <xf numFmtId="0" fontId="51" fillId="2" borderId="0" xfId="10" applyFont="1" applyFill="1"/>
    <xf numFmtId="2" fontId="51" fillId="2" borderId="0" xfId="10" applyNumberFormat="1" applyFont="1" applyFill="1" applyAlignment="1">
      <alignment horizontal="center"/>
    </xf>
    <xf numFmtId="164" fontId="51" fillId="2" borderId="0" xfId="10" applyNumberFormat="1" applyFont="1" applyFill="1" applyAlignment="1">
      <alignment horizontal="center"/>
    </xf>
    <xf numFmtId="22" fontId="8" fillId="2" borderId="0" xfId="10" applyNumberFormat="1" applyFont="1" applyFill="1"/>
    <xf numFmtId="0" fontId="51" fillId="2" borderId="85" xfId="10" applyFont="1" applyFill="1" applyBorder="1" applyAlignment="1">
      <alignment horizontal="center"/>
    </xf>
    <xf numFmtId="0" fontId="51" fillId="2" borderId="86" xfId="10" applyFont="1" applyFill="1" applyBorder="1" applyAlignment="1">
      <alignment horizontal="center"/>
    </xf>
    <xf numFmtId="0" fontId="8" fillId="2" borderId="87" xfId="10" applyFont="1" applyFill="1" applyBorder="1" applyAlignment="1">
      <alignment horizontal="center"/>
    </xf>
    <xf numFmtId="0" fontId="52" fillId="3" borderId="87" xfId="10" applyFont="1" applyFill="1" applyBorder="1" applyAlignment="1" applyProtection="1">
      <alignment horizontal="center"/>
      <protection locked="0"/>
    </xf>
    <xf numFmtId="2" fontId="52" fillId="3" borderId="87" xfId="10" applyNumberFormat="1" applyFont="1" applyFill="1" applyBorder="1" applyAlignment="1" applyProtection="1">
      <alignment horizontal="center"/>
      <protection locked="0"/>
    </xf>
    <xf numFmtId="2" fontId="52" fillId="3" borderId="88" xfId="10" applyNumberFormat="1" applyFont="1" applyFill="1" applyBorder="1" applyAlignment="1" applyProtection="1">
      <alignment horizontal="center"/>
      <protection locked="0"/>
    </xf>
    <xf numFmtId="0" fontId="52" fillId="3" borderId="89" xfId="10" applyFont="1" applyFill="1" applyBorder="1" applyAlignment="1" applyProtection="1">
      <alignment horizontal="center"/>
      <protection locked="0"/>
    </xf>
    <xf numFmtId="2" fontId="52" fillId="3" borderId="89" xfId="10" applyNumberFormat="1" applyFont="1" applyFill="1" applyBorder="1" applyAlignment="1" applyProtection="1">
      <alignment horizontal="center"/>
      <protection locked="0"/>
    </xf>
    <xf numFmtId="0" fontId="8" fillId="2" borderId="88" xfId="10" applyFont="1" applyFill="1" applyBorder="1"/>
    <xf numFmtId="1" fontId="51" fillId="10" borderId="86" xfId="10" applyNumberFormat="1" applyFont="1" applyFill="1" applyBorder="1" applyAlignment="1">
      <alignment horizontal="center"/>
    </xf>
    <xf numFmtId="1" fontId="51" fillId="10" borderId="85" xfId="10" applyNumberFormat="1" applyFont="1" applyFill="1" applyBorder="1" applyAlignment="1">
      <alignment horizontal="center"/>
    </xf>
    <xf numFmtId="2" fontId="51" fillId="10" borderId="85" xfId="10" applyNumberFormat="1" applyFont="1" applyFill="1" applyBorder="1" applyAlignment="1">
      <alignment horizontal="center"/>
    </xf>
    <xf numFmtId="0" fontId="8" fillId="2" borderId="87" xfId="10" applyFont="1" applyFill="1" applyBorder="1"/>
    <xf numFmtId="10" fontId="51" fillId="11" borderId="85" xfId="10" applyNumberFormat="1" applyFont="1" applyFill="1" applyBorder="1" applyAlignment="1">
      <alignment horizontal="center"/>
    </xf>
    <xf numFmtId="173" fontId="51" fillId="2" borderId="0" xfId="10" applyNumberFormat="1" applyFont="1" applyFill="1" applyAlignment="1">
      <alignment horizontal="center"/>
    </xf>
    <xf numFmtId="0" fontId="8" fillId="2" borderId="90" xfId="10" applyFont="1" applyFill="1" applyBorder="1"/>
    <xf numFmtId="0" fontId="8" fillId="2" borderId="89" xfId="10" applyFont="1" applyFill="1" applyBorder="1"/>
    <xf numFmtId="0" fontId="51" fillId="10" borderId="85" xfId="10" applyFont="1" applyFill="1" applyBorder="1" applyAlignment="1">
      <alignment horizontal="center"/>
    </xf>
    <xf numFmtId="0" fontId="51" fillId="2" borderId="1" xfId="10" applyFont="1" applyFill="1" applyBorder="1" applyAlignment="1">
      <alignment horizontal="center"/>
    </xf>
    <xf numFmtId="0" fontId="8" fillId="2" borderId="1" xfId="10" applyFont="1" applyFill="1" applyBorder="1"/>
    <xf numFmtId="0" fontId="8" fillId="2" borderId="91" xfId="10" applyFont="1" applyFill="1" applyBorder="1"/>
    <xf numFmtId="0" fontId="8" fillId="2" borderId="0" xfId="10" applyFont="1" applyFill="1" applyAlignment="1" applyProtection="1">
      <alignment horizontal="left"/>
      <protection locked="0"/>
    </xf>
    <xf numFmtId="0" fontId="8" fillId="2" borderId="0" xfId="10" applyFont="1" applyFill="1" applyProtection="1">
      <protection locked="0"/>
    </xf>
    <xf numFmtId="0" fontId="18" fillId="2" borderId="2" xfId="10" applyFont="1" applyFill="1" applyBorder="1"/>
    <xf numFmtId="0" fontId="18" fillId="2" borderId="0" xfId="10" applyFont="1" applyFill="1" applyAlignment="1">
      <alignment horizontal="center"/>
    </xf>
    <xf numFmtId="10" fontId="18" fillId="2" borderId="2" xfId="10" applyNumberFormat="1" applyFont="1" applyFill="1" applyBorder="1"/>
    <xf numFmtId="0" fontId="48" fillId="2" borderId="0" xfId="10" applyFill="1"/>
    <xf numFmtId="0" fontId="5" fillId="2" borderId="3" xfId="10" applyFont="1" applyFill="1" applyBorder="1" applyAlignment="1">
      <alignment horizontal="center"/>
    </xf>
    <xf numFmtId="0" fontId="5" fillId="2" borderId="3" xfId="10" applyFont="1" applyFill="1" applyBorder="1" applyAlignment="1">
      <alignment horizontal="center"/>
    </xf>
    <xf numFmtId="0" fontId="18" fillId="2" borderId="3" xfId="10" applyFont="1" applyFill="1" applyBorder="1" applyAlignment="1">
      <alignment horizontal="center"/>
    </xf>
    <xf numFmtId="0" fontId="5" fillId="2" borderId="0" xfId="10" applyFont="1" applyFill="1" applyAlignment="1">
      <alignment horizontal="right"/>
    </xf>
    <xf numFmtId="0" fontId="18" fillId="2" borderId="1" xfId="10" applyFont="1" applyFill="1" applyBorder="1"/>
    <xf numFmtId="0" fontId="5" fillId="2" borderId="4" xfId="10" applyFont="1" applyFill="1" applyBorder="1"/>
    <xf numFmtId="0" fontId="18" fillId="2" borderId="4" xfId="10" applyFont="1" applyFill="1" applyBorder="1"/>
  </cellXfs>
  <cellStyles count="11">
    <cellStyle name="Normal" xfId="0" builtinId="0"/>
    <cellStyle name="Normal 2" xfId="1"/>
    <cellStyle name="Normal 2 2" xfId="2"/>
    <cellStyle name="Normal 2 3" xfId="5"/>
    <cellStyle name="Normal 3" xfId="3"/>
    <cellStyle name="Normal 3 2" xfId="4"/>
    <cellStyle name="Normal 3 3" xfId="7"/>
    <cellStyle name="Normal 4" xfId="6"/>
    <cellStyle name="Normal 5" xfId="9"/>
    <cellStyle name="Normal 6" xfId="10"/>
    <cellStyle name="Percent 3" xfId="8"/>
  </cellStyles>
  <dxfs count="19">
    <dxf>
      <font>
        <strike/>
      </font>
      <fill>
        <patternFill patternType="none">
          <bgColor auto="1"/>
        </patternFill>
      </fill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Absorbance Vs Concentration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240829500272862"/>
          <c:y val="0.18091462525517646"/>
          <c:w val="0.57710083114610677"/>
          <c:h val="0.7537959317585302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'SST INORGANIC PHOSPHATES'!$I$4</c:f>
              <c:strCache>
                <c:ptCount val="1"/>
                <c:pt idx="0">
                  <c:v>Absorbances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'SST INORGANIC PHOSPHATES'!$H$5:$H$10</c:f>
              <c:numCache>
                <c:formatCode>General</c:formatCode>
                <c:ptCount val="6"/>
                <c:pt idx="0" formatCode="0.00">
                  <c:v>0</c:v>
                </c:pt>
                <c:pt idx="1">
                  <c:v>0.02</c:v>
                </c:pt>
                <c:pt idx="2">
                  <c:v>3.5000000000000003E-2</c:v>
                </c:pt>
                <c:pt idx="3">
                  <c:v>0.05</c:v>
                </c:pt>
                <c:pt idx="4">
                  <c:v>6.5000000000000002E-2</c:v>
                </c:pt>
                <c:pt idx="5">
                  <c:v>0.08</c:v>
                </c:pt>
              </c:numCache>
            </c:numRef>
          </c:xVal>
          <c:yVal>
            <c:numRef>
              <c:f>'SST INORGANIC PHOSPHATES'!$I$5:$I$10</c:f>
              <c:numCache>
                <c:formatCode>General</c:formatCode>
                <c:ptCount val="6"/>
                <c:pt idx="0" formatCode="0.00">
                  <c:v>0</c:v>
                </c:pt>
                <c:pt idx="1">
                  <c:v>0.24099999999999999</c:v>
                </c:pt>
                <c:pt idx="2">
                  <c:v>0.42799999999999999</c:v>
                </c:pt>
                <c:pt idx="3">
                  <c:v>0.61299999999999999</c:v>
                </c:pt>
                <c:pt idx="4">
                  <c:v>0.79800000000000004</c:v>
                </c:pt>
                <c:pt idx="5">
                  <c:v>0.98699999999999999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32832"/>
        <c:axId val="97678848"/>
      </c:scatterChart>
      <c:valAx>
        <c:axId val="5143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Conc.</a:t>
                </a:r>
                <a:r>
                  <a:rPr lang="en-US" baseline="0"/>
                  <a:t> (mg/ml)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97678848"/>
        <c:crosses val="autoZero"/>
        <c:crossBetween val="midCat"/>
      </c:valAx>
      <c:valAx>
        <c:axId val="97678848"/>
        <c:scaling>
          <c:orientation val="minMax"/>
        </c:scaling>
        <c:delete val="0"/>
        <c:axPos val="l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Absorbance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514328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10</xdr:row>
      <xdr:rowOff>166687</xdr:rowOff>
    </xdr:from>
    <xdr:to>
      <xdr:col>11</xdr:col>
      <xdr:colOff>152400</xdr:colOff>
      <xdr:row>25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C26" sqref="C26"/>
    </sheetView>
  </sheetViews>
  <sheetFormatPr defaultRowHeight="13.5" x14ac:dyDescent="0.25"/>
  <cols>
    <col min="1" max="1" width="27.5703125" style="535" customWidth="1"/>
    <col min="2" max="2" width="20.42578125" style="535" customWidth="1"/>
    <col min="3" max="3" width="31.85546875" style="535" customWidth="1"/>
    <col min="4" max="4" width="25.85546875" style="535" customWidth="1"/>
    <col min="5" max="5" width="25.7109375" style="535" customWidth="1"/>
    <col min="6" max="6" width="23.140625" style="535" customWidth="1"/>
    <col min="7" max="7" width="28.42578125" style="535" customWidth="1"/>
    <col min="8" max="8" width="21.5703125" style="535" customWidth="1"/>
    <col min="9" max="9" width="9.140625" style="535" customWidth="1"/>
    <col min="10" max="16384" width="9.140625" style="573"/>
  </cols>
  <sheetData>
    <row r="14" spans="1:6" ht="15" customHeight="1" x14ac:dyDescent="0.3">
      <c r="A14" s="534"/>
      <c r="C14" s="536"/>
      <c r="F14" s="536"/>
    </row>
    <row r="15" spans="1:6" ht="18.75" customHeight="1" x14ac:dyDescent="0.3">
      <c r="A15" s="537" t="s">
        <v>181</v>
      </c>
      <c r="B15" s="537"/>
      <c r="C15" s="537"/>
      <c r="D15" s="537"/>
      <c r="E15" s="537"/>
    </row>
    <row r="16" spans="1:6" ht="16.5" customHeight="1" x14ac:dyDescent="0.3">
      <c r="A16" s="538" t="s">
        <v>0</v>
      </c>
      <c r="B16" s="539" t="s">
        <v>182</v>
      </c>
    </row>
    <row r="17" spans="1:5" ht="16.5" customHeight="1" x14ac:dyDescent="0.3">
      <c r="A17" s="540" t="s">
        <v>183</v>
      </c>
      <c r="B17" s="540" t="s">
        <v>54</v>
      </c>
      <c r="D17" s="541"/>
      <c r="E17" s="542"/>
    </row>
    <row r="18" spans="1:5" ht="16.5" customHeight="1" x14ac:dyDescent="0.3">
      <c r="A18" s="543" t="s">
        <v>1</v>
      </c>
      <c r="B18" s="540" t="s">
        <v>198</v>
      </c>
      <c r="C18" s="542"/>
      <c r="D18" s="542"/>
      <c r="E18" s="542"/>
    </row>
    <row r="19" spans="1:5" ht="16.5" customHeight="1" x14ac:dyDescent="0.3">
      <c r="A19" s="543" t="s">
        <v>87</v>
      </c>
      <c r="B19" s="544">
        <v>99.9</v>
      </c>
      <c r="C19" s="542"/>
      <c r="D19" s="542"/>
      <c r="E19" s="542"/>
    </row>
    <row r="20" spans="1:5" ht="16.5" customHeight="1" x14ac:dyDescent="0.3">
      <c r="A20" s="540" t="s">
        <v>184</v>
      </c>
      <c r="B20" s="544">
        <v>17.690000000000001</v>
      </c>
      <c r="C20" s="542"/>
      <c r="D20" s="542"/>
      <c r="E20" s="542"/>
    </row>
    <row r="21" spans="1:5" ht="16.5" customHeight="1" x14ac:dyDescent="0.3">
      <c r="A21" s="540" t="s">
        <v>185</v>
      </c>
      <c r="B21" s="545">
        <f>17.69/10*1/200</f>
        <v>8.8450000000000004E-3</v>
      </c>
      <c r="C21" s="542"/>
      <c r="D21" s="542"/>
      <c r="E21" s="542"/>
    </row>
    <row r="22" spans="1:5" ht="15.75" customHeight="1" x14ac:dyDescent="0.25">
      <c r="A22" s="542"/>
      <c r="B22" s="546"/>
      <c r="C22" s="542"/>
      <c r="D22" s="542"/>
      <c r="E22" s="542"/>
    </row>
    <row r="23" spans="1:5" ht="16.5" customHeight="1" x14ac:dyDescent="0.3">
      <c r="A23" s="547" t="s">
        <v>186</v>
      </c>
      <c r="B23" s="548" t="s">
        <v>187</v>
      </c>
      <c r="C23" s="547" t="s">
        <v>188</v>
      </c>
      <c r="D23" s="547" t="s">
        <v>189</v>
      </c>
      <c r="E23" s="547" t="s">
        <v>190</v>
      </c>
    </row>
    <row r="24" spans="1:5" ht="16.5" customHeight="1" x14ac:dyDescent="0.3">
      <c r="A24" s="549">
        <v>1</v>
      </c>
      <c r="B24" s="550">
        <v>3629813</v>
      </c>
      <c r="C24" s="550">
        <v>10156.700000000001</v>
      </c>
      <c r="D24" s="551">
        <v>1.4</v>
      </c>
      <c r="E24" s="552">
        <v>5.4</v>
      </c>
    </row>
    <row r="25" spans="1:5" ht="16.5" customHeight="1" x14ac:dyDescent="0.3">
      <c r="A25" s="549">
        <v>2</v>
      </c>
      <c r="B25" s="550">
        <v>3629083</v>
      </c>
      <c r="C25" s="550">
        <v>10161.1</v>
      </c>
      <c r="D25" s="551">
        <v>1.4</v>
      </c>
      <c r="E25" s="551">
        <v>5.4</v>
      </c>
    </row>
    <row r="26" spans="1:5" ht="16.5" customHeight="1" x14ac:dyDescent="0.3">
      <c r="A26" s="549">
        <v>3</v>
      </c>
      <c r="B26" s="550">
        <v>3614682</v>
      </c>
      <c r="C26" s="550">
        <v>10162</v>
      </c>
      <c r="D26" s="551">
        <v>1.4</v>
      </c>
      <c r="E26" s="551">
        <v>5.4</v>
      </c>
    </row>
    <row r="27" spans="1:5" ht="16.5" customHeight="1" x14ac:dyDescent="0.3">
      <c r="A27" s="549">
        <v>4</v>
      </c>
      <c r="B27" s="550">
        <v>3640857</v>
      </c>
      <c r="C27" s="550">
        <v>10187</v>
      </c>
      <c r="D27" s="551">
        <v>1.4</v>
      </c>
      <c r="E27" s="551">
        <v>5.5</v>
      </c>
    </row>
    <row r="28" spans="1:5" ht="16.5" customHeight="1" x14ac:dyDescent="0.3">
      <c r="A28" s="549">
        <v>5</v>
      </c>
      <c r="B28" s="550">
        <v>3627577</v>
      </c>
      <c r="C28" s="550">
        <v>10322.1</v>
      </c>
      <c r="D28" s="551">
        <v>1.4</v>
      </c>
      <c r="E28" s="551">
        <v>5.6</v>
      </c>
    </row>
    <row r="29" spans="1:5" ht="16.5" customHeight="1" x14ac:dyDescent="0.3">
      <c r="A29" s="549">
        <v>6</v>
      </c>
      <c r="B29" s="553">
        <v>3628276</v>
      </c>
      <c r="C29" s="553">
        <v>10334.200000000001</v>
      </c>
      <c r="D29" s="554">
        <v>1.4</v>
      </c>
      <c r="E29" s="554">
        <v>5.6</v>
      </c>
    </row>
    <row r="30" spans="1:5" ht="16.5" customHeight="1" x14ac:dyDescent="0.3">
      <c r="A30" s="555" t="s">
        <v>191</v>
      </c>
      <c r="B30" s="556">
        <f>AVERAGE(B24:B29)</f>
        <v>3628381.3333333335</v>
      </c>
      <c r="C30" s="557">
        <f>AVERAGE(C24:C29)</f>
        <v>10220.516666666668</v>
      </c>
      <c r="D30" s="558">
        <f>AVERAGE(D24:D29)</f>
        <v>1.4000000000000001</v>
      </c>
      <c r="E30" s="558">
        <f>AVERAGE(E24:E29)</f>
        <v>5.4833333333333343</v>
      </c>
    </row>
    <row r="31" spans="1:5" ht="16.5" customHeight="1" x14ac:dyDescent="0.3">
      <c r="A31" s="559" t="s">
        <v>192</v>
      </c>
      <c r="B31" s="560">
        <f>(STDEV(B24:B29)/B30)</f>
        <v>2.2943649270483484E-3</v>
      </c>
      <c r="C31" s="561"/>
      <c r="D31" s="561"/>
      <c r="E31" s="562"/>
    </row>
    <row r="32" spans="1:5" s="535" customFormat="1" ht="16.5" customHeight="1" x14ac:dyDescent="0.3">
      <c r="A32" s="563" t="s">
        <v>2</v>
      </c>
      <c r="B32" s="564">
        <f>COUNT(B24:B29)</f>
        <v>6</v>
      </c>
      <c r="C32" s="565"/>
      <c r="D32" s="566"/>
      <c r="E32" s="567"/>
    </row>
    <row r="33" spans="1:5" s="535" customFormat="1" ht="15.75" customHeight="1" x14ac:dyDescent="0.25">
      <c r="A33" s="542"/>
      <c r="B33" s="542"/>
      <c r="C33" s="542"/>
      <c r="D33" s="542"/>
      <c r="E33" s="542"/>
    </row>
    <row r="34" spans="1:5" s="535" customFormat="1" ht="16.5" customHeight="1" x14ac:dyDescent="0.3">
      <c r="A34" s="543" t="s">
        <v>193</v>
      </c>
      <c r="B34" s="568" t="s">
        <v>194</v>
      </c>
      <c r="C34" s="569"/>
      <c r="D34" s="569"/>
      <c r="E34" s="569"/>
    </row>
    <row r="35" spans="1:5" ht="16.5" customHeight="1" x14ac:dyDescent="0.3">
      <c r="A35" s="543"/>
      <c r="B35" s="568" t="s">
        <v>195</v>
      </c>
      <c r="C35" s="569"/>
      <c r="D35" s="569"/>
      <c r="E35" s="569"/>
    </row>
    <row r="36" spans="1:5" ht="16.5" customHeight="1" x14ac:dyDescent="0.3">
      <c r="A36" s="543"/>
      <c r="B36" s="568" t="s">
        <v>196</v>
      </c>
      <c r="C36" s="569"/>
      <c r="D36" s="569"/>
      <c r="E36" s="569"/>
    </row>
    <row r="37" spans="1:5" ht="15.75" customHeight="1" x14ac:dyDescent="0.25">
      <c r="A37" s="542"/>
      <c r="B37" s="542"/>
      <c r="C37" s="542"/>
      <c r="D37" s="542"/>
      <c r="E37" s="542"/>
    </row>
    <row r="38" spans="1:5" ht="16.5" customHeight="1" x14ac:dyDescent="0.3">
      <c r="A38" s="538" t="s">
        <v>0</v>
      </c>
      <c r="B38" s="539" t="s">
        <v>197</v>
      </c>
    </row>
    <row r="39" spans="1:5" ht="16.5" customHeight="1" x14ac:dyDescent="0.3">
      <c r="A39" s="543" t="s">
        <v>1</v>
      </c>
      <c r="B39" s="544"/>
      <c r="C39" s="542"/>
      <c r="D39" s="542"/>
      <c r="E39" s="542"/>
    </row>
    <row r="40" spans="1:5" ht="16.5" customHeight="1" x14ac:dyDescent="0.3">
      <c r="A40" s="543" t="s">
        <v>87</v>
      </c>
      <c r="B40" s="544"/>
      <c r="C40" s="542"/>
      <c r="D40" s="542"/>
      <c r="E40" s="542"/>
    </row>
    <row r="41" spans="1:5" ht="16.5" customHeight="1" x14ac:dyDescent="0.3">
      <c r="A41" s="540" t="s">
        <v>184</v>
      </c>
      <c r="B41" s="544"/>
      <c r="C41" s="542"/>
      <c r="D41" s="542"/>
      <c r="E41" s="542"/>
    </row>
    <row r="42" spans="1:5" ht="16.5" customHeight="1" x14ac:dyDescent="0.3">
      <c r="A42" s="540" t="s">
        <v>185</v>
      </c>
      <c r="B42" s="545"/>
      <c r="C42" s="542"/>
      <c r="D42" s="542"/>
      <c r="E42" s="542"/>
    </row>
    <row r="43" spans="1:5" ht="15.75" customHeight="1" x14ac:dyDescent="0.25">
      <c r="A43" s="542"/>
      <c r="B43" s="542"/>
      <c r="C43" s="542"/>
      <c r="D43" s="542"/>
      <c r="E43" s="542"/>
    </row>
    <row r="44" spans="1:5" ht="16.5" customHeight="1" x14ac:dyDescent="0.3">
      <c r="A44" s="547" t="s">
        <v>186</v>
      </c>
      <c r="B44" s="548" t="s">
        <v>187</v>
      </c>
      <c r="C44" s="547" t="s">
        <v>188</v>
      </c>
      <c r="D44" s="547" t="s">
        <v>189</v>
      </c>
      <c r="E44" s="547" t="s">
        <v>190</v>
      </c>
    </row>
    <row r="45" spans="1:5" ht="16.5" customHeight="1" x14ac:dyDescent="0.3">
      <c r="A45" s="549">
        <v>1</v>
      </c>
      <c r="B45" s="550"/>
      <c r="C45" s="550"/>
      <c r="D45" s="551"/>
      <c r="E45" s="552"/>
    </row>
    <row r="46" spans="1:5" ht="16.5" customHeight="1" x14ac:dyDescent="0.3">
      <c r="A46" s="549">
        <v>2</v>
      </c>
      <c r="B46" s="550"/>
      <c r="C46" s="550"/>
      <c r="D46" s="551"/>
      <c r="E46" s="551"/>
    </row>
    <row r="47" spans="1:5" ht="16.5" customHeight="1" x14ac:dyDescent="0.3">
      <c r="A47" s="549">
        <v>3</v>
      </c>
      <c r="B47" s="550"/>
      <c r="C47" s="550"/>
      <c r="D47" s="551"/>
      <c r="E47" s="551"/>
    </row>
    <row r="48" spans="1:5" ht="16.5" customHeight="1" x14ac:dyDescent="0.3">
      <c r="A48" s="549">
        <v>4</v>
      </c>
      <c r="B48" s="550"/>
      <c r="C48" s="550"/>
      <c r="D48" s="551"/>
      <c r="E48" s="551"/>
    </row>
    <row r="49" spans="1:7" ht="16.5" customHeight="1" x14ac:dyDescent="0.3">
      <c r="A49" s="549">
        <v>5</v>
      </c>
      <c r="B49" s="550"/>
      <c r="C49" s="550"/>
      <c r="D49" s="551"/>
      <c r="E49" s="551"/>
    </row>
    <row r="50" spans="1:7" ht="16.5" customHeight="1" x14ac:dyDescent="0.3">
      <c r="A50" s="549">
        <v>6</v>
      </c>
      <c r="B50" s="553"/>
      <c r="C50" s="553"/>
      <c r="D50" s="554"/>
      <c r="E50" s="554"/>
    </row>
    <row r="51" spans="1:7" ht="16.5" customHeight="1" x14ac:dyDescent="0.3">
      <c r="A51" s="555" t="s">
        <v>191</v>
      </c>
      <c r="B51" s="556" t="e">
        <f>AVERAGE(B45:B50)</f>
        <v>#DIV/0!</v>
      </c>
      <c r="C51" s="557" t="e">
        <f>AVERAGE(C45:C50)</f>
        <v>#DIV/0!</v>
      </c>
      <c r="D51" s="558" t="e">
        <f>AVERAGE(D45:D50)</f>
        <v>#DIV/0!</v>
      </c>
      <c r="E51" s="558" t="e">
        <f>AVERAGE(E45:E50)</f>
        <v>#DIV/0!</v>
      </c>
    </row>
    <row r="52" spans="1:7" ht="16.5" customHeight="1" x14ac:dyDescent="0.3">
      <c r="A52" s="559" t="s">
        <v>192</v>
      </c>
      <c r="B52" s="560" t="e">
        <f>(STDEV(B45:B50)/B51)</f>
        <v>#DIV/0!</v>
      </c>
      <c r="C52" s="561"/>
      <c r="D52" s="561"/>
      <c r="E52" s="562"/>
    </row>
    <row r="53" spans="1:7" s="535" customFormat="1" ht="16.5" customHeight="1" x14ac:dyDescent="0.3">
      <c r="A53" s="563" t="s">
        <v>2</v>
      </c>
      <c r="B53" s="564">
        <f>COUNT(B45:B50)</f>
        <v>0</v>
      </c>
      <c r="C53" s="565"/>
      <c r="D53" s="566"/>
      <c r="E53" s="567"/>
    </row>
    <row r="54" spans="1:7" s="535" customFormat="1" ht="15.75" customHeight="1" x14ac:dyDescent="0.25">
      <c r="A54" s="542"/>
      <c r="B54" s="542"/>
      <c r="C54" s="542"/>
      <c r="D54" s="542"/>
      <c r="E54" s="542"/>
    </row>
    <row r="55" spans="1:7" s="535" customFormat="1" ht="16.5" customHeight="1" x14ac:dyDescent="0.3">
      <c r="A55" s="543" t="s">
        <v>193</v>
      </c>
      <c r="B55" s="568" t="s">
        <v>194</v>
      </c>
      <c r="C55" s="569"/>
      <c r="D55" s="569"/>
      <c r="E55" s="569"/>
    </row>
    <row r="56" spans="1:7" ht="16.5" customHeight="1" x14ac:dyDescent="0.3">
      <c r="A56" s="543"/>
      <c r="B56" s="568" t="s">
        <v>195</v>
      </c>
      <c r="C56" s="569"/>
      <c r="D56" s="569"/>
      <c r="E56" s="569"/>
    </row>
    <row r="57" spans="1:7" ht="16.5" customHeight="1" x14ac:dyDescent="0.3">
      <c r="A57" s="543"/>
      <c r="B57" s="568" t="s">
        <v>196</v>
      </c>
      <c r="C57" s="569"/>
      <c r="D57" s="569"/>
      <c r="E57" s="569"/>
    </row>
    <row r="58" spans="1:7" ht="14.25" customHeight="1" thickBot="1" x14ac:dyDescent="0.3">
      <c r="A58" s="570"/>
      <c r="B58" s="571"/>
      <c r="D58" s="572"/>
      <c r="F58" s="573"/>
      <c r="G58" s="573"/>
    </row>
    <row r="59" spans="1:7" ht="15" customHeight="1" x14ac:dyDescent="0.3">
      <c r="B59" s="574" t="s">
        <v>3</v>
      </c>
      <c r="C59" s="574"/>
      <c r="E59" s="575" t="s">
        <v>4</v>
      </c>
      <c r="F59" s="576"/>
      <c r="G59" s="575" t="s">
        <v>5</v>
      </c>
    </row>
    <row r="60" spans="1:7" ht="15" customHeight="1" x14ac:dyDescent="0.3">
      <c r="A60" s="577" t="s">
        <v>6</v>
      </c>
      <c r="B60" s="578" t="s">
        <v>199</v>
      </c>
      <c r="C60" s="578"/>
      <c r="E60" s="578"/>
      <c r="G60" s="578"/>
    </row>
    <row r="61" spans="1:7" ht="15" customHeight="1" x14ac:dyDescent="0.3">
      <c r="A61" s="577" t="s">
        <v>7</v>
      </c>
      <c r="B61" s="579"/>
      <c r="C61" s="579"/>
      <c r="E61" s="579"/>
      <c r="G61" s="58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I40"/>
  <sheetViews>
    <sheetView topLeftCell="A7" workbookViewId="0">
      <selection activeCell="H39" sqref="H39"/>
    </sheetView>
  </sheetViews>
  <sheetFormatPr defaultRowHeight="15" x14ac:dyDescent="0.25"/>
  <cols>
    <col min="1" max="1" width="9.140625" style="416"/>
    <col min="2" max="2" width="16.85546875" style="416" customWidth="1"/>
    <col min="3" max="3" width="15" style="416" customWidth="1"/>
    <col min="4" max="7" width="9.140625" style="416"/>
    <col min="8" max="8" width="12.7109375" style="416" customWidth="1"/>
    <col min="9" max="9" width="12.140625" style="416" customWidth="1"/>
    <col min="10" max="16384" width="9.140625" style="416"/>
  </cols>
  <sheetData>
    <row r="4" spans="8:9" x14ac:dyDescent="0.25">
      <c r="H4" s="417" t="s">
        <v>170</v>
      </c>
      <c r="I4" s="417" t="s">
        <v>169</v>
      </c>
    </row>
    <row r="5" spans="8:9" x14ac:dyDescent="0.25">
      <c r="H5" s="419">
        <v>0</v>
      </c>
      <c r="I5" s="419">
        <v>0</v>
      </c>
    </row>
    <row r="6" spans="8:9" x14ac:dyDescent="0.25">
      <c r="H6" s="416">
        <v>0.02</v>
      </c>
      <c r="I6" s="416">
        <v>0.24099999999999999</v>
      </c>
    </row>
    <row r="7" spans="8:9" x14ac:dyDescent="0.25">
      <c r="H7" s="416">
        <v>3.5000000000000003E-2</v>
      </c>
      <c r="I7" s="416">
        <v>0.42799999999999999</v>
      </c>
    </row>
    <row r="8" spans="8:9" x14ac:dyDescent="0.25">
      <c r="H8" s="416">
        <v>0.05</v>
      </c>
      <c r="I8" s="416">
        <v>0.61299999999999999</v>
      </c>
    </row>
    <row r="9" spans="8:9" x14ac:dyDescent="0.25">
      <c r="H9" s="416">
        <v>6.5000000000000002E-2</v>
      </c>
      <c r="I9" s="416">
        <v>0.79800000000000004</v>
      </c>
    </row>
    <row r="10" spans="8:9" x14ac:dyDescent="0.25">
      <c r="H10" s="416">
        <v>0.08</v>
      </c>
      <c r="I10" s="416">
        <v>0.98699999999999999</v>
      </c>
    </row>
    <row r="11" spans="8:9" x14ac:dyDescent="0.25">
      <c r="H11" s="420"/>
    </row>
    <row r="30" spans="5:6" x14ac:dyDescent="0.25">
      <c r="F30" s="417" t="s">
        <v>165</v>
      </c>
    </row>
    <row r="31" spans="5:6" x14ac:dyDescent="0.25">
      <c r="E31" s="418">
        <v>1</v>
      </c>
      <c r="F31" s="416">
        <v>0.30199999999999999</v>
      </c>
    </row>
    <row r="32" spans="5:6" x14ac:dyDescent="0.25">
      <c r="E32" s="418">
        <v>2</v>
      </c>
      <c r="F32" s="416">
        <v>0.30299999999999999</v>
      </c>
    </row>
    <row r="33" spans="2:6" x14ac:dyDescent="0.25">
      <c r="E33" s="418">
        <v>3</v>
      </c>
      <c r="F33" s="416">
        <v>0.30299999999999999</v>
      </c>
    </row>
    <row r="34" spans="2:6" x14ac:dyDescent="0.25">
      <c r="E34" s="417" t="s">
        <v>166</v>
      </c>
      <c r="F34" s="416">
        <f>STDEV(F31:F33)</f>
        <v>5.7735026918962634E-4</v>
      </c>
    </row>
    <row r="35" spans="2:6" x14ac:dyDescent="0.25">
      <c r="E35" s="417" t="s">
        <v>167</v>
      </c>
      <c r="F35" s="416">
        <f>AVERAGE(F31:F33)</f>
        <v>0.30266666666666664</v>
      </c>
    </row>
    <row r="36" spans="2:6" x14ac:dyDescent="0.25">
      <c r="E36" s="417" t="s">
        <v>168</v>
      </c>
      <c r="F36" s="416">
        <f>F34/F35*100</f>
        <v>0.1907544942256475</v>
      </c>
    </row>
    <row r="39" spans="2:6" x14ac:dyDescent="0.25">
      <c r="B39" s="533" t="s">
        <v>179</v>
      </c>
      <c r="C39" s="532" t="s">
        <v>55</v>
      </c>
    </row>
    <row r="40" spans="2:6" x14ac:dyDescent="0.25">
      <c r="B40" s="533" t="s">
        <v>180</v>
      </c>
    </row>
  </sheetData>
  <pageMargins left="0.7" right="0.7" top="0.75" bottom="0.75" header="0.3" footer="0.3"/>
  <pageSetup paperSize="9" scale="7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37" zoomScale="50" zoomScaleNormal="75" zoomScalePageLayoutView="50" workbookViewId="0">
      <selection activeCell="D65" sqref="D65"/>
    </sheetView>
  </sheetViews>
  <sheetFormatPr defaultRowHeight="16.5" x14ac:dyDescent="0.3"/>
  <cols>
    <col min="1" max="1" width="66.28515625" style="2" customWidth="1"/>
    <col min="2" max="2" width="32.28515625" style="2" customWidth="1"/>
    <col min="3" max="3" width="33.28515625" style="2" customWidth="1"/>
    <col min="4" max="4" width="30.5703125" style="2" customWidth="1"/>
    <col min="5" max="5" width="33.5703125" style="2" customWidth="1"/>
    <col min="6" max="6" width="39.85546875" style="2" customWidth="1"/>
    <col min="7" max="7" width="31.7109375" style="2" customWidth="1"/>
    <col min="8" max="8" width="31.140625" style="2" customWidth="1"/>
    <col min="9" max="9" width="32.28515625" style="1" customWidth="1"/>
    <col min="10" max="10" width="22.28515625" style="1" customWidth="1"/>
    <col min="11" max="11" width="19.5703125" style="1" customWidth="1"/>
    <col min="12" max="12" width="21.140625" style="1" customWidth="1"/>
    <col min="13" max="13" width="9.140625" style="1" customWidth="1"/>
    <col min="14" max="16384" width="9.140625" style="4"/>
  </cols>
  <sheetData>
    <row r="1" spans="1:9" ht="15" x14ac:dyDescent="0.3">
      <c r="A1" s="433" t="s">
        <v>20</v>
      </c>
      <c r="B1" s="433"/>
      <c r="C1" s="433"/>
      <c r="D1" s="433"/>
      <c r="E1" s="433"/>
      <c r="F1" s="433"/>
      <c r="G1" s="433"/>
      <c r="H1" s="433"/>
      <c r="I1" s="433"/>
    </row>
    <row r="2" spans="1:9" ht="15" x14ac:dyDescent="0.3">
      <c r="A2" s="433"/>
      <c r="B2" s="433"/>
      <c r="C2" s="433"/>
      <c r="D2" s="433"/>
      <c r="E2" s="433"/>
      <c r="F2" s="433"/>
      <c r="G2" s="433"/>
      <c r="H2" s="433"/>
      <c r="I2" s="433"/>
    </row>
    <row r="3" spans="1:9" ht="15" x14ac:dyDescent="0.3">
      <c r="A3" s="433"/>
      <c r="B3" s="433"/>
      <c r="C3" s="433"/>
      <c r="D3" s="433"/>
      <c r="E3" s="433"/>
      <c r="F3" s="433"/>
      <c r="G3" s="433"/>
      <c r="H3" s="433"/>
      <c r="I3" s="433"/>
    </row>
    <row r="4" spans="1:9" ht="15" x14ac:dyDescent="0.3">
      <c r="A4" s="433"/>
      <c r="B4" s="433"/>
      <c r="C4" s="433"/>
      <c r="D4" s="433"/>
      <c r="E4" s="433"/>
      <c r="F4" s="433"/>
      <c r="G4" s="433"/>
      <c r="H4" s="433"/>
      <c r="I4" s="433"/>
    </row>
    <row r="5" spans="1:9" ht="15" x14ac:dyDescent="0.3">
      <c r="A5" s="433"/>
      <c r="B5" s="433"/>
      <c r="C5" s="433"/>
      <c r="D5" s="433"/>
      <c r="E5" s="433"/>
      <c r="F5" s="433"/>
      <c r="G5" s="433"/>
      <c r="H5" s="433"/>
      <c r="I5" s="433"/>
    </row>
    <row r="6" spans="1:9" ht="15" x14ac:dyDescent="0.3">
      <c r="A6" s="433"/>
      <c r="B6" s="433"/>
      <c r="C6" s="433"/>
      <c r="D6" s="433"/>
      <c r="E6" s="433"/>
      <c r="F6" s="433"/>
      <c r="G6" s="433"/>
      <c r="H6" s="433"/>
      <c r="I6" s="433"/>
    </row>
    <row r="7" spans="1:9" ht="15" x14ac:dyDescent="0.3">
      <c r="A7" s="433"/>
      <c r="B7" s="433"/>
      <c r="C7" s="433"/>
      <c r="D7" s="433"/>
      <c r="E7" s="433"/>
      <c r="F7" s="433"/>
      <c r="G7" s="433"/>
      <c r="H7" s="433"/>
      <c r="I7" s="433"/>
    </row>
    <row r="8" spans="1:9" ht="15" x14ac:dyDescent="0.3">
      <c r="A8" s="434" t="s">
        <v>15</v>
      </c>
      <c r="B8" s="434"/>
      <c r="C8" s="434"/>
      <c r="D8" s="434"/>
      <c r="E8" s="434"/>
      <c r="F8" s="434"/>
      <c r="G8" s="434"/>
      <c r="H8" s="434"/>
      <c r="I8" s="434"/>
    </row>
    <row r="9" spans="1:9" ht="15" x14ac:dyDescent="0.3">
      <c r="A9" s="434"/>
      <c r="B9" s="434"/>
      <c r="C9" s="434"/>
      <c r="D9" s="434"/>
      <c r="E9" s="434"/>
      <c r="F9" s="434"/>
      <c r="G9" s="434"/>
      <c r="H9" s="434"/>
      <c r="I9" s="434"/>
    </row>
    <row r="10" spans="1:9" ht="15" x14ac:dyDescent="0.3">
      <c r="A10" s="434"/>
      <c r="B10" s="434"/>
      <c r="C10" s="434"/>
      <c r="D10" s="434"/>
      <c r="E10" s="434"/>
      <c r="F10" s="434"/>
      <c r="G10" s="434"/>
      <c r="H10" s="434"/>
      <c r="I10" s="434"/>
    </row>
    <row r="11" spans="1:9" ht="15" x14ac:dyDescent="0.3">
      <c r="A11" s="434"/>
      <c r="B11" s="434"/>
      <c r="C11" s="434"/>
      <c r="D11" s="434"/>
      <c r="E11" s="434"/>
      <c r="F11" s="434"/>
      <c r="G11" s="434"/>
      <c r="H11" s="434"/>
      <c r="I11" s="434"/>
    </row>
    <row r="12" spans="1:9" ht="15" x14ac:dyDescent="0.3">
      <c r="A12" s="434"/>
      <c r="B12" s="434"/>
      <c r="C12" s="434"/>
      <c r="D12" s="434"/>
      <c r="E12" s="434"/>
      <c r="F12" s="434"/>
      <c r="G12" s="434"/>
      <c r="H12" s="434"/>
      <c r="I12" s="434"/>
    </row>
    <row r="13" spans="1:9" ht="15" x14ac:dyDescent="0.3">
      <c r="A13" s="434"/>
      <c r="B13" s="434"/>
      <c r="C13" s="434"/>
      <c r="D13" s="434"/>
      <c r="E13" s="434"/>
      <c r="F13" s="434"/>
      <c r="G13" s="434"/>
      <c r="H13" s="434"/>
      <c r="I13" s="434"/>
    </row>
    <row r="14" spans="1:9" ht="15" x14ac:dyDescent="0.3">
      <c r="A14" s="434"/>
      <c r="B14" s="434"/>
      <c r="C14" s="434"/>
      <c r="D14" s="434"/>
      <c r="E14" s="434"/>
      <c r="F14" s="434"/>
      <c r="G14" s="434"/>
      <c r="H14" s="434"/>
      <c r="I14" s="434"/>
    </row>
    <row r="15" spans="1:9" ht="19.5" customHeight="1" thickBot="1" x14ac:dyDescent="0.35"/>
    <row r="16" spans="1:9" ht="19.5" customHeight="1" thickBot="1" x14ac:dyDescent="0.35">
      <c r="A16" s="435" t="s">
        <v>8</v>
      </c>
      <c r="B16" s="436"/>
      <c r="C16" s="436"/>
      <c r="D16" s="436"/>
      <c r="E16" s="436"/>
      <c r="F16" s="436"/>
      <c r="G16" s="436"/>
      <c r="H16" s="437"/>
    </row>
    <row r="17" spans="1:14" ht="18.75" x14ac:dyDescent="0.3">
      <c r="A17" s="438" t="s">
        <v>16</v>
      </c>
      <c r="B17" s="438"/>
      <c r="C17" s="438"/>
      <c r="D17" s="438"/>
      <c r="E17" s="438"/>
      <c r="F17" s="438"/>
      <c r="G17" s="438"/>
      <c r="H17" s="438"/>
    </row>
    <row r="18" spans="1:14" ht="18.75" x14ac:dyDescent="0.3">
      <c r="A18" s="7" t="s">
        <v>9</v>
      </c>
      <c r="B18" s="25" t="s">
        <v>54</v>
      </c>
      <c r="C18" s="25"/>
      <c r="D18" s="25"/>
      <c r="E18" s="25"/>
    </row>
    <row r="19" spans="1:14" ht="18.75" x14ac:dyDescent="0.3">
      <c r="A19" s="7" t="s">
        <v>10</v>
      </c>
      <c r="B19" s="26" t="s">
        <v>53</v>
      </c>
      <c r="C19" s="110">
        <v>22</v>
      </c>
    </row>
    <row r="20" spans="1:14" ht="18.75" x14ac:dyDescent="0.3">
      <c r="A20" s="7" t="s">
        <v>11</v>
      </c>
      <c r="B20" s="26" t="s">
        <v>52</v>
      </c>
    </row>
    <row r="21" spans="1:14" ht="18.75" x14ac:dyDescent="0.3">
      <c r="A21" s="7" t="s">
        <v>12</v>
      </c>
      <c r="B21" s="127" t="s">
        <v>84</v>
      </c>
      <c r="C21" s="127"/>
      <c r="D21" s="127"/>
      <c r="E21" s="127"/>
      <c r="F21" s="127"/>
      <c r="G21" s="127"/>
      <c r="H21" s="127"/>
      <c r="I21" s="5"/>
    </row>
    <row r="22" spans="1:14" ht="18.75" x14ac:dyDescent="0.3">
      <c r="A22" s="7" t="s">
        <v>13</v>
      </c>
      <c r="B22" s="27">
        <v>43056</v>
      </c>
    </row>
    <row r="23" spans="1:14" ht="18.75" x14ac:dyDescent="0.3">
      <c r="A23" s="7" t="s">
        <v>14</v>
      </c>
      <c r="B23" s="27">
        <v>43059</v>
      </c>
    </row>
    <row r="24" spans="1:14" ht="18.75" x14ac:dyDescent="0.3">
      <c r="A24" s="7"/>
      <c r="B24" s="8"/>
    </row>
    <row r="25" spans="1:14" ht="18.75" x14ac:dyDescent="0.3">
      <c r="A25" s="9" t="s">
        <v>0</v>
      </c>
      <c r="B25" s="12" t="s">
        <v>21</v>
      </c>
    </row>
    <row r="26" spans="1:14" s="3" customFormat="1" ht="18.75" x14ac:dyDescent="0.3">
      <c r="A26" s="81"/>
      <c r="B26" s="130" t="s">
        <v>22</v>
      </c>
      <c r="C26" s="31"/>
      <c r="D26" s="31"/>
      <c r="E26" s="31"/>
      <c r="F26" s="31"/>
      <c r="G26" s="31"/>
      <c r="H26" s="31"/>
      <c r="I26" s="24"/>
      <c r="J26" s="24"/>
      <c r="K26" s="24"/>
      <c r="L26" s="24"/>
      <c r="M26" s="24"/>
      <c r="N26" s="41"/>
    </row>
    <row r="27" spans="1:14" s="3" customFormat="1" ht="26.25" customHeight="1" x14ac:dyDescent="0.4">
      <c r="A27" s="34" t="s">
        <v>1</v>
      </c>
      <c r="B27" s="57" t="s">
        <v>22</v>
      </c>
      <c r="C27" s="55"/>
      <c r="D27" s="41"/>
      <c r="E27" s="41"/>
      <c r="F27" s="41"/>
      <c r="G27" s="41"/>
      <c r="H27" s="31"/>
      <c r="I27" s="24"/>
      <c r="J27" s="24"/>
      <c r="K27" s="24"/>
      <c r="L27" s="24"/>
      <c r="M27" s="24"/>
      <c r="N27" s="41"/>
    </row>
    <row r="28" spans="1:14" s="3" customFormat="1" ht="26.25" customHeight="1" x14ac:dyDescent="0.4">
      <c r="A28" s="10" t="s">
        <v>23</v>
      </c>
      <c r="B28" s="55">
        <v>58.44</v>
      </c>
      <c r="C28" s="56"/>
      <c r="D28" s="33"/>
      <c r="E28" s="33"/>
      <c r="F28" s="33"/>
      <c r="G28" s="33"/>
      <c r="H28" s="31"/>
      <c r="I28" s="24"/>
      <c r="J28" s="24"/>
      <c r="K28" s="24"/>
      <c r="L28" s="24"/>
      <c r="M28" s="24"/>
      <c r="N28" s="41"/>
    </row>
    <row r="29" spans="1:14" s="3" customFormat="1" ht="26.25" customHeight="1" x14ac:dyDescent="0.4">
      <c r="A29" s="81" t="s">
        <v>24</v>
      </c>
      <c r="B29" s="82">
        <v>0.1</v>
      </c>
      <c r="C29" s="56"/>
      <c r="D29" s="33"/>
      <c r="E29" s="33"/>
      <c r="F29" s="33"/>
      <c r="G29" s="33"/>
      <c r="H29" s="31"/>
      <c r="I29" s="24"/>
      <c r="J29" s="24"/>
      <c r="K29" s="24"/>
      <c r="L29" s="24"/>
      <c r="M29" s="24"/>
      <c r="N29" s="41"/>
    </row>
    <row r="30" spans="1:14" s="3" customFormat="1" ht="18.75" x14ac:dyDescent="0.3">
      <c r="A30" s="47" t="s">
        <v>25</v>
      </c>
      <c r="B30" s="42">
        <v>1</v>
      </c>
      <c r="C30" s="43" t="s">
        <v>26</v>
      </c>
      <c r="D30" s="42">
        <v>1</v>
      </c>
      <c r="F30" s="31"/>
      <c r="G30" s="31"/>
      <c r="H30" s="31"/>
      <c r="I30" s="24"/>
      <c r="J30" s="24"/>
      <c r="K30" s="24"/>
      <c r="L30" s="24"/>
      <c r="M30" s="24"/>
      <c r="N30" s="41"/>
    </row>
    <row r="31" spans="1:14" s="3" customFormat="1" ht="18.75" x14ac:dyDescent="0.3">
      <c r="A31" s="81"/>
      <c r="B31" s="130"/>
      <c r="C31" s="31"/>
      <c r="D31" s="31"/>
      <c r="E31" s="31"/>
      <c r="F31" s="31"/>
      <c r="G31" s="31"/>
      <c r="H31" s="31"/>
      <c r="I31" s="24"/>
      <c r="J31" s="24"/>
      <c r="K31" s="24"/>
      <c r="L31" s="24"/>
      <c r="M31" s="24"/>
      <c r="N31" s="41"/>
    </row>
    <row r="32" spans="1:14" s="3" customFormat="1" ht="19.5" customHeight="1" thickBot="1" x14ac:dyDescent="0.35">
      <c r="A32" s="81"/>
      <c r="B32" s="130"/>
      <c r="C32" s="31"/>
      <c r="D32" s="31"/>
      <c r="E32" s="31"/>
      <c r="F32" s="31"/>
      <c r="G32" s="31"/>
      <c r="H32" s="31"/>
      <c r="I32" s="24"/>
      <c r="J32" s="24"/>
      <c r="K32" s="24"/>
      <c r="L32" s="24"/>
      <c r="M32" s="24"/>
      <c r="N32" s="41"/>
    </row>
    <row r="33" spans="1:14" s="3" customFormat="1" ht="19.5" customHeight="1" thickBot="1" x14ac:dyDescent="0.35">
      <c r="A33" s="14" t="s">
        <v>27</v>
      </c>
      <c r="B33" s="14" t="s">
        <v>28</v>
      </c>
      <c r="C33" s="51" t="s">
        <v>29</v>
      </c>
      <c r="D33" s="14" t="s">
        <v>30</v>
      </c>
      <c r="E33" s="58" t="s">
        <v>31</v>
      </c>
      <c r="F33" s="58" t="s">
        <v>32</v>
      </c>
      <c r="G33" s="14" t="s">
        <v>33</v>
      </c>
      <c r="J33" s="24"/>
      <c r="K33" s="24"/>
      <c r="L33" s="24"/>
      <c r="M33" s="24"/>
      <c r="N33" s="41"/>
    </row>
    <row r="34" spans="1:14" s="3" customFormat="1" ht="26.25" customHeight="1" x14ac:dyDescent="0.4">
      <c r="A34" s="44" t="s">
        <v>34</v>
      </c>
      <c r="B34" s="48">
        <v>50.33</v>
      </c>
      <c r="C34" s="52">
        <f>IF(ISBLANK(B34), "-",B34/$B$28*($B$30/$D$30))</f>
        <v>0.86122518822724159</v>
      </c>
      <c r="D34" s="112">
        <v>8.6639999999999997</v>
      </c>
      <c r="E34" s="83">
        <f>IF(ISBLANK(B34), "-",C34/D34)</f>
        <v>9.9402722556237486E-2</v>
      </c>
      <c r="F34" s="103">
        <f>IF(ISBLANK(B34), "-",(E34-$B$29)/$B$29)</f>
        <v>-5.9727744376252001E-3</v>
      </c>
      <c r="G34" s="86">
        <f>IF(ISBLANK(B34),"-",E34/$B$29)</f>
        <v>0.99402722556237477</v>
      </c>
      <c r="J34" s="24"/>
      <c r="K34" s="24"/>
      <c r="L34" s="24"/>
      <c r="M34" s="24"/>
      <c r="N34" s="41"/>
    </row>
    <row r="35" spans="1:14" s="3" customFormat="1" ht="26.25" customHeight="1" x14ac:dyDescent="0.4">
      <c r="A35" s="45" t="s">
        <v>35</v>
      </c>
      <c r="B35" s="49">
        <v>50.42</v>
      </c>
      <c r="C35" s="53">
        <f>IF(ISBLANK(B35), "-",B35/$B$28*($B$30/$D$30))</f>
        <v>0.86276522929500343</v>
      </c>
      <c r="D35" s="113">
        <v>8.6959999999999997</v>
      </c>
      <c r="E35" s="84">
        <f>IF(ISBLANK(B35), "-",C35/D35)</f>
        <v>9.9214032807613095E-2</v>
      </c>
      <c r="F35" s="104">
        <f>IF(ISBLANK(B35), "-",(E35-$B$29)/$B$29)</f>
        <v>-7.8596719238691048E-3</v>
      </c>
      <c r="G35" s="87">
        <f>IF(ISBLANK(B35),"-",E35/$B$29)</f>
        <v>0.99214032807613095</v>
      </c>
      <c r="J35" s="24"/>
      <c r="K35" s="24"/>
      <c r="L35" s="24"/>
      <c r="M35" s="24"/>
      <c r="N35" s="41"/>
    </row>
    <row r="36" spans="1:14" s="3" customFormat="1" ht="26.25" customHeight="1" x14ac:dyDescent="0.4">
      <c r="A36" s="45" t="s">
        <v>36</v>
      </c>
      <c r="B36" s="49">
        <v>50.35</v>
      </c>
      <c r="C36" s="53">
        <f>IF(ISBLANK(B36), "-",B36/$B$28*($B$30/$D$30))</f>
        <v>0.86156741957563321</v>
      </c>
      <c r="D36" s="113">
        <v>8.6660000000000004</v>
      </c>
      <c r="E36" s="84">
        <f>IF(ISBLANK(B36), "-",C36/D36)</f>
        <v>9.9419272972032444E-2</v>
      </c>
      <c r="F36" s="104">
        <f>IF(ISBLANK(B36), "-",(E36-$B$29)/$B$29)</f>
        <v>-5.8072702796756193E-3</v>
      </c>
      <c r="G36" s="87">
        <f>IF(ISBLANK(B36),"-",E36/$B$29)</f>
        <v>0.99419272972032435</v>
      </c>
      <c r="J36" s="24"/>
      <c r="K36" s="24"/>
      <c r="L36" s="24"/>
      <c r="M36" s="24"/>
      <c r="N36" s="41"/>
    </row>
    <row r="37" spans="1:14" s="3" customFormat="1" ht="27" customHeight="1" thickBot="1" x14ac:dyDescent="0.45">
      <c r="A37" s="46" t="s">
        <v>37</v>
      </c>
      <c r="B37" s="50"/>
      <c r="C37" s="54" t="str">
        <f>IF(ISBLANK(B37), "-",B37/$B$28*($B$30/$D$30))</f>
        <v>-</v>
      </c>
      <c r="D37" s="114"/>
      <c r="E37" s="85" t="str">
        <f>IF(ISBLANK(B37), "-",C37/D37)</f>
        <v>-</v>
      </c>
      <c r="F37" s="91" t="str">
        <f>IF(ISBLANK(B37), "-",(E37-$B$29)/$B$29)</f>
        <v>-</v>
      </c>
      <c r="G37" s="88" t="str">
        <f>IF(ISBLANK(B37),"-",E37/$B$29)</f>
        <v>-</v>
      </c>
      <c r="J37" s="24"/>
      <c r="K37" s="24"/>
      <c r="L37" s="24"/>
      <c r="M37" s="24"/>
      <c r="N37" s="41"/>
    </row>
    <row r="38" spans="1:14" ht="19.5" customHeight="1" thickBot="1" x14ac:dyDescent="0.35">
      <c r="A38" s="41"/>
      <c r="B38" s="41"/>
      <c r="C38" s="41"/>
      <c r="D38" s="71" t="s">
        <v>38</v>
      </c>
      <c r="E38" s="40">
        <f>AVERAGE(E34:E37)</f>
        <v>9.9345342778627679E-2</v>
      </c>
      <c r="F38" s="108">
        <f>AVERAGE(F34:F37)</f>
        <v>-6.5465722137233078E-3</v>
      </c>
      <c r="G38" s="107">
        <f>AVERAGE(G34:G37)</f>
        <v>0.99345342778627665</v>
      </c>
      <c r="H38" s="41"/>
      <c r="L38" s="24"/>
      <c r="M38" s="24"/>
      <c r="N38" s="41"/>
    </row>
    <row r="39" spans="1:14" ht="18.75" x14ac:dyDescent="0.3">
      <c r="A39" s="41"/>
      <c r="B39" s="28"/>
      <c r="C39" s="30"/>
      <c r="D39" s="36" t="s">
        <v>17</v>
      </c>
      <c r="E39" s="37">
        <f>STDEV(E34:E37)/E38</f>
        <v>1.1476981418646654E-3</v>
      </c>
      <c r="F39" s="90"/>
      <c r="G39" s="41"/>
      <c r="H39" s="41"/>
    </row>
    <row r="40" spans="1:14" ht="19.5" customHeight="1" thickBot="1" x14ac:dyDescent="0.35">
      <c r="A40" s="41"/>
      <c r="B40" s="28"/>
      <c r="C40" s="30"/>
      <c r="D40" s="38" t="s">
        <v>2</v>
      </c>
      <c r="E40" s="39">
        <f>COUNT(E34:E37)</f>
        <v>3</v>
      </c>
      <c r="F40" s="99"/>
      <c r="G40" s="41"/>
      <c r="H40" s="41"/>
    </row>
    <row r="41" spans="1:14" ht="18.75" x14ac:dyDescent="0.3">
      <c r="A41" s="32"/>
      <c r="B41" s="29"/>
      <c r="C41" s="28"/>
      <c r="D41" s="28"/>
      <c r="E41" s="28"/>
      <c r="F41" s="89"/>
      <c r="G41" s="41"/>
      <c r="H41" s="41"/>
    </row>
    <row r="43" spans="1:14" ht="18.75" x14ac:dyDescent="0.3">
      <c r="A43" s="11" t="s">
        <v>0</v>
      </c>
      <c r="B43" s="12" t="s">
        <v>18</v>
      </c>
    </row>
    <row r="44" spans="1:14" ht="18.75" x14ac:dyDescent="0.3">
      <c r="A44" s="81" t="s">
        <v>19</v>
      </c>
      <c r="B44" s="13" t="str">
        <f>B21</f>
        <v>Each 1ml contains 0.577835mg chloride</v>
      </c>
    </row>
    <row r="45" spans="1:14" ht="18.75" x14ac:dyDescent="0.3">
      <c r="A45" s="13"/>
      <c r="B45" s="111"/>
      <c r="H45" s="15"/>
    </row>
    <row r="46" spans="1:14" ht="26.25" customHeight="1" x14ac:dyDescent="0.4">
      <c r="A46" s="13" t="s">
        <v>39</v>
      </c>
      <c r="B46" s="124">
        <v>1000</v>
      </c>
      <c r="C46" s="31" t="s">
        <v>40</v>
      </c>
      <c r="D46" s="125">
        <f>16.3*35.44</f>
        <v>577.67200000000003</v>
      </c>
      <c r="E46" s="31" t="str">
        <f>B20</f>
        <v xml:space="preserve"> CHLORIDE</v>
      </c>
      <c r="H46" s="15"/>
    </row>
    <row r="47" spans="1:14" ht="18.75" x14ac:dyDescent="0.3">
      <c r="A47" s="13"/>
      <c r="B47" s="109"/>
      <c r="H47" s="15"/>
    </row>
    <row r="48" spans="1:14" ht="26.25" customHeight="1" x14ac:dyDescent="0.4">
      <c r="A48" s="81" t="s">
        <v>41</v>
      </c>
      <c r="B48" s="126">
        <v>3.5449999999999999</v>
      </c>
      <c r="C48" s="41" t="str">
        <f>B20</f>
        <v xml:space="preserve"> CHLORIDE</v>
      </c>
      <c r="H48" s="15"/>
    </row>
    <row r="49" spans="1:10" ht="19.5" customHeight="1" thickBot="1" x14ac:dyDescent="0.35">
      <c r="A49" s="41"/>
      <c r="B49" s="41"/>
      <c r="C49" s="41"/>
      <c r="D49" s="41"/>
      <c r="H49" s="15"/>
    </row>
    <row r="50" spans="1:10" ht="19.5" customHeight="1" thickBot="1" x14ac:dyDescent="0.35">
      <c r="C50" s="41"/>
      <c r="D50" s="41"/>
      <c r="E50" s="41"/>
      <c r="F50" s="41"/>
      <c r="G50" s="439" t="s">
        <v>42</v>
      </c>
      <c r="H50" s="440"/>
      <c r="J50" s="97"/>
    </row>
    <row r="51" spans="1:10" ht="19.5" customHeight="1" thickBot="1" x14ac:dyDescent="0.35">
      <c r="A51" s="59" t="s">
        <v>43</v>
      </c>
      <c r="B51" s="14" t="s">
        <v>44</v>
      </c>
      <c r="C51" s="14" t="s">
        <v>45</v>
      </c>
      <c r="D51" s="14" t="s">
        <v>46</v>
      </c>
      <c r="E51" s="14" t="s">
        <v>47</v>
      </c>
      <c r="F51" s="74" t="s">
        <v>48</v>
      </c>
      <c r="G51" s="14" t="s">
        <v>49</v>
      </c>
      <c r="H51" s="14" t="s">
        <v>50</v>
      </c>
      <c r="I51" s="123" t="s">
        <v>51</v>
      </c>
      <c r="J51" s="60"/>
    </row>
    <row r="52" spans="1:10" ht="26.25" customHeight="1" x14ac:dyDescent="0.4">
      <c r="A52" s="61" t="s">
        <v>34</v>
      </c>
      <c r="B52" s="64">
        <v>25</v>
      </c>
      <c r="C52" s="115">
        <v>4.2</v>
      </c>
      <c r="D52" s="68">
        <v>0</v>
      </c>
      <c r="E52" s="118">
        <f>IF(ISBLANK(B52),"-",C52-$D$56)</f>
        <v>4.2</v>
      </c>
      <c r="F52" s="77">
        <f>IF(ISBLANK(B52), "-",E52*$G$38)</f>
        <v>4.1725043967023625</v>
      </c>
      <c r="G52" s="92">
        <f>IF(ISBLANK(B52),"-",F52*$B$48)</f>
        <v>14.791528086309874</v>
      </c>
      <c r="H52" s="76">
        <f>IF(ISBLANK(B52),"-",G52*$B$46/B52)</f>
        <v>591.66112345239492</v>
      </c>
      <c r="I52" s="103">
        <f>IF(ISBLANK(B52),"-",H52/$D$46)</f>
        <v>1.0242163778967908</v>
      </c>
      <c r="J52" s="98"/>
    </row>
    <row r="53" spans="1:10" ht="26.25" customHeight="1" x14ac:dyDescent="0.4">
      <c r="A53" s="62" t="s">
        <v>35</v>
      </c>
      <c r="B53" s="65">
        <v>25</v>
      </c>
      <c r="C53" s="116">
        <v>4.2080000000000002</v>
      </c>
      <c r="D53" s="69">
        <v>0</v>
      </c>
      <c r="E53" s="119">
        <f>IF(ISBLANK(B53),"-",C53-$D$56)</f>
        <v>4.2080000000000002</v>
      </c>
      <c r="F53" s="78">
        <f>IF(ISBLANK(B53), "-",E53*$G$38)</f>
        <v>4.1804520241246523</v>
      </c>
      <c r="G53" s="93">
        <f>IF(ISBLANK(B53),"-",F53*$B$48)</f>
        <v>14.819702425521893</v>
      </c>
      <c r="H53" s="96">
        <f>IF(ISBLANK(B53),"-",G53*$B$46/B53)</f>
        <v>592.78809702087574</v>
      </c>
      <c r="I53" s="104">
        <f>IF(ISBLANK(B53),"-",H53/$D$46)</f>
        <v>1.0261672662356418</v>
      </c>
      <c r="J53" s="98"/>
    </row>
    <row r="54" spans="1:10" ht="26.25" customHeight="1" x14ac:dyDescent="0.4">
      <c r="A54" s="62" t="s">
        <v>36</v>
      </c>
      <c r="B54" s="65">
        <v>25</v>
      </c>
      <c r="C54" s="116">
        <v>4.1980000000000004</v>
      </c>
      <c r="D54" s="69">
        <v>0</v>
      </c>
      <c r="E54" s="119">
        <f>IF(ISBLANK(B54),"-",C54-$D$56)</f>
        <v>4.1980000000000004</v>
      </c>
      <c r="F54" s="78">
        <f>IF(ISBLANK(B54), "-",E54*$G$38)</f>
        <v>4.17051748984679</v>
      </c>
      <c r="G54" s="93">
        <f>IF(ISBLANK(B54),"-",F54*$B$48)</f>
        <v>14.784484501506871</v>
      </c>
      <c r="H54" s="96">
        <f>IF(ISBLANK(B54),"-",G54*$B$46/B54)</f>
        <v>591.3793800602748</v>
      </c>
      <c r="I54" s="104">
        <f>IF(ISBLANK(B54),"-",H54/$D$46)</f>
        <v>1.0237286558120782</v>
      </c>
      <c r="J54" s="98"/>
    </row>
    <row r="55" spans="1:10" ht="27" customHeight="1" thickBot="1" x14ac:dyDescent="0.45">
      <c r="A55" s="63" t="s">
        <v>37</v>
      </c>
      <c r="B55" s="66"/>
      <c r="C55" s="117"/>
      <c r="D55" s="70"/>
      <c r="E55" s="80" t="str">
        <f>IF(ISBLANK(B55),"-",C55-$D$56)</f>
        <v>-</v>
      </c>
      <c r="F55" s="79" t="str">
        <f>IF(ISBLANK(B55), "-",E55*$G$38)</f>
        <v>-</v>
      </c>
      <c r="G55" s="94" t="str">
        <f>IF(ISBLANK(B55),"-",F55*$B$48)</f>
        <v>-</v>
      </c>
      <c r="H55" s="106" t="str">
        <f>IF(ISBLANK(B55),"-",G55*$B$46/B55)</f>
        <v>-</v>
      </c>
      <c r="I55" s="104" t="str">
        <f>IF(ISBLANK(B55),"-",H55/$D$46)</f>
        <v>-</v>
      </c>
      <c r="J55" s="99"/>
    </row>
    <row r="56" spans="1:10" ht="26.25" customHeight="1" x14ac:dyDescent="0.4">
      <c r="C56" s="35" t="s">
        <v>38</v>
      </c>
      <c r="D56" s="67">
        <f>AVERAGE(D52:D55)</f>
        <v>0</v>
      </c>
      <c r="F56" s="35" t="s">
        <v>38</v>
      </c>
      <c r="G56" s="75">
        <f>AVERAGE(G52:G55)</f>
        <v>14.79857167111288</v>
      </c>
      <c r="H56" s="120">
        <f>AVERAGE(H52:H55)</f>
        <v>591.94286684451515</v>
      </c>
      <c r="I56" s="105">
        <f>AVERAGE(I52:I55)</f>
        <v>1.0247040999815036</v>
      </c>
      <c r="J56" s="100"/>
    </row>
    <row r="57" spans="1:10" ht="26.25" customHeight="1" x14ac:dyDescent="0.4">
      <c r="B57" s="2" t="e">
        <f>#REF!</f>
        <v>#REF!</v>
      </c>
      <c r="C57" s="36" t="s">
        <v>17</v>
      </c>
      <c r="D57" s="37" t="str">
        <f>IF(D56=0,"-",STDEV(D52:D55)/D56)</f>
        <v>-</v>
      </c>
      <c r="F57" s="36" t="s">
        <v>17</v>
      </c>
      <c r="G57" s="95"/>
      <c r="H57" s="121">
        <f>STDEV(H52:H55)/H56</f>
        <v>1.2592819186409508E-3</v>
      </c>
      <c r="I57" s="72">
        <f>STDEV(I52:I55)/I56</f>
        <v>1.2592819186408751E-3</v>
      </c>
      <c r="J57" s="101"/>
    </row>
    <row r="58" spans="1:10" ht="27" customHeight="1" thickBot="1" x14ac:dyDescent="0.45">
      <c r="C58" s="38" t="s">
        <v>2</v>
      </c>
      <c r="D58" s="39">
        <f>COUNT(D52:D55)</f>
        <v>3</v>
      </c>
      <c r="F58" s="38" t="s">
        <v>2</v>
      </c>
      <c r="G58" s="73">
        <f>COUNT(G52:G55)</f>
        <v>3</v>
      </c>
      <c r="H58" s="122">
        <f>COUNT(H52:H55)</f>
        <v>3</v>
      </c>
      <c r="I58" s="73">
        <f>COUNT(I52:I55)</f>
        <v>3</v>
      </c>
      <c r="J58" s="102"/>
    </row>
    <row r="59" spans="1:10" ht="18.75" x14ac:dyDescent="0.3">
      <c r="H59" s="15"/>
      <c r="J59" s="41"/>
    </row>
    <row r="60" spans="1:10" ht="18.75" x14ac:dyDescent="0.3">
      <c r="H60" s="15"/>
    </row>
    <row r="61" spans="1:10" ht="19.5" customHeight="1" thickBot="1" x14ac:dyDescent="0.35">
      <c r="A61" s="6"/>
      <c r="B61" s="6"/>
      <c r="C61" s="17"/>
      <c r="D61" s="17"/>
      <c r="E61" s="17"/>
      <c r="F61" s="17"/>
      <c r="G61" s="17"/>
      <c r="H61" s="17"/>
    </row>
    <row r="62" spans="1:10" ht="18.75" x14ac:dyDescent="0.3">
      <c r="B62" s="432" t="s">
        <v>3</v>
      </c>
      <c r="C62" s="432"/>
      <c r="E62" s="129" t="s">
        <v>4</v>
      </c>
      <c r="F62" s="18"/>
      <c r="G62" s="432" t="s">
        <v>5</v>
      </c>
      <c r="H62" s="432"/>
    </row>
    <row r="63" spans="1:10" ht="83.25" customHeight="1" x14ac:dyDescent="0.3">
      <c r="A63" s="19" t="s">
        <v>6</v>
      </c>
      <c r="B63" s="128" t="s">
        <v>177</v>
      </c>
      <c r="C63" s="128"/>
      <c r="E63" s="20"/>
      <c r="F63" s="31"/>
      <c r="G63" s="20"/>
      <c r="H63" s="20"/>
    </row>
    <row r="64" spans="1:10" ht="84" customHeight="1" x14ac:dyDescent="0.3">
      <c r="A64" s="19" t="s">
        <v>7</v>
      </c>
      <c r="B64" s="21"/>
      <c r="C64" s="21"/>
      <c r="E64" s="22"/>
      <c r="F64" s="31"/>
      <c r="G64" s="23"/>
      <c r="H64" s="23"/>
    </row>
    <row r="65" spans="1:9" ht="18.75" x14ac:dyDescent="0.3">
      <c r="A65" s="15"/>
      <c r="B65" s="15"/>
      <c r="C65" s="15"/>
      <c r="D65" s="15"/>
      <c r="E65" s="15"/>
      <c r="F65" s="16"/>
      <c r="G65" s="15"/>
      <c r="H65" s="15"/>
      <c r="I65" s="41"/>
    </row>
    <row r="66" spans="1:9" ht="18.75" x14ac:dyDescent="0.3">
      <c r="A66" s="15"/>
      <c r="B66" s="15"/>
      <c r="C66" s="15"/>
      <c r="D66" s="15"/>
      <c r="E66" s="15"/>
      <c r="F66" s="16"/>
      <c r="G66" s="15"/>
      <c r="H66" s="15"/>
      <c r="I66" s="41"/>
    </row>
    <row r="67" spans="1:9" ht="18.75" x14ac:dyDescent="0.3">
      <c r="A67" s="15"/>
      <c r="B67" s="15"/>
      <c r="C67" s="15"/>
      <c r="D67" s="15"/>
      <c r="E67" s="15"/>
      <c r="F67" s="16"/>
      <c r="G67" s="15"/>
      <c r="H67" s="15"/>
      <c r="I67" s="41"/>
    </row>
    <row r="68" spans="1:9" ht="18.75" x14ac:dyDescent="0.3">
      <c r="A68" s="15"/>
      <c r="B68" s="15"/>
      <c r="C68" s="15"/>
      <c r="D68" s="15"/>
      <c r="E68" s="15"/>
      <c r="F68" s="16"/>
      <c r="G68" s="15"/>
      <c r="H68" s="15"/>
      <c r="I68" s="41"/>
    </row>
    <row r="69" spans="1:9" ht="18.75" x14ac:dyDescent="0.3">
      <c r="A69" s="15"/>
      <c r="B69" s="15"/>
      <c r="C69" s="15"/>
      <c r="D69" s="15"/>
      <c r="E69" s="15"/>
      <c r="F69" s="16"/>
      <c r="G69" s="15"/>
      <c r="H69" s="15"/>
      <c r="I69" s="41"/>
    </row>
    <row r="70" spans="1:9" ht="18.75" x14ac:dyDescent="0.3">
      <c r="A70" s="15"/>
      <c r="B70" s="15"/>
      <c r="C70" s="15"/>
      <c r="D70" s="15"/>
      <c r="E70" s="15"/>
      <c r="F70" s="16"/>
      <c r="G70" s="15"/>
      <c r="H70" s="15"/>
      <c r="I70" s="41"/>
    </row>
    <row r="71" spans="1:9" ht="18.75" x14ac:dyDescent="0.3">
      <c r="A71" s="15"/>
      <c r="B71" s="15"/>
      <c r="C71" s="15"/>
      <c r="D71" s="15"/>
      <c r="E71" s="15"/>
      <c r="F71" s="16"/>
      <c r="G71" s="15"/>
      <c r="H71" s="15"/>
      <c r="I71" s="41"/>
    </row>
    <row r="72" spans="1:9" ht="18.75" x14ac:dyDescent="0.3">
      <c r="A72" s="15"/>
      <c r="B72" s="15"/>
      <c r="C72" s="15"/>
      <c r="D72" s="15"/>
      <c r="E72" s="15"/>
      <c r="F72" s="16"/>
      <c r="G72" s="15"/>
      <c r="H72" s="15"/>
      <c r="I72" s="41"/>
    </row>
    <row r="73" spans="1:9" ht="18.75" x14ac:dyDescent="0.3">
      <c r="A73" s="15"/>
      <c r="B73" s="15"/>
      <c r="C73" s="15"/>
      <c r="D73" s="15"/>
      <c r="E73" s="15"/>
      <c r="F73" s="16"/>
      <c r="G73" s="15"/>
      <c r="H73" s="15"/>
      <c r="I73" s="41"/>
    </row>
    <row r="250" spans="1:1" x14ac:dyDescent="0.3">
      <c r="A250" s="2">
        <v>0</v>
      </c>
    </row>
  </sheetData>
  <sheetProtection password="F258" sheet="1" formatColumns="0" formatRows="0" insertColumns="0" insertHyperlinks="0" deleteColumns="0" deleteRows="0" autoFilter="0" pivotTables="0"/>
  <mergeCells count="7">
    <mergeCell ref="B62:C62"/>
    <mergeCell ref="G62:H62"/>
    <mergeCell ref="A1:I7"/>
    <mergeCell ref="A8:I14"/>
    <mergeCell ref="A16:H16"/>
    <mergeCell ref="A17:H17"/>
    <mergeCell ref="G50:H50"/>
  </mergeCells>
  <conditionalFormatting sqref="E39">
    <cfRule type="cellIs" dxfId="18" priority="1" operator="greaterThan">
      <formula>0.002</formula>
    </cfRule>
  </conditionalFormatting>
  <conditionalFormatting sqref="F39">
    <cfRule type="cellIs" dxfId="17" priority="2" operator="greaterThan">
      <formula>0.002</formula>
    </cfRule>
  </conditionalFormatting>
  <conditionalFormatting sqref="G57">
    <cfRule type="cellIs" dxfId="16" priority="3" operator="greaterThan">
      <formula>0.02</formula>
    </cfRule>
  </conditionalFormatting>
  <conditionalFormatting sqref="H57">
    <cfRule type="cellIs" dxfId="15" priority="4" operator="greaterThan">
      <formula>0.02</formula>
    </cfRule>
  </conditionalFormatting>
  <conditionalFormatting sqref="I57">
    <cfRule type="cellIs" dxfId="14" priority="5" operator="greaterThan">
      <formula>0.02</formula>
    </cfRule>
  </conditionalFormatting>
  <conditionalFormatting sqref="J57">
    <cfRule type="cellIs" dxfId="13" priority="6" operator="greaterThan">
      <formula>0.02</formula>
    </cfRule>
  </conditionalFormatting>
  <conditionalFormatting sqref="F38">
    <cfRule type="cellIs" dxfId="12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16" orientation="portrait" r:id="rId1"/>
  <headerFooter alignWithMargins="0">
    <oddHeader>&amp;LVer 1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9" zoomScale="50" zoomScaleNormal="75" zoomScalePageLayoutView="50" workbookViewId="0">
      <selection activeCell="G66" sqref="G66"/>
    </sheetView>
  </sheetViews>
  <sheetFormatPr defaultRowHeight="16.5" x14ac:dyDescent="0.3"/>
  <cols>
    <col min="1" max="1" width="66.28515625" style="2" customWidth="1"/>
    <col min="2" max="2" width="32.28515625" style="2" customWidth="1"/>
    <col min="3" max="3" width="33.28515625" style="2" customWidth="1"/>
    <col min="4" max="4" width="30.5703125" style="2" customWidth="1"/>
    <col min="5" max="5" width="33.5703125" style="2" customWidth="1"/>
    <col min="6" max="6" width="39.85546875" style="2" customWidth="1"/>
    <col min="7" max="7" width="31.7109375" style="2" customWidth="1"/>
    <col min="8" max="8" width="31.140625" style="2" customWidth="1"/>
    <col min="9" max="9" width="32.28515625" style="1" customWidth="1"/>
    <col min="10" max="10" width="22.28515625" style="1" customWidth="1"/>
    <col min="11" max="11" width="19.5703125" style="1" customWidth="1"/>
    <col min="12" max="12" width="21.140625" style="1" customWidth="1"/>
    <col min="13" max="13" width="9.140625" style="1" customWidth="1"/>
    <col min="14" max="16384" width="9.140625" style="4"/>
  </cols>
  <sheetData>
    <row r="1" spans="1:9" ht="15" x14ac:dyDescent="0.3">
      <c r="A1" s="433" t="s">
        <v>20</v>
      </c>
      <c r="B1" s="433"/>
      <c r="C1" s="433"/>
      <c r="D1" s="433"/>
      <c r="E1" s="433"/>
      <c r="F1" s="433"/>
      <c r="G1" s="433"/>
      <c r="H1" s="433"/>
      <c r="I1" s="433"/>
    </row>
    <row r="2" spans="1:9" ht="15" x14ac:dyDescent="0.3">
      <c r="A2" s="433"/>
      <c r="B2" s="433"/>
      <c r="C2" s="433"/>
      <c r="D2" s="433"/>
      <c r="E2" s="433"/>
      <c r="F2" s="433"/>
      <c r="G2" s="433"/>
      <c r="H2" s="433"/>
      <c r="I2" s="433"/>
    </row>
    <row r="3" spans="1:9" ht="15" x14ac:dyDescent="0.3">
      <c r="A3" s="433"/>
      <c r="B3" s="433"/>
      <c r="C3" s="433"/>
      <c r="D3" s="433"/>
      <c r="E3" s="433"/>
      <c r="F3" s="433"/>
      <c r="G3" s="433"/>
      <c r="H3" s="433"/>
      <c r="I3" s="433"/>
    </row>
    <row r="4" spans="1:9" ht="15" x14ac:dyDescent="0.3">
      <c r="A4" s="433"/>
      <c r="B4" s="433"/>
      <c r="C4" s="433"/>
      <c r="D4" s="433"/>
      <c r="E4" s="433"/>
      <c r="F4" s="433"/>
      <c r="G4" s="433"/>
      <c r="H4" s="433"/>
      <c r="I4" s="433"/>
    </row>
    <row r="5" spans="1:9" ht="15" x14ac:dyDescent="0.3">
      <c r="A5" s="433"/>
      <c r="B5" s="433"/>
      <c r="C5" s="433"/>
      <c r="D5" s="433"/>
      <c r="E5" s="433"/>
      <c r="F5" s="433"/>
      <c r="G5" s="433"/>
      <c r="H5" s="433"/>
      <c r="I5" s="433"/>
    </row>
    <row r="6" spans="1:9" ht="15" x14ac:dyDescent="0.3">
      <c r="A6" s="433"/>
      <c r="B6" s="433"/>
      <c r="C6" s="433"/>
      <c r="D6" s="433"/>
      <c r="E6" s="433"/>
      <c r="F6" s="433"/>
      <c r="G6" s="433"/>
      <c r="H6" s="433"/>
      <c r="I6" s="433"/>
    </row>
    <row r="7" spans="1:9" ht="15" x14ac:dyDescent="0.3">
      <c r="A7" s="433"/>
      <c r="B7" s="433"/>
      <c r="C7" s="433"/>
      <c r="D7" s="433"/>
      <c r="E7" s="433"/>
      <c r="F7" s="433"/>
      <c r="G7" s="433"/>
      <c r="H7" s="433"/>
      <c r="I7" s="433"/>
    </row>
    <row r="8" spans="1:9" ht="15" x14ac:dyDescent="0.3">
      <c r="A8" s="434" t="s">
        <v>15</v>
      </c>
      <c r="B8" s="434"/>
      <c r="C8" s="434"/>
      <c r="D8" s="434"/>
      <c r="E8" s="434"/>
      <c r="F8" s="434"/>
      <c r="G8" s="434"/>
      <c r="H8" s="434"/>
      <c r="I8" s="434"/>
    </row>
    <row r="9" spans="1:9" ht="15" x14ac:dyDescent="0.3">
      <c r="A9" s="434"/>
      <c r="B9" s="434"/>
      <c r="C9" s="434"/>
      <c r="D9" s="434"/>
      <c r="E9" s="434"/>
      <c r="F9" s="434"/>
      <c r="G9" s="434"/>
      <c r="H9" s="434"/>
      <c r="I9" s="434"/>
    </row>
    <row r="10" spans="1:9" ht="15" x14ac:dyDescent="0.3">
      <c r="A10" s="434"/>
      <c r="B10" s="434"/>
      <c r="C10" s="434"/>
      <c r="D10" s="434"/>
      <c r="E10" s="434"/>
      <c r="F10" s="434"/>
      <c r="G10" s="434"/>
      <c r="H10" s="434"/>
      <c r="I10" s="434"/>
    </row>
    <row r="11" spans="1:9" ht="15" x14ac:dyDescent="0.3">
      <c r="A11" s="434"/>
      <c r="B11" s="434"/>
      <c r="C11" s="434"/>
      <c r="D11" s="434"/>
      <c r="E11" s="434"/>
      <c r="F11" s="434"/>
      <c r="G11" s="434"/>
      <c r="H11" s="434"/>
      <c r="I11" s="434"/>
    </row>
    <row r="12" spans="1:9" ht="15" x14ac:dyDescent="0.3">
      <c r="A12" s="434"/>
      <c r="B12" s="434"/>
      <c r="C12" s="434"/>
      <c r="D12" s="434"/>
      <c r="E12" s="434"/>
      <c r="F12" s="434"/>
      <c r="G12" s="434"/>
      <c r="H12" s="434"/>
      <c r="I12" s="434"/>
    </row>
    <row r="13" spans="1:9" ht="15" x14ac:dyDescent="0.3">
      <c r="A13" s="434"/>
      <c r="B13" s="434"/>
      <c r="C13" s="434"/>
      <c r="D13" s="434"/>
      <c r="E13" s="434"/>
      <c r="F13" s="434"/>
      <c r="G13" s="434"/>
      <c r="H13" s="434"/>
      <c r="I13" s="434"/>
    </row>
    <row r="14" spans="1:9" ht="15" x14ac:dyDescent="0.3">
      <c r="A14" s="434"/>
      <c r="B14" s="434"/>
      <c r="C14" s="434"/>
      <c r="D14" s="434"/>
      <c r="E14" s="434"/>
      <c r="F14" s="434"/>
      <c r="G14" s="434"/>
      <c r="H14" s="434"/>
      <c r="I14" s="434"/>
    </row>
    <row r="15" spans="1:9" ht="19.5" customHeight="1" thickBot="1" x14ac:dyDescent="0.35"/>
    <row r="16" spans="1:9" ht="19.5" customHeight="1" thickBot="1" x14ac:dyDescent="0.35">
      <c r="A16" s="435" t="s">
        <v>8</v>
      </c>
      <c r="B16" s="436"/>
      <c r="C16" s="436"/>
      <c r="D16" s="436"/>
      <c r="E16" s="436"/>
      <c r="F16" s="436"/>
      <c r="G16" s="436"/>
      <c r="H16" s="437"/>
    </row>
    <row r="17" spans="1:14" ht="18.75" x14ac:dyDescent="0.3">
      <c r="A17" s="438" t="s">
        <v>16</v>
      </c>
      <c r="B17" s="438"/>
      <c r="C17" s="438"/>
      <c r="D17" s="438"/>
      <c r="E17" s="438"/>
      <c r="F17" s="438"/>
      <c r="G17" s="438"/>
      <c r="H17" s="438"/>
    </row>
    <row r="18" spans="1:14" ht="18.75" x14ac:dyDescent="0.3">
      <c r="A18" s="7" t="s">
        <v>9</v>
      </c>
      <c r="B18" s="25" t="s">
        <v>54</v>
      </c>
      <c r="C18" s="25"/>
      <c r="D18" s="25"/>
      <c r="E18" s="25"/>
    </row>
    <row r="19" spans="1:14" ht="18.75" x14ac:dyDescent="0.3">
      <c r="A19" s="7" t="s">
        <v>10</v>
      </c>
      <c r="B19" s="26" t="s">
        <v>53</v>
      </c>
      <c r="C19" s="110">
        <v>22</v>
      </c>
    </row>
    <row r="20" spans="1:14" ht="18.75" x14ac:dyDescent="0.3">
      <c r="A20" s="7" t="s">
        <v>11</v>
      </c>
      <c r="B20" s="26" t="s">
        <v>52</v>
      </c>
    </row>
    <row r="21" spans="1:14" ht="18.75" x14ac:dyDescent="0.3">
      <c r="A21" s="7" t="s">
        <v>12</v>
      </c>
      <c r="B21" s="127" t="s">
        <v>85</v>
      </c>
      <c r="C21" s="127"/>
      <c r="D21" s="127"/>
      <c r="E21" s="127"/>
      <c r="F21" s="127"/>
      <c r="G21" s="127"/>
      <c r="H21" s="127"/>
      <c r="I21" s="5"/>
    </row>
    <row r="22" spans="1:14" ht="18.75" x14ac:dyDescent="0.3">
      <c r="A22" s="7" t="s">
        <v>13</v>
      </c>
      <c r="B22" s="27">
        <v>43056</v>
      </c>
    </row>
    <row r="23" spans="1:14" ht="18.75" x14ac:dyDescent="0.3">
      <c r="A23" s="7" t="s">
        <v>14</v>
      </c>
      <c r="B23" s="27">
        <v>43059</v>
      </c>
    </row>
    <row r="24" spans="1:14" ht="18.75" x14ac:dyDescent="0.3">
      <c r="A24" s="7"/>
      <c r="B24" s="8"/>
    </row>
    <row r="25" spans="1:14" ht="18.75" x14ac:dyDescent="0.3">
      <c r="A25" s="9" t="s">
        <v>0</v>
      </c>
      <c r="B25" s="12" t="s">
        <v>21</v>
      </c>
    </row>
    <row r="26" spans="1:14" s="3" customFormat="1" ht="18.75" x14ac:dyDescent="0.3">
      <c r="A26" s="81"/>
      <c r="B26" s="130" t="s">
        <v>22</v>
      </c>
      <c r="C26" s="31"/>
      <c r="D26" s="31"/>
      <c r="E26" s="31"/>
      <c r="F26" s="31"/>
      <c r="G26" s="31"/>
      <c r="H26" s="31"/>
      <c r="I26" s="24"/>
      <c r="J26" s="24"/>
      <c r="K26" s="24"/>
      <c r="L26" s="24"/>
      <c r="M26" s="24"/>
      <c r="N26" s="41"/>
    </row>
    <row r="27" spans="1:14" s="3" customFormat="1" ht="26.25" customHeight="1" x14ac:dyDescent="0.4">
      <c r="A27" s="34" t="s">
        <v>1</v>
      </c>
      <c r="B27" s="57" t="s">
        <v>22</v>
      </c>
      <c r="C27" s="55"/>
      <c r="D27" s="41"/>
      <c r="E27" s="41"/>
      <c r="F27" s="41"/>
      <c r="G27" s="41"/>
      <c r="H27" s="31"/>
      <c r="I27" s="24"/>
      <c r="J27" s="24"/>
      <c r="K27" s="24"/>
      <c r="L27" s="24"/>
      <c r="M27" s="24"/>
      <c r="N27" s="41"/>
    </row>
    <row r="28" spans="1:14" s="3" customFormat="1" ht="26.25" customHeight="1" x14ac:dyDescent="0.4">
      <c r="A28" s="10" t="s">
        <v>23</v>
      </c>
      <c r="B28" s="55">
        <v>58.44</v>
      </c>
      <c r="C28" s="56"/>
      <c r="D28" s="33"/>
      <c r="E28" s="33"/>
      <c r="F28" s="33"/>
      <c r="G28" s="33"/>
      <c r="H28" s="31"/>
      <c r="I28" s="24"/>
      <c r="J28" s="24"/>
      <c r="K28" s="24"/>
      <c r="L28" s="24"/>
      <c r="M28" s="24"/>
      <c r="N28" s="41"/>
    </row>
    <row r="29" spans="1:14" s="3" customFormat="1" ht="26.25" customHeight="1" x14ac:dyDescent="0.4">
      <c r="A29" s="81" t="s">
        <v>24</v>
      </c>
      <c r="B29" s="82">
        <v>0.1</v>
      </c>
      <c r="C29" s="56"/>
      <c r="D29" s="33"/>
      <c r="E29" s="33"/>
      <c r="F29" s="33"/>
      <c r="G29" s="33"/>
      <c r="H29" s="31"/>
      <c r="I29" s="24"/>
      <c r="J29" s="24"/>
      <c r="K29" s="24"/>
      <c r="L29" s="24"/>
      <c r="M29" s="24"/>
      <c r="N29" s="41"/>
    </row>
    <row r="30" spans="1:14" s="3" customFormat="1" ht="18.75" x14ac:dyDescent="0.3">
      <c r="A30" s="47" t="s">
        <v>25</v>
      </c>
      <c r="B30" s="42">
        <v>1</v>
      </c>
      <c r="C30" s="43" t="s">
        <v>26</v>
      </c>
      <c r="D30" s="42">
        <v>1</v>
      </c>
      <c r="F30" s="31"/>
      <c r="G30" s="31"/>
      <c r="H30" s="31"/>
      <c r="I30" s="24"/>
      <c r="J30" s="24"/>
      <c r="K30" s="24"/>
      <c r="L30" s="24"/>
      <c r="M30" s="24"/>
      <c r="N30" s="41"/>
    </row>
    <row r="31" spans="1:14" s="3" customFormat="1" ht="18.75" x14ac:dyDescent="0.3">
      <c r="A31" s="81"/>
      <c r="B31" s="130"/>
      <c r="C31" s="31"/>
      <c r="D31" s="31"/>
      <c r="E31" s="31"/>
      <c r="F31" s="31"/>
      <c r="G31" s="31"/>
      <c r="H31" s="31"/>
      <c r="I31" s="24"/>
      <c r="J31" s="24"/>
      <c r="K31" s="24"/>
      <c r="L31" s="24"/>
      <c r="M31" s="24"/>
      <c r="N31" s="41"/>
    </row>
    <row r="32" spans="1:14" s="3" customFormat="1" ht="19.5" customHeight="1" thickBot="1" x14ac:dyDescent="0.35">
      <c r="A32" s="81"/>
      <c r="B32" s="130"/>
      <c r="C32" s="31"/>
      <c r="D32" s="31"/>
      <c r="E32" s="31"/>
      <c r="F32" s="31"/>
      <c r="G32" s="31"/>
      <c r="H32" s="31"/>
      <c r="I32" s="24"/>
      <c r="J32" s="24"/>
      <c r="K32" s="24"/>
      <c r="L32" s="24"/>
      <c r="M32" s="24"/>
      <c r="N32" s="41"/>
    </row>
    <row r="33" spans="1:14" s="3" customFormat="1" ht="19.5" customHeight="1" thickBot="1" x14ac:dyDescent="0.35">
      <c r="A33" s="14" t="s">
        <v>27</v>
      </c>
      <c r="B33" s="14" t="s">
        <v>28</v>
      </c>
      <c r="C33" s="51" t="s">
        <v>29</v>
      </c>
      <c r="D33" s="14" t="s">
        <v>30</v>
      </c>
      <c r="E33" s="58" t="s">
        <v>31</v>
      </c>
      <c r="F33" s="58" t="s">
        <v>32</v>
      </c>
      <c r="G33" s="14" t="s">
        <v>33</v>
      </c>
      <c r="J33" s="24"/>
      <c r="K33" s="24"/>
      <c r="L33" s="24"/>
      <c r="M33" s="24"/>
      <c r="N33" s="41"/>
    </row>
    <row r="34" spans="1:14" s="3" customFormat="1" ht="26.25" customHeight="1" x14ac:dyDescent="0.4">
      <c r="A34" s="44" t="s">
        <v>34</v>
      </c>
      <c r="B34" s="48">
        <v>50.33</v>
      </c>
      <c r="C34" s="52">
        <f>IF(ISBLANK(B34), "-",B34/$B$28*($B$30/$D$30))</f>
        <v>0.86122518822724159</v>
      </c>
      <c r="D34" s="112">
        <v>8.6639999999999997</v>
      </c>
      <c r="E34" s="83">
        <f>IF(ISBLANK(B34), "-",C34/D34)</f>
        <v>9.9402722556237486E-2</v>
      </c>
      <c r="F34" s="103">
        <f>IF(ISBLANK(B34), "-",(E34-$B$29)/$B$29)</f>
        <v>-5.9727744376252001E-3</v>
      </c>
      <c r="G34" s="86">
        <f>IF(ISBLANK(B34),"-",E34/$B$29)</f>
        <v>0.99402722556237477</v>
      </c>
      <c r="J34" s="24"/>
      <c r="K34" s="24"/>
      <c r="L34" s="24"/>
      <c r="M34" s="24"/>
      <c r="N34" s="41"/>
    </row>
    <row r="35" spans="1:14" s="3" customFormat="1" ht="26.25" customHeight="1" x14ac:dyDescent="0.4">
      <c r="A35" s="45" t="s">
        <v>35</v>
      </c>
      <c r="B35" s="49">
        <v>50.42</v>
      </c>
      <c r="C35" s="53">
        <f>IF(ISBLANK(B35), "-",B35/$B$28*($B$30/$D$30))</f>
        <v>0.86276522929500343</v>
      </c>
      <c r="D35" s="113">
        <v>8.6959999999999997</v>
      </c>
      <c r="E35" s="84">
        <f>IF(ISBLANK(B35), "-",C35/D35)</f>
        <v>9.9214032807613095E-2</v>
      </c>
      <c r="F35" s="104">
        <f>IF(ISBLANK(B35), "-",(E35-$B$29)/$B$29)</f>
        <v>-7.8596719238691048E-3</v>
      </c>
      <c r="G35" s="87">
        <f>IF(ISBLANK(B35),"-",E35/$B$29)</f>
        <v>0.99214032807613095</v>
      </c>
      <c r="J35" s="24"/>
      <c r="K35" s="24"/>
      <c r="L35" s="24"/>
      <c r="M35" s="24"/>
      <c r="N35" s="41"/>
    </row>
    <row r="36" spans="1:14" s="3" customFormat="1" ht="26.25" customHeight="1" x14ac:dyDescent="0.4">
      <c r="A36" s="45" t="s">
        <v>36</v>
      </c>
      <c r="B36" s="49">
        <v>50.35</v>
      </c>
      <c r="C36" s="53">
        <f>IF(ISBLANK(B36), "-",B36/$B$28*($B$30/$D$30))</f>
        <v>0.86156741957563321</v>
      </c>
      <c r="D36" s="113">
        <v>8.6660000000000004</v>
      </c>
      <c r="E36" s="84">
        <f>IF(ISBLANK(B36), "-",C36/D36)</f>
        <v>9.9419272972032444E-2</v>
      </c>
      <c r="F36" s="104">
        <f>IF(ISBLANK(B36), "-",(E36-$B$29)/$B$29)</f>
        <v>-5.8072702796756193E-3</v>
      </c>
      <c r="G36" s="87">
        <f>IF(ISBLANK(B36),"-",E36/$B$29)</f>
        <v>0.99419272972032435</v>
      </c>
      <c r="J36" s="24"/>
      <c r="K36" s="24"/>
      <c r="L36" s="24"/>
      <c r="M36" s="24"/>
      <c r="N36" s="41"/>
    </row>
    <row r="37" spans="1:14" s="3" customFormat="1" ht="27" customHeight="1" thickBot="1" x14ac:dyDescent="0.45">
      <c r="A37" s="46" t="s">
        <v>37</v>
      </c>
      <c r="B37" s="50"/>
      <c r="C37" s="54" t="str">
        <f>IF(ISBLANK(B37), "-",B37/$B$28*($B$30/$D$30))</f>
        <v>-</v>
      </c>
      <c r="D37" s="114"/>
      <c r="E37" s="85" t="str">
        <f>IF(ISBLANK(B37), "-",C37/D37)</f>
        <v>-</v>
      </c>
      <c r="F37" s="91" t="str">
        <f>IF(ISBLANK(B37), "-",(E37-$B$29)/$B$29)</f>
        <v>-</v>
      </c>
      <c r="G37" s="88" t="str">
        <f>IF(ISBLANK(B37),"-",E37/$B$29)</f>
        <v>-</v>
      </c>
      <c r="J37" s="24"/>
      <c r="K37" s="24"/>
      <c r="L37" s="24"/>
      <c r="M37" s="24"/>
      <c r="N37" s="41"/>
    </row>
    <row r="38" spans="1:14" ht="19.5" customHeight="1" thickBot="1" x14ac:dyDescent="0.35">
      <c r="A38" s="41"/>
      <c r="B38" s="41"/>
      <c r="C38" s="41"/>
      <c r="D38" s="71" t="s">
        <v>38</v>
      </c>
      <c r="E38" s="40">
        <f>AVERAGE(E34:E37)</f>
        <v>9.9345342778627679E-2</v>
      </c>
      <c r="F38" s="108">
        <f>AVERAGE(F34:F37)</f>
        <v>-6.5465722137233078E-3</v>
      </c>
      <c r="G38" s="107">
        <f>AVERAGE(G34:G37)</f>
        <v>0.99345342778627665</v>
      </c>
      <c r="H38" s="41"/>
      <c r="L38" s="24"/>
      <c r="M38" s="24"/>
      <c r="N38" s="41"/>
    </row>
    <row r="39" spans="1:14" ht="18.75" x14ac:dyDescent="0.3">
      <c r="A39" s="41"/>
      <c r="B39" s="28"/>
      <c r="C39" s="30"/>
      <c r="D39" s="36" t="s">
        <v>17</v>
      </c>
      <c r="E39" s="37">
        <f>STDEV(E34:E37)/E38</f>
        <v>1.1476981418646654E-3</v>
      </c>
      <c r="F39" s="90"/>
      <c r="G39" s="41"/>
      <c r="H39" s="41"/>
    </row>
    <row r="40" spans="1:14" ht="19.5" customHeight="1" thickBot="1" x14ac:dyDescent="0.35">
      <c r="A40" s="41"/>
      <c r="B40" s="28"/>
      <c r="C40" s="30"/>
      <c r="D40" s="38" t="s">
        <v>2</v>
      </c>
      <c r="E40" s="39">
        <f>COUNT(E34:E37)</f>
        <v>3</v>
      </c>
      <c r="F40" s="99"/>
      <c r="G40" s="41"/>
      <c r="H40" s="41"/>
    </row>
    <row r="41" spans="1:14" ht="18.75" x14ac:dyDescent="0.3">
      <c r="A41" s="32"/>
      <c r="B41" s="29"/>
      <c r="C41" s="28"/>
      <c r="D41" s="28"/>
      <c r="E41" s="28"/>
      <c r="F41" s="89"/>
      <c r="G41" s="41"/>
      <c r="H41" s="41"/>
    </row>
    <row r="43" spans="1:14" ht="18.75" x14ac:dyDescent="0.3">
      <c r="A43" s="11" t="s">
        <v>0</v>
      </c>
      <c r="B43" s="12" t="s">
        <v>18</v>
      </c>
    </row>
    <row r="44" spans="1:14" ht="18.75" x14ac:dyDescent="0.3">
      <c r="A44" s="81" t="s">
        <v>19</v>
      </c>
      <c r="B44" s="13" t="str">
        <f>B21</f>
        <v>Each 1ml contains 2.931715mg chloride</v>
      </c>
    </row>
    <row r="45" spans="1:14" ht="18.75" x14ac:dyDescent="0.3">
      <c r="A45" s="13"/>
      <c r="B45" s="111"/>
      <c r="H45" s="15"/>
    </row>
    <row r="46" spans="1:14" ht="26.25" customHeight="1" x14ac:dyDescent="0.4">
      <c r="A46" s="13" t="s">
        <v>39</v>
      </c>
      <c r="B46" s="124">
        <v>1000</v>
      </c>
      <c r="C46" s="31" t="s">
        <v>40</v>
      </c>
      <c r="D46" s="125">
        <f>82.7*35.44</f>
        <v>2930.8879999999999</v>
      </c>
      <c r="E46" s="31" t="str">
        <f>B20</f>
        <v xml:space="preserve"> CHLORIDE</v>
      </c>
      <c r="H46" s="15"/>
    </row>
    <row r="47" spans="1:14" ht="18.75" x14ac:dyDescent="0.3">
      <c r="A47" s="13"/>
      <c r="B47" s="109"/>
      <c r="H47" s="15"/>
    </row>
    <row r="48" spans="1:14" ht="26.25" customHeight="1" x14ac:dyDescent="0.4">
      <c r="A48" s="81" t="s">
        <v>41</v>
      </c>
      <c r="B48" s="126">
        <v>3.5449999999999999</v>
      </c>
      <c r="C48" s="41" t="str">
        <f>B20</f>
        <v xml:space="preserve"> CHLORIDE</v>
      </c>
      <c r="H48" s="15"/>
    </row>
    <row r="49" spans="1:10" ht="19.5" customHeight="1" thickBot="1" x14ac:dyDescent="0.35">
      <c r="A49" s="41"/>
      <c r="B49" s="41"/>
      <c r="C49" s="41"/>
      <c r="D49" s="41"/>
      <c r="H49" s="15"/>
    </row>
    <row r="50" spans="1:10" ht="19.5" customHeight="1" thickBot="1" x14ac:dyDescent="0.35">
      <c r="C50" s="41"/>
      <c r="D50" s="41"/>
      <c r="E50" s="41"/>
      <c r="F50" s="41"/>
      <c r="G50" s="439" t="s">
        <v>42</v>
      </c>
      <c r="H50" s="440"/>
      <c r="J50" s="97"/>
    </row>
    <row r="51" spans="1:10" ht="19.5" customHeight="1" thickBot="1" x14ac:dyDescent="0.35">
      <c r="A51" s="59" t="s">
        <v>43</v>
      </c>
      <c r="B51" s="14" t="s">
        <v>44</v>
      </c>
      <c r="C51" s="14" t="s">
        <v>45</v>
      </c>
      <c r="D51" s="14" t="s">
        <v>46</v>
      </c>
      <c r="E51" s="14" t="s">
        <v>47</v>
      </c>
      <c r="F51" s="74" t="s">
        <v>48</v>
      </c>
      <c r="G51" s="14" t="s">
        <v>49</v>
      </c>
      <c r="H51" s="14" t="s">
        <v>50</v>
      </c>
      <c r="I51" s="123" t="s">
        <v>51</v>
      </c>
      <c r="J51" s="60"/>
    </row>
    <row r="52" spans="1:10" ht="26.25" customHeight="1" x14ac:dyDescent="0.4">
      <c r="A52" s="61" t="s">
        <v>34</v>
      </c>
      <c r="B52" s="64">
        <v>5</v>
      </c>
      <c r="C52" s="115">
        <v>4.1840000000000002</v>
      </c>
      <c r="D52" s="68">
        <v>0</v>
      </c>
      <c r="E52" s="118">
        <f>IF(ISBLANK(B52),"-",C52-$D$56)</f>
        <v>4.1840000000000002</v>
      </c>
      <c r="F52" s="77">
        <f>IF(ISBLANK(B52), "-",E52*$G$38)</f>
        <v>4.156609141857782</v>
      </c>
      <c r="G52" s="92">
        <f>IF(ISBLANK(B52),"-",F52*$B$48)</f>
        <v>14.735179407885838</v>
      </c>
      <c r="H52" s="76">
        <f>IF(ISBLANK(B52),"-",G52*$B$46/B52)</f>
        <v>2947.0358815771679</v>
      </c>
      <c r="I52" s="103">
        <f>IF(ISBLANK(B52),"-",H52/$D$46)</f>
        <v>1.0055095525919679</v>
      </c>
      <c r="J52" s="98"/>
    </row>
    <row r="53" spans="1:10" ht="26.25" customHeight="1" x14ac:dyDescent="0.4">
      <c r="A53" s="62" t="s">
        <v>35</v>
      </c>
      <c r="B53" s="65">
        <v>5</v>
      </c>
      <c r="C53" s="116">
        <v>4.1779999999999999</v>
      </c>
      <c r="D53" s="69">
        <v>0</v>
      </c>
      <c r="E53" s="119">
        <f>IF(ISBLANK(B53),"-",C53-$D$56)</f>
        <v>4.1779999999999999</v>
      </c>
      <c r="F53" s="78">
        <f>IF(ISBLANK(B53), "-",E53*$G$38)</f>
        <v>4.1506484212910637</v>
      </c>
      <c r="G53" s="93">
        <f>IF(ISBLANK(B53),"-",F53*$B$48)</f>
        <v>14.714048653476821</v>
      </c>
      <c r="H53" s="96">
        <f>IF(ISBLANK(B53),"-",G53*$B$46/B53)</f>
        <v>2942.8097306953641</v>
      </c>
      <c r="I53" s="104">
        <f>IF(ISBLANK(B53),"-",H53/$D$46)</f>
        <v>1.0040676172871035</v>
      </c>
      <c r="J53" s="98"/>
    </row>
    <row r="54" spans="1:10" ht="26.25" customHeight="1" x14ac:dyDescent="0.4">
      <c r="A54" s="62" t="s">
        <v>36</v>
      </c>
      <c r="B54" s="65">
        <v>5</v>
      </c>
      <c r="C54" s="116">
        <v>4.1550000000000002</v>
      </c>
      <c r="D54" s="69">
        <v>0</v>
      </c>
      <c r="E54" s="119">
        <f>IF(ISBLANK(B54),"-",C54-$D$56)</f>
        <v>4.1550000000000002</v>
      </c>
      <c r="F54" s="78">
        <f>IF(ISBLANK(B54), "-",E54*$G$38)</f>
        <v>4.1277989924519796</v>
      </c>
      <c r="G54" s="93">
        <f>IF(ISBLANK(B54),"-",F54*$B$48)</f>
        <v>14.633047428242268</v>
      </c>
      <c r="H54" s="96">
        <f>IF(ISBLANK(B54),"-",G54*$B$46/B54)</f>
        <v>2926.6094856484533</v>
      </c>
      <c r="I54" s="104">
        <f>IF(ISBLANK(B54),"-",H54/$D$46)</f>
        <v>0.99854019861845744</v>
      </c>
      <c r="J54" s="98"/>
    </row>
    <row r="55" spans="1:10" ht="27" customHeight="1" thickBot="1" x14ac:dyDescent="0.45">
      <c r="A55" s="63" t="s">
        <v>37</v>
      </c>
      <c r="B55" s="66"/>
      <c r="C55" s="117"/>
      <c r="D55" s="70"/>
      <c r="E55" s="80" t="str">
        <f>IF(ISBLANK(B55),"-",C55-$D$56)</f>
        <v>-</v>
      </c>
      <c r="F55" s="79" t="str">
        <f>IF(ISBLANK(B55), "-",E55*$G$38)</f>
        <v>-</v>
      </c>
      <c r="G55" s="94" t="str">
        <f>IF(ISBLANK(B55),"-",F55*$B$48)</f>
        <v>-</v>
      </c>
      <c r="H55" s="106" t="str">
        <f>IF(ISBLANK(B55),"-",G55*$B$46/B55)</f>
        <v>-</v>
      </c>
      <c r="I55" s="104" t="str">
        <f>IF(ISBLANK(B55),"-",H55/$D$46)</f>
        <v>-</v>
      </c>
      <c r="J55" s="99"/>
    </row>
    <row r="56" spans="1:10" ht="26.25" customHeight="1" x14ac:dyDescent="0.4">
      <c r="C56" s="35" t="s">
        <v>38</v>
      </c>
      <c r="D56" s="67">
        <f>AVERAGE(D52:D55)</f>
        <v>0</v>
      </c>
      <c r="F56" s="35" t="s">
        <v>38</v>
      </c>
      <c r="G56" s="75">
        <f>AVERAGE(G52:G55)</f>
        <v>14.694091829868308</v>
      </c>
      <c r="H56" s="120">
        <f>AVERAGE(H52:H55)</f>
        <v>2938.8183659736619</v>
      </c>
      <c r="I56" s="105">
        <f>AVERAGE(I52:I55)</f>
        <v>1.0027057894991762</v>
      </c>
      <c r="J56" s="100"/>
    </row>
    <row r="57" spans="1:10" ht="26.25" customHeight="1" x14ac:dyDescent="0.4">
      <c r="B57" s="2" t="e">
        <f>#REF!</f>
        <v>#REF!</v>
      </c>
      <c r="C57" s="36" t="s">
        <v>17</v>
      </c>
      <c r="D57" s="37" t="str">
        <f>IF(D56=0,"-",STDEV(D52:D55)/D56)</f>
        <v>-</v>
      </c>
      <c r="F57" s="36" t="s">
        <v>17</v>
      </c>
      <c r="G57" s="95"/>
      <c r="H57" s="121">
        <f>STDEV(H52:H55)/H56</f>
        <v>3.6689182721755718E-3</v>
      </c>
      <c r="I57" s="72">
        <f>STDEV(I52:I55)/I56</f>
        <v>3.6689182721755219E-3</v>
      </c>
      <c r="J57" s="101"/>
    </row>
    <row r="58" spans="1:10" ht="27" customHeight="1" thickBot="1" x14ac:dyDescent="0.45">
      <c r="C58" s="38" t="s">
        <v>2</v>
      </c>
      <c r="D58" s="39">
        <f>COUNT(D52:D55)</f>
        <v>3</v>
      </c>
      <c r="F58" s="38" t="s">
        <v>2</v>
      </c>
      <c r="G58" s="73">
        <f>COUNT(G52:G55)</f>
        <v>3</v>
      </c>
      <c r="H58" s="122">
        <f>COUNT(H52:H55)</f>
        <v>3</v>
      </c>
      <c r="I58" s="73">
        <f>COUNT(I52:I55)</f>
        <v>3</v>
      </c>
      <c r="J58" s="102"/>
    </row>
    <row r="59" spans="1:10" ht="18.75" x14ac:dyDescent="0.3">
      <c r="H59" s="15"/>
      <c r="J59" s="41"/>
    </row>
    <row r="60" spans="1:10" ht="18.75" x14ac:dyDescent="0.3">
      <c r="H60" s="15"/>
    </row>
    <row r="61" spans="1:10" ht="19.5" customHeight="1" thickBot="1" x14ac:dyDescent="0.35">
      <c r="A61" s="6"/>
      <c r="B61" s="6"/>
      <c r="C61" s="17"/>
      <c r="D61" s="17"/>
      <c r="E61" s="17"/>
      <c r="F61" s="17"/>
      <c r="G61" s="17"/>
      <c r="H61" s="17"/>
    </row>
    <row r="62" spans="1:10" ht="18.75" x14ac:dyDescent="0.3">
      <c r="B62" s="432" t="s">
        <v>3</v>
      </c>
      <c r="C62" s="432"/>
      <c r="E62" s="129" t="s">
        <v>4</v>
      </c>
      <c r="F62" s="18"/>
      <c r="G62" s="432" t="s">
        <v>5</v>
      </c>
      <c r="H62" s="432"/>
    </row>
    <row r="63" spans="1:10" ht="83.25" customHeight="1" x14ac:dyDescent="0.3">
      <c r="A63" s="19" t="s">
        <v>6</v>
      </c>
      <c r="B63" s="128" t="s">
        <v>55</v>
      </c>
      <c r="C63" s="128"/>
      <c r="E63" s="20"/>
      <c r="F63" s="31"/>
      <c r="G63" s="20"/>
      <c r="H63" s="20"/>
    </row>
    <row r="64" spans="1:10" ht="84" customHeight="1" x14ac:dyDescent="0.3">
      <c r="A64" s="19" t="s">
        <v>7</v>
      </c>
      <c r="B64" s="21"/>
      <c r="C64" s="21"/>
      <c r="E64" s="22"/>
      <c r="F64" s="31"/>
      <c r="G64" s="23"/>
      <c r="H64" s="23"/>
    </row>
    <row r="65" spans="1:9" ht="18.75" x14ac:dyDescent="0.3">
      <c r="A65" s="15"/>
      <c r="B65" s="15"/>
      <c r="C65" s="15"/>
      <c r="D65" s="15"/>
      <c r="E65" s="15"/>
      <c r="F65" s="16"/>
      <c r="G65" s="15"/>
      <c r="H65" s="15"/>
      <c r="I65" s="41"/>
    </row>
    <row r="66" spans="1:9" ht="18.75" x14ac:dyDescent="0.3">
      <c r="A66" s="15"/>
      <c r="B66" s="15"/>
      <c r="C66" s="15"/>
      <c r="D66" s="15"/>
      <c r="E66" s="15"/>
      <c r="F66" s="16"/>
      <c r="G66" s="15"/>
      <c r="H66" s="15"/>
      <c r="I66" s="41"/>
    </row>
    <row r="67" spans="1:9" ht="18.75" x14ac:dyDescent="0.3">
      <c r="A67" s="15"/>
      <c r="B67" s="15"/>
      <c r="C67" s="15"/>
      <c r="D67" s="15"/>
      <c r="E67" s="15"/>
      <c r="F67" s="16"/>
      <c r="G67" s="15"/>
      <c r="H67" s="15"/>
      <c r="I67" s="41"/>
    </row>
    <row r="68" spans="1:9" ht="18.75" x14ac:dyDescent="0.3">
      <c r="A68" s="15"/>
      <c r="B68" s="15"/>
      <c r="C68" s="15"/>
      <c r="D68" s="15"/>
      <c r="E68" s="15"/>
      <c r="F68" s="16"/>
      <c r="G68" s="15"/>
      <c r="H68" s="15"/>
      <c r="I68" s="41"/>
    </row>
    <row r="69" spans="1:9" ht="18.75" x14ac:dyDescent="0.3">
      <c r="A69" s="15"/>
      <c r="B69" s="15"/>
      <c r="C69" s="15"/>
      <c r="D69" s="15"/>
      <c r="E69" s="15"/>
      <c r="F69" s="16"/>
      <c r="G69" s="15"/>
      <c r="H69" s="15"/>
      <c r="I69" s="41"/>
    </row>
    <row r="70" spans="1:9" ht="18.75" x14ac:dyDescent="0.3">
      <c r="A70" s="15"/>
      <c r="B70" s="15"/>
      <c r="C70" s="15"/>
      <c r="D70" s="15"/>
      <c r="E70" s="15"/>
      <c r="F70" s="16"/>
      <c r="G70" s="15"/>
      <c r="H70" s="15"/>
      <c r="I70" s="41"/>
    </row>
    <row r="71" spans="1:9" ht="18.75" x14ac:dyDescent="0.3">
      <c r="A71" s="15"/>
      <c r="B71" s="15"/>
      <c r="C71" s="15"/>
      <c r="D71" s="15"/>
      <c r="E71" s="15"/>
      <c r="F71" s="16"/>
      <c r="G71" s="15"/>
      <c r="H71" s="15"/>
      <c r="I71" s="41"/>
    </row>
    <row r="72" spans="1:9" ht="18.75" x14ac:dyDescent="0.3">
      <c r="A72" s="15"/>
      <c r="B72" s="15"/>
      <c r="C72" s="15"/>
      <c r="D72" s="15"/>
      <c r="E72" s="15"/>
      <c r="F72" s="16"/>
      <c r="G72" s="15"/>
      <c r="H72" s="15"/>
      <c r="I72" s="41"/>
    </row>
    <row r="73" spans="1:9" ht="18.75" x14ac:dyDescent="0.3">
      <c r="A73" s="15"/>
      <c r="B73" s="15"/>
      <c r="C73" s="15"/>
      <c r="D73" s="15"/>
      <c r="E73" s="15"/>
      <c r="F73" s="16"/>
      <c r="G73" s="15"/>
      <c r="H73" s="15"/>
      <c r="I73" s="41"/>
    </row>
    <row r="250" spans="1:1" x14ac:dyDescent="0.3">
      <c r="A250" s="2">
        <v>0</v>
      </c>
    </row>
  </sheetData>
  <sheetProtection password="F258" sheet="1" formatColumns="0" formatRows="0" insertColumns="0" insertHyperlinks="0" deleteColumns="0" deleteRows="0" autoFilter="0" pivotTables="0"/>
  <mergeCells count="7">
    <mergeCell ref="B62:C62"/>
    <mergeCell ref="G62:H62"/>
    <mergeCell ref="A1:I7"/>
    <mergeCell ref="A8:I14"/>
    <mergeCell ref="A16:H16"/>
    <mergeCell ref="A17:H17"/>
    <mergeCell ref="G50:H50"/>
  </mergeCells>
  <conditionalFormatting sqref="E39">
    <cfRule type="cellIs" dxfId="11" priority="1" operator="greaterThan">
      <formula>0.002</formula>
    </cfRule>
  </conditionalFormatting>
  <conditionalFormatting sqref="F39">
    <cfRule type="cellIs" dxfId="10" priority="2" operator="greaterThan">
      <formula>0.002</formula>
    </cfRule>
  </conditionalFormatting>
  <conditionalFormatting sqref="G57">
    <cfRule type="cellIs" dxfId="9" priority="3" operator="greaterThan">
      <formula>0.02</formula>
    </cfRule>
  </conditionalFormatting>
  <conditionalFormatting sqref="H57">
    <cfRule type="cellIs" dxfId="8" priority="4" operator="greaterThan">
      <formula>0.02</formula>
    </cfRule>
  </conditionalFormatting>
  <conditionalFormatting sqref="I57">
    <cfRule type="cellIs" dxfId="7" priority="5" operator="greaterThan">
      <formula>0.02</formula>
    </cfRule>
  </conditionalFormatting>
  <conditionalFormatting sqref="J57">
    <cfRule type="cellIs" dxfId="6" priority="6" operator="greaterThan">
      <formula>0.02</formula>
    </cfRule>
  </conditionalFormatting>
  <conditionalFormatting sqref="F38">
    <cfRule type="cellIs" dxfId="5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16" orientation="portrait" r:id="rId1"/>
  <headerFooter alignWithMargins="0">
    <oddHeader>&amp;LVer 1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50"/>
  <sheetViews>
    <sheetView view="pageBreakPreview" topLeftCell="A25" zoomScale="55" zoomScaleNormal="55" workbookViewId="0">
      <selection activeCell="B52" sqref="B52"/>
    </sheetView>
  </sheetViews>
  <sheetFormatPr defaultRowHeight="13.5" x14ac:dyDescent="0.25"/>
  <cols>
    <col min="1" max="1" width="58.5703125" style="131" customWidth="1"/>
    <col min="2" max="2" width="34.28515625" style="131" customWidth="1"/>
    <col min="3" max="3" width="43.140625" style="131" customWidth="1"/>
    <col min="4" max="4" width="23.140625" style="131" customWidth="1"/>
    <col min="5" max="5" width="34.85546875" style="131" customWidth="1"/>
    <col min="6" max="6" width="21.5703125" style="131" customWidth="1"/>
    <col min="7" max="8" width="23.85546875" style="131" customWidth="1"/>
    <col min="9" max="9" width="23" style="131" customWidth="1"/>
    <col min="10" max="10" width="9" style="131" customWidth="1"/>
    <col min="11" max="16384" width="9.140625" style="194"/>
  </cols>
  <sheetData>
    <row r="1" spans="1:9" ht="14.25" customHeight="1" x14ac:dyDescent="0.25">
      <c r="A1" s="457" t="s">
        <v>56</v>
      </c>
      <c r="B1" s="457"/>
      <c r="C1" s="457"/>
      <c r="D1" s="457"/>
      <c r="E1" s="457"/>
      <c r="F1" s="457"/>
      <c r="G1" s="457"/>
      <c r="H1" s="457"/>
      <c r="I1" s="457"/>
    </row>
    <row r="2" spans="1:9" ht="14.25" customHeight="1" x14ac:dyDescent="0.25">
      <c r="A2" s="457"/>
      <c r="B2" s="457"/>
      <c r="C2" s="457"/>
      <c r="D2" s="457"/>
      <c r="E2" s="457"/>
      <c r="F2" s="457"/>
      <c r="G2" s="457"/>
      <c r="H2" s="457"/>
      <c r="I2" s="457"/>
    </row>
    <row r="3" spans="1:9" ht="14.25" customHeight="1" x14ac:dyDescent="0.25">
      <c r="A3" s="457"/>
      <c r="B3" s="457"/>
      <c r="C3" s="457"/>
      <c r="D3" s="457"/>
      <c r="E3" s="457"/>
      <c r="F3" s="457"/>
      <c r="G3" s="457"/>
      <c r="H3" s="457"/>
      <c r="I3" s="457"/>
    </row>
    <row r="4" spans="1:9" ht="14.25" customHeight="1" x14ac:dyDescent="0.25">
      <c r="A4" s="457"/>
      <c r="B4" s="457"/>
      <c r="C4" s="457"/>
      <c r="D4" s="457"/>
      <c r="E4" s="457"/>
      <c r="F4" s="457"/>
      <c r="G4" s="457"/>
      <c r="H4" s="457"/>
      <c r="I4" s="457"/>
    </row>
    <row r="5" spans="1:9" ht="14.25" customHeight="1" x14ac:dyDescent="0.25">
      <c r="A5" s="457"/>
      <c r="B5" s="457"/>
      <c r="C5" s="457"/>
      <c r="D5" s="457"/>
      <c r="E5" s="457"/>
      <c r="F5" s="457"/>
      <c r="G5" s="457"/>
      <c r="H5" s="457"/>
      <c r="I5" s="457"/>
    </row>
    <row r="6" spans="1:9" ht="14.25" customHeight="1" x14ac:dyDescent="0.25">
      <c r="A6" s="457"/>
      <c r="B6" s="457"/>
      <c r="C6" s="457"/>
      <c r="D6" s="457"/>
      <c r="E6" s="457"/>
      <c r="F6" s="457"/>
      <c r="G6" s="457"/>
      <c r="H6" s="457"/>
      <c r="I6" s="457"/>
    </row>
    <row r="7" spans="1:9" ht="14.25" customHeight="1" x14ac:dyDescent="0.25">
      <c r="A7" s="457"/>
      <c r="B7" s="457"/>
      <c r="C7" s="457"/>
      <c r="D7" s="457"/>
      <c r="E7" s="457"/>
      <c r="F7" s="457"/>
      <c r="G7" s="457"/>
      <c r="H7" s="457"/>
      <c r="I7" s="457"/>
    </row>
    <row r="8" spans="1:9" ht="14.25" customHeight="1" x14ac:dyDescent="0.25">
      <c r="A8" s="458" t="s">
        <v>15</v>
      </c>
      <c r="B8" s="458"/>
      <c r="C8" s="458"/>
      <c r="D8" s="458"/>
      <c r="E8" s="458"/>
      <c r="F8" s="458"/>
      <c r="G8" s="458"/>
      <c r="H8" s="458"/>
      <c r="I8" s="458"/>
    </row>
    <row r="9" spans="1:9" ht="14.25" customHeight="1" x14ac:dyDescent="0.25">
      <c r="A9" s="458"/>
      <c r="B9" s="458"/>
      <c r="C9" s="458"/>
      <c r="D9" s="458"/>
      <c r="E9" s="458"/>
      <c r="F9" s="458"/>
      <c r="G9" s="458"/>
      <c r="H9" s="458"/>
      <c r="I9" s="458"/>
    </row>
    <row r="10" spans="1:9" ht="14.25" customHeight="1" x14ac:dyDescent="0.25">
      <c r="A10" s="458"/>
      <c r="B10" s="458"/>
      <c r="C10" s="458"/>
      <c r="D10" s="458"/>
      <c r="E10" s="458"/>
      <c r="F10" s="458"/>
      <c r="G10" s="458"/>
      <c r="H10" s="458"/>
      <c r="I10" s="458"/>
    </row>
    <row r="11" spans="1:9" ht="14.25" customHeight="1" x14ac:dyDescent="0.25">
      <c r="A11" s="458"/>
      <c r="B11" s="458"/>
      <c r="C11" s="458"/>
      <c r="D11" s="458"/>
      <c r="E11" s="458"/>
      <c r="F11" s="458"/>
      <c r="G11" s="458"/>
      <c r="H11" s="458"/>
      <c r="I11" s="458"/>
    </row>
    <row r="12" spans="1:9" ht="14.25" customHeight="1" x14ac:dyDescent="0.25">
      <c r="A12" s="458"/>
      <c r="B12" s="458"/>
      <c r="C12" s="458"/>
      <c r="D12" s="458"/>
      <c r="E12" s="458"/>
      <c r="F12" s="458"/>
      <c r="G12" s="458"/>
      <c r="H12" s="458"/>
      <c r="I12" s="458"/>
    </row>
    <row r="13" spans="1:9" ht="14.25" customHeight="1" x14ac:dyDescent="0.25">
      <c r="A13" s="458"/>
      <c r="B13" s="458"/>
      <c r="C13" s="458"/>
      <c r="D13" s="458"/>
      <c r="E13" s="458"/>
      <c r="F13" s="458"/>
      <c r="G13" s="458"/>
      <c r="H13" s="458"/>
      <c r="I13" s="458"/>
    </row>
    <row r="14" spans="1:9" ht="14.25" customHeight="1" x14ac:dyDescent="0.25">
      <c r="A14" s="458"/>
      <c r="B14" s="458"/>
      <c r="C14" s="458"/>
      <c r="D14" s="458"/>
      <c r="E14" s="458"/>
      <c r="F14" s="458"/>
      <c r="G14" s="458"/>
      <c r="H14" s="458"/>
      <c r="I14" s="458"/>
    </row>
    <row r="15" spans="1:9" ht="18.75" customHeight="1" x14ac:dyDescent="0.3">
      <c r="A15" s="132"/>
      <c r="B15" s="132"/>
      <c r="C15" s="132"/>
      <c r="D15" s="132"/>
      <c r="E15" s="132"/>
      <c r="F15" s="132"/>
      <c r="G15" s="132"/>
      <c r="H15" s="132"/>
    </row>
    <row r="16" spans="1:9" ht="18.75" customHeight="1" x14ac:dyDescent="0.3">
      <c r="A16" s="459" t="s">
        <v>8</v>
      </c>
      <c r="B16" s="460"/>
      <c r="C16" s="460"/>
      <c r="D16" s="460"/>
      <c r="E16" s="460"/>
      <c r="F16" s="460"/>
      <c r="G16" s="460"/>
      <c r="H16" s="460"/>
      <c r="I16" s="460"/>
    </row>
    <row r="17" spans="1:9" ht="18.75" customHeight="1" x14ac:dyDescent="0.3">
      <c r="A17" s="133" t="s">
        <v>16</v>
      </c>
      <c r="B17" s="133"/>
      <c r="C17" s="132"/>
      <c r="D17" s="132"/>
      <c r="E17" s="132"/>
      <c r="F17" s="132"/>
      <c r="G17" s="132"/>
      <c r="H17" s="132"/>
    </row>
    <row r="18" spans="1:9" ht="26.25" customHeight="1" x14ac:dyDescent="0.4">
      <c r="A18" s="134" t="s">
        <v>9</v>
      </c>
      <c r="B18" s="461" t="s">
        <v>54</v>
      </c>
      <c r="C18" s="461"/>
      <c r="D18" s="461"/>
      <c r="E18" s="461"/>
      <c r="F18" s="132"/>
      <c r="G18" s="132"/>
      <c r="H18" s="132"/>
    </row>
    <row r="19" spans="1:9" ht="26.25" customHeight="1" x14ac:dyDescent="0.4">
      <c r="A19" s="134" t="s">
        <v>10</v>
      </c>
      <c r="B19" s="135" t="s">
        <v>53</v>
      </c>
      <c r="C19" s="136">
        <v>30</v>
      </c>
      <c r="D19" s="137"/>
      <c r="E19" s="137"/>
      <c r="F19" s="132"/>
      <c r="G19" s="132"/>
      <c r="H19" s="132"/>
    </row>
    <row r="20" spans="1:9" ht="26.25" customHeight="1" x14ac:dyDescent="0.4">
      <c r="A20" s="134" t="s">
        <v>11</v>
      </c>
      <c r="B20" s="135" t="s">
        <v>57</v>
      </c>
      <c r="C20" s="137"/>
      <c r="D20" s="137"/>
      <c r="E20" s="137"/>
      <c r="F20" s="132"/>
      <c r="G20" s="132"/>
      <c r="H20" s="132"/>
    </row>
    <row r="21" spans="1:9" ht="26.25" customHeight="1" x14ac:dyDescent="0.4">
      <c r="A21" s="134" t="s">
        <v>12</v>
      </c>
      <c r="B21" s="462" t="s">
        <v>58</v>
      </c>
      <c r="C21" s="462"/>
      <c r="D21" s="462"/>
      <c r="E21" s="462"/>
      <c r="F21" s="462"/>
      <c r="G21" s="462"/>
      <c r="H21" s="462"/>
    </row>
    <row r="22" spans="1:9" ht="26.25" customHeight="1" x14ac:dyDescent="0.4">
      <c r="A22" s="134" t="s">
        <v>13</v>
      </c>
      <c r="B22" s="138">
        <v>42963</v>
      </c>
      <c r="C22" s="137"/>
      <c r="D22" s="137"/>
      <c r="E22" s="137"/>
      <c r="F22" s="132"/>
      <c r="G22" s="132"/>
      <c r="H22" s="132"/>
    </row>
    <row r="23" spans="1:9" ht="26.25" customHeight="1" x14ac:dyDescent="0.4">
      <c r="A23" s="134" t="s">
        <v>14</v>
      </c>
      <c r="B23" s="139">
        <v>43060</v>
      </c>
      <c r="C23" s="137"/>
      <c r="D23" s="137"/>
      <c r="E23" s="137"/>
      <c r="F23" s="132"/>
      <c r="G23" s="132"/>
      <c r="H23" s="132"/>
    </row>
    <row r="24" spans="1:9" ht="18.75" customHeight="1" x14ac:dyDescent="0.3">
      <c r="A24" s="134"/>
      <c r="B24" s="140"/>
      <c r="C24" s="132"/>
      <c r="D24" s="132"/>
      <c r="E24" s="132"/>
      <c r="F24" s="132"/>
      <c r="G24" s="132"/>
      <c r="H24" s="132"/>
    </row>
    <row r="25" spans="1:9" ht="18.75" customHeight="1" x14ac:dyDescent="0.3">
      <c r="A25" s="132"/>
      <c r="B25" s="132"/>
      <c r="C25" s="132"/>
      <c r="D25" s="132"/>
      <c r="E25" s="132"/>
      <c r="F25" s="132"/>
      <c r="G25" s="132"/>
      <c r="H25" s="132"/>
    </row>
    <row r="26" spans="1:9" ht="18.75" customHeight="1" x14ac:dyDescent="0.3">
      <c r="A26" s="133" t="s">
        <v>0</v>
      </c>
      <c r="B26" s="141"/>
      <c r="C26" s="132"/>
      <c r="D26" s="132"/>
      <c r="E26" s="132"/>
      <c r="F26" s="132"/>
      <c r="G26" s="132"/>
      <c r="H26" s="132"/>
    </row>
    <row r="27" spans="1:9" ht="18.75" customHeight="1" x14ac:dyDescent="0.3">
      <c r="A27" s="132" t="s">
        <v>19</v>
      </c>
      <c r="B27" s="137"/>
      <c r="C27" s="132"/>
      <c r="D27" s="132"/>
      <c r="E27" s="132"/>
      <c r="F27" s="132"/>
      <c r="G27" s="132"/>
      <c r="H27" s="132"/>
    </row>
    <row r="28" spans="1:9" ht="26.25" customHeight="1" x14ac:dyDescent="0.4">
      <c r="A28" s="142" t="s">
        <v>39</v>
      </c>
      <c r="B28" s="143">
        <v>1</v>
      </c>
      <c r="C28" s="144" t="s">
        <v>40</v>
      </c>
      <c r="D28" s="145">
        <v>480</v>
      </c>
      <c r="E28" s="132" t="str">
        <f>B20</f>
        <v xml:space="preserve">Glucose </v>
      </c>
      <c r="F28" s="132"/>
      <c r="G28" s="132"/>
      <c r="H28" s="144"/>
    </row>
    <row r="29" spans="1:9" ht="26.25" customHeight="1" x14ac:dyDescent="0.4">
      <c r="A29" s="142" t="s">
        <v>59</v>
      </c>
      <c r="B29" s="146">
        <f>52.9*0.1745</f>
        <v>9.2310499999999998</v>
      </c>
      <c r="C29" s="144"/>
      <c r="D29" s="147"/>
      <c r="E29" s="132"/>
      <c r="F29" s="132"/>
      <c r="G29" s="132"/>
      <c r="H29" s="144"/>
    </row>
    <row r="30" spans="1:9" ht="19.5" customHeight="1" thickBot="1" x14ac:dyDescent="0.35">
      <c r="A30" s="132"/>
      <c r="B30" s="132"/>
      <c r="C30" s="132"/>
      <c r="D30" s="132"/>
      <c r="E30" s="132"/>
      <c r="F30" s="132"/>
      <c r="G30" s="132"/>
      <c r="H30" s="144"/>
    </row>
    <row r="31" spans="1:9" ht="27" customHeight="1" thickBot="1" x14ac:dyDescent="0.45">
      <c r="A31" s="148" t="s">
        <v>60</v>
      </c>
      <c r="B31" s="149">
        <v>100</v>
      </c>
      <c r="C31" s="132"/>
      <c r="D31" s="150" t="s">
        <v>61</v>
      </c>
      <c r="E31" s="151" t="s">
        <v>62</v>
      </c>
      <c r="F31" s="151" t="s">
        <v>63</v>
      </c>
      <c r="G31" s="151" t="s">
        <v>64</v>
      </c>
      <c r="H31" s="151" t="s">
        <v>65</v>
      </c>
      <c r="I31" s="152" t="s">
        <v>66</v>
      </c>
    </row>
    <row r="32" spans="1:9" ht="26.25" customHeight="1" x14ac:dyDescent="0.4">
      <c r="A32" s="153" t="s">
        <v>67</v>
      </c>
      <c r="B32" s="154">
        <v>1</v>
      </c>
      <c r="C32" s="442" t="s">
        <v>68</v>
      </c>
      <c r="D32" s="449">
        <v>10</v>
      </c>
      <c r="E32" s="155">
        <v>1</v>
      </c>
      <c r="F32" s="156">
        <v>5</v>
      </c>
      <c r="G32" s="157">
        <f t="shared" ref="G32:G43" si="0">IF(ISBLANK(F32),"-",(F32*$B$29)*$B$40)</f>
        <v>4615.5249999999996</v>
      </c>
      <c r="H32" s="158">
        <f>IF(ISBLANK(F32),"-",(G32*($B$28/$D$32)))</f>
        <v>461.55250000000001</v>
      </c>
      <c r="I32" s="159">
        <f t="shared" ref="I32:I43" si="1">IF(ISBLANK(F32),"-",H32/$D$28)</f>
        <v>0.96156770833333338</v>
      </c>
    </row>
    <row r="33" spans="1:9" ht="26.25" customHeight="1" x14ac:dyDescent="0.4">
      <c r="A33" s="153" t="s">
        <v>69</v>
      </c>
      <c r="B33" s="154">
        <v>1</v>
      </c>
      <c r="C33" s="443"/>
      <c r="D33" s="450"/>
      <c r="E33" s="160">
        <v>2</v>
      </c>
      <c r="F33" s="161">
        <v>5</v>
      </c>
      <c r="G33" s="162">
        <f t="shared" si="0"/>
        <v>4615.5249999999996</v>
      </c>
      <c r="H33" s="163">
        <f>IF(ISBLANK(F33),"-",(G33*($B$28/$D$32)))</f>
        <v>461.55250000000001</v>
      </c>
      <c r="I33" s="164">
        <f t="shared" si="1"/>
        <v>0.96156770833333338</v>
      </c>
    </row>
    <row r="34" spans="1:9" ht="26.25" customHeight="1" x14ac:dyDescent="0.4">
      <c r="A34" s="153" t="s">
        <v>70</v>
      </c>
      <c r="B34" s="154">
        <v>1</v>
      </c>
      <c r="C34" s="443"/>
      <c r="D34" s="450"/>
      <c r="E34" s="160">
        <v>3</v>
      </c>
      <c r="F34" s="161">
        <v>5</v>
      </c>
      <c r="G34" s="162">
        <f t="shared" si="0"/>
        <v>4615.5249999999996</v>
      </c>
      <c r="H34" s="163">
        <f>IF(ISBLANK(F34),"-",(G34*($B$28/$D$32)))</f>
        <v>461.55250000000001</v>
      </c>
      <c r="I34" s="164">
        <f t="shared" si="1"/>
        <v>0.96156770833333338</v>
      </c>
    </row>
    <row r="35" spans="1:9" ht="27" customHeight="1" thickBot="1" x14ac:dyDescent="0.45">
      <c r="A35" s="153" t="s">
        <v>71</v>
      </c>
      <c r="B35" s="154">
        <v>1</v>
      </c>
      <c r="C35" s="444"/>
      <c r="D35" s="451"/>
      <c r="E35" s="165">
        <v>4</v>
      </c>
      <c r="F35" s="166"/>
      <c r="G35" s="162" t="str">
        <f t="shared" si="0"/>
        <v>-</v>
      </c>
      <c r="H35" s="167" t="str">
        <f>IF(ISBLANK(F35),"-",(G35*($B$28/$D$32)))</f>
        <v>-</v>
      </c>
      <c r="I35" s="164" t="str">
        <f t="shared" si="1"/>
        <v>-</v>
      </c>
    </row>
    <row r="36" spans="1:9" ht="26.25" customHeight="1" x14ac:dyDescent="0.4">
      <c r="A36" s="153" t="s">
        <v>72</v>
      </c>
      <c r="B36" s="154">
        <v>1</v>
      </c>
      <c r="C36" s="442" t="s">
        <v>73</v>
      </c>
      <c r="D36" s="445">
        <v>10</v>
      </c>
      <c r="E36" s="155">
        <v>1</v>
      </c>
      <c r="F36" s="156">
        <v>5</v>
      </c>
      <c r="G36" s="157">
        <f t="shared" si="0"/>
        <v>4615.5249999999996</v>
      </c>
      <c r="H36" s="168">
        <f>IF(ISBLANK(F36),"-",(G36*($B$28/$D$36)))</f>
        <v>461.55250000000001</v>
      </c>
      <c r="I36" s="159">
        <f t="shared" si="1"/>
        <v>0.96156770833333338</v>
      </c>
    </row>
    <row r="37" spans="1:9" ht="26.25" customHeight="1" x14ac:dyDescent="0.4">
      <c r="A37" s="153" t="s">
        <v>74</v>
      </c>
      <c r="B37" s="154">
        <v>1</v>
      </c>
      <c r="C37" s="443"/>
      <c r="D37" s="446"/>
      <c r="E37" s="160">
        <v>2</v>
      </c>
      <c r="F37" s="161">
        <v>5</v>
      </c>
      <c r="G37" s="162">
        <f t="shared" si="0"/>
        <v>4615.5249999999996</v>
      </c>
      <c r="H37" s="168">
        <f>IF(ISBLANK(F37),"-",(G37*($B$28/$D$36)))</f>
        <v>461.55250000000001</v>
      </c>
      <c r="I37" s="164">
        <f t="shared" si="1"/>
        <v>0.96156770833333338</v>
      </c>
    </row>
    <row r="38" spans="1:9" ht="26.25" customHeight="1" x14ac:dyDescent="0.4">
      <c r="A38" s="153" t="s">
        <v>75</v>
      </c>
      <c r="B38" s="154">
        <v>1</v>
      </c>
      <c r="C38" s="443"/>
      <c r="D38" s="446"/>
      <c r="E38" s="160">
        <v>3</v>
      </c>
      <c r="F38" s="161">
        <v>5</v>
      </c>
      <c r="G38" s="162">
        <f t="shared" si="0"/>
        <v>4615.5249999999996</v>
      </c>
      <c r="H38" s="168">
        <f>IF(ISBLANK(F38),"-",(G38*($B$28/$D$36)))</f>
        <v>461.55250000000001</v>
      </c>
      <c r="I38" s="164">
        <f t="shared" si="1"/>
        <v>0.96156770833333338</v>
      </c>
    </row>
    <row r="39" spans="1:9" ht="27" customHeight="1" thickBot="1" x14ac:dyDescent="0.45">
      <c r="A39" s="153" t="s">
        <v>76</v>
      </c>
      <c r="B39" s="154">
        <v>1</v>
      </c>
      <c r="C39" s="444"/>
      <c r="D39" s="447"/>
      <c r="E39" s="165">
        <v>4</v>
      </c>
      <c r="F39" s="166"/>
      <c r="G39" s="169" t="str">
        <f t="shared" si="0"/>
        <v>-</v>
      </c>
      <c r="H39" s="168" t="str">
        <f>IF(ISBLANK(F39),"-",(G39*($B$28/$D$36)))</f>
        <v>-</v>
      </c>
      <c r="I39" s="170" t="str">
        <f t="shared" si="1"/>
        <v>-</v>
      </c>
    </row>
    <row r="40" spans="1:9" ht="26.25" customHeight="1" x14ac:dyDescent="0.4">
      <c r="A40" s="153" t="s">
        <v>77</v>
      </c>
      <c r="B40" s="171">
        <f>(B39/B38)*(B37/B36)*(B35/B34)*(B33/B32)*B31</f>
        <v>100</v>
      </c>
      <c r="C40" s="442" t="s">
        <v>78</v>
      </c>
      <c r="D40" s="449">
        <v>10</v>
      </c>
      <c r="E40" s="155">
        <v>1</v>
      </c>
      <c r="F40" s="156">
        <v>5</v>
      </c>
      <c r="G40" s="162">
        <f t="shared" si="0"/>
        <v>4615.5249999999996</v>
      </c>
      <c r="H40" s="158">
        <f>IF(ISBLANK(F40),"-",(G40*($B$28/$D$40)))</f>
        <v>461.55250000000001</v>
      </c>
      <c r="I40" s="164">
        <f t="shared" si="1"/>
        <v>0.96156770833333338</v>
      </c>
    </row>
    <row r="41" spans="1:9" ht="27" customHeight="1" thickBot="1" x14ac:dyDescent="0.45">
      <c r="A41" s="172"/>
      <c r="B41" s="173"/>
      <c r="C41" s="443"/>
      <c r="D41" s="450"/>
      <c r="E41" s="160">
        <v>2</v>
      </c>
      <c r="F41" s="161">
        <v>5</v>
      </c>
      <c r="G41" s="162">
        <f t="shared" si="0"/>
        <v>4615.5249999999996</v>
      </c>
      <c r="H41" s="163">
        <f>IF(ISBLANK(F41),"-",(G41*($B$28/$D$40)))</f>
        <v>461.55250000000001</v>
      </c>
      <c r="I41" s="164">
        <f t="shared" si="1"/>
        <v>0.96156770833333338</v>
      </c>
    </row>
    <row r="42" spans="1:9" ht="26.25" customHeight="1" x14ac:dyDescent="0.4">
      <c r="A42" s="452" t="s">
        <v>79</v>
      </c>
      <c r="B42" s="453"/>
      <c r="C42" s="443"/>
      <c r="D42" s="450"/>
      <c r="E42" s="160">
        <v>3</v>
      </c>
      <c r="F42" s="161">
        <v>5</v>
      </c>
      <c r="G42" s="162">
        <f t="shared" si="0"/>
        <v>4615.5249999999996</v>
      </c>
      <c r="H42" s="163">
        <f>IF(ISBLANK(F42),"-",(G42*($B$28/$D$40)))</f>
        <v>461.55250000000001</v>
      </c>
      <c r="I42" s="164">
        <f t="shared" si="1"/>
        <v>0.96156770833333338</v>
      </c>
    </row>
    <row r="43" spans="1:9" ht="27" customHeight="1" thickBot="1" x14ac:dyDescent="0.45">
      <c r="A43" s="454"/>
      <c r="B43" s="455"/>
      <c r="C43" s="448"/>
      <c r="D43" s="451"/>
      <c r="E43" s="165">
        <v>4</v>
      </c>
      <c r="F43" s="174"/>
      <c r="G43" s="169" t="str">
        <f t="shared" si="0"/>
        <v>-</v>
      </c>
      <c r="H43" s="167" t="str">
        <f>IF(ISBLANK(F43),"-",(G43*($B$28/$D$40)))</f>
        <v>-</v>
      </c>
      <c r="I43" s="170" t="str">
        <f t="shared" si="1"/>
        <v>-</v>
      </c>
    </row>
    <row r="44" spans="1:9" ht="26.25" customHeight="1" x14ac:dyDescent="0.4">
      <c r="A44" s="144"/>
      <c r="B44" s="144"/>
      <c r="C44" s="144"/>
      <c r="D44" s="144"/>
      <c r="E44" s="144"/>
      <c r="F44" s="144"/>
      <c r="G44" s="175" t="s">
        <v>80</v>
      </c>
      <c r="H44" s="176">
        <f>AVERAGE(H32:H43)</f>
        <v>461.5524999999999</v>
      </c>
      <c r="I44" s="176">
        <f>AVERAGE(I32:I43)</f>
        <v>0.9615677083333336</v>
      </c>
    </row>
    <row r="45" spans="1:9" ht="26.25" customHeight="1" x14ac:dyDescent="0.4">
      <c r="A45" s="132"/>
      <c r="B45" s="132"/>
      <c r="C45" s="144"/>
      <c r="D45" s="144"/>
      <c r="E45" s="144"/>
      <c r="F45" s="144"/>
      <c r="G45" s="177" t="s">
        <v>17</v>
      </c>
      <c r="H45" s="178">
        <f>STDEV(H32:H43)/H44</f>
        <v>2.6125543860538928E-16</v>
      </c>
      <c r="I45" s="178">
        <f>STDEV(I32:I43)/I44</f>
        <v>2.4492697369255236E-16</v>
      </c>
    </row>
    <row r="46" spans="1:9" ht="27" customHeight="1" thickBot="1" x14ac:dyDescent="0.45">
      <c r="A46" s="144"/>
      <c r="B46" s="144"/>
      <c r="C46" s="144"/>
      <c r="D46" s="144"/>
      <c r="E46" s="179"/>
      <c r="F46" s="144"/>
      <c r="G46" s="180" t="s">
        <v>2</v>
      </c>
      <c r="H46" s="181">
        <f>COUNT(H32:H43)</f>
        <v>9</v>
      </c>
      <c r="I46" s="181">
        <f>COUNT(I32:I43)</f>
        <v>9</v>
      </c>
    </row>
    <row r="47" spans="1:9" ht="18.75" customHeight="1" x14ac:dyDescent="0.3">
      <c r="A47" s="144"/>
      <c r="B47" s="144"/>
      <c r="C47" s="144"/>
      <c r="D47" s="144"/>
      <c r="E47" s="144"/>
      <c r="F47" s="179"/>
      <c r="G47" s="144"/>
      <c r="H47" s="144"/>
    </row>
    <row r="48" spans="1:9" ht="26.25" customHeight="1" x14ac:dyDescent="0.4">
      <c r="A48" s="182" t="s">
        <v>81</v>
      </c>
      <c r="B48" s="142" t="s">
        <v>82</v>
      </c>
      <c r="C48" s="456" t="str">
        <f>B20</f>
        <v xml:space="preserve">Glucose </v>
      </c>
      <c r="D48" s="456"/>
      <c r="E48" s="132" t="s">
        <v>83</v>
      </c>
      <c r="F48" s="132"/>
      <c r="G48" s="183">
        <f>I44</f>
        <v>0.9615677083333336</v>
      </c>
      <c r="H48" s="144"/>
    </row>
    <row r="49" spans="1:8" ht="19.5" customHeight="1" thickBot="1" x14ac:dyDescent="0.35">
      <c r="A49" s="184"/>
      <c r="B49" s="185"/>
      <c r="C49" s="185"/>
      <c r="D49" s="185"/>
      <c r="E49" s="185"/>
      <c r="F49" s="185"/>
      <c r="G49" s="185"/>
      <c r="H49" s="185"/>
    </row>
    <row r="50" spans="1:8" ht="18.75" customHeight="1" x14ac:dyDescent="0.3">
      <c r="A50" s="132"/>
      <c r="B50" s="441" t="s">
        <v>3</v>
      </c>
      <c r="C50" s="441"/>
      <c r="D50" s="144"/>
      <c r="E50" s="186" t="s">
        <v>4</v>
      </c>
      <c r="F50" s="132"/>
      <c r="G50" s="441" t="s">
        <v>5</v>
      </c>
      <c r="H50" s="441"/>
    </row>
    <row r="51" spans="1:8" ht="60" customHeight="1" x14ac:dyDescent="0.3">
      <c r="A51" s="182" t="s">
        <v>6</v>
      </c>
      <c r="B51" s="187" t="s">
        <v>176</v>
      </c>
      <c r="C51" s="187"/>
      <c r="D51" s="188"/>
      <c r="E51" s="187"/>
      <c r="F51" s="132"/>
      <c r="G51" s="189"/>
      <c r="H51" s="189"/>
    </row>
    <row r="52" spans="1:8" ht="60" customHeight="1" x14ac:dyDescent="0.3">
      <c r="A52" s="182" t="s">
        <v>7</v>
      </c>
      <c r="B52" s="190"/>
      <c r="C52" s="190"/>
      <c r="D52" s="191"/>
      <c r="E52" s="192"/>
      <c r="F52" s="132"/>
      <c r="G52" s="193"/>
      <c r="H52" s="193"/>
    </row>
    <row r="250" spans="1:1" x14ac:dyDescent="0.25">
      <c r="A250" s="131">
        <v>0</v>
      </c>
    </row>
  </sheetData>
  <sheetProtection password="F258" sheet="1" objects="1" scenarios="1" formatCells="0" formatColumns="0"/>
  <mergeCells count="15">
    <mergeCell ref="C32:C35"/>
    <mergeCell ref="D32:D35"/>
    <mergeCell ref="A1:I7"/>
    <mergeCell ref="A8:I14"/>
    <mergeCell ref="A16:I16"/>
    <mergeCell ref="B18:E18"/>
    <mergeCell ref="B21:H21"/>
    <mergeCell ref="B50:C50"/>
    <mergeCell ref="G50:H50"/>
    <mergeCell ref="C36:C39"/>
    <mergeCell ref="D36:D39"/>
    <mergeCell ref="C40:C43"/>
    <mergeCell ref="D40:D43"/>
    <mergeCell ref="A42:B43"/>
    <mergeCell ref="C48:D48"/>
  </mergeCells>
  <conditionalFormatting sqref="H45">
    <cfRule type="cellIs" dxfId="4" priority="1" operator="greaterThan">
      <formula>0.02</formula>
    </cfRule>
  </conditionalFormatting>
  <conditionalFormatting sqref="I45">
    <cfRule type="cellIs" dxfId="3" priority="2" operator="greaterThan">
      <formula>0.02</formula>
    </cfRule>
  </conditionalFormatting>
  <pageMargins left="0.7" right="0.7" top="0.75" bottom="0.75" header="0.3" footer="0.3"/>
  <pageSetup scale="32" orientation="portrait" r:id="rId1"/>
  <headerFooter>
    <oddHeader>&amp;LVer 1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0"/>
  <sheetViews>
    <sheetView view="pageBreakPreview" topLeftCell="A37" zoomScale="60" zoomScaleNormal="55" workbookViewId="0">
      <selection activeCell="D50" sqref="D50"/>
    </sheetView>
  </sheetViews>
  <sheetFormatPr defaultRowHeight="12.75" x14ac:dyDescent="0.2"/>
  <cols>
    <col min="1" max="1" width="58.5703125" style="195" customWidth="1"/>
    <col min="2" max="2" width="34.28515625" style="195" customWidth="1"/>
    <col min="3" max="3" width="43.140625" style="195" customWidth="1"/>
    <col min="4" max="4" width="23.140625" style="195" customWidth="1"/>
    <col min="5" max="5" width="34.85546875" style="195" customWidth="1"/>
    <col min="6" max="6" width="21.5703125" style="195" customWidth="1"/>
    <col min="7" max="7" width="36.85546875" style="195" customWidth="1"/>
    <col min="8" max="8" width="23.85546875" style="195" customWidth="1"/>
    <col min="9" max="16384" width="9.140625" style="195"/>
  </cols>
  <sheetData>
    <row r="1" spans="1:8" x14ac:dyDescent="0.2">
      <c r="A1" s="464" t="s">
        <v>56</v>
      </c>
      <c r="B1" s="464"/>
      <c r="C1" s="464"/>
      <c r="D1" s="464"/>
      <c r="E1" s="464"/>
      <c r="F1" s="464"/>
      <c r="G1" s="464"/>
      <c r="H1" s="464"/>
    </row>
    <row r="2" spans="1:8" x14ac:dyDescent="0.2">
      <c r="A2" s="464"/>
      <c r="B2" s="464"/>
      <c r="C2" s="464"/>
      <c r="D2" s="464"/>
      <c r="E2" s="464"/>
      <c r="F2" s="464"/>
      <c r="G2" s="464"/>
      <c r="H2" s="464"/>
    </row>
    <row r="3" spans="1:8" x14ac:dyDescent="0.2">
      <c r="A3" s="464"/>
      <c r="B3" s="464"/>
      <c r="C3" s="464"/>
      <c r="D3" s="464"/>
      <c r="E3" s="464"/>
      <c r="F3" s="464"/>
      <c r="G3" s="464"/>
      <c r="H3" s="464"/>
    </row>
    <row r="4" spans="1:8" x14ac:dyDescent="0.2">
      <c r="A4" s="464"/>
      <c r="B4" s="464"/>
      <c r="C4" s="464"/>
      <c r="D4" s="464"/>
      <c r="E4" s="464"/>
      <c r="F4" s="464"/>
      <c r="G4" s="464"/>
      <c r="H4" s="464"/>
    </row>
    <row r="5" spans="1:8" x14ac:dyDescent="0.2">
      <c r="A5" s="464"/>
      <c r="B5" s="464"/>
      <c r="C5" s="464"/>
      <c r="D5" s="464"/>
      <c r="E5" s="464"/>
      <c r="F5" s="464"/>
      <c r="G5" s="464"/>
      <c r="H5" s="464"/>
    </row>
    <row r="6" spans="1:8" x14ac:dyDescent="0.2">
      <c r="A6" s="464"/>
      <c r="B6" s="464"/>
      <c r="C6" s="464"/>
      <c r="D6" s="464"/>
      <c r="E6" s="464"/>
      <c r="F6" s="464"/>
      <c r="G6" s="464"/>
      <c r="H6" s="464"/>
    </row>
    <row r="7" spans="1:8" x14ac:dyDescent="0.2">
      <c r="A7" s="464"/>
      <c r="B7" s="464"/>
      <c r="C7" s="464"/>
      <c r="D7" s="464"/>
      <c r="E7" s="464"/>
      <c r="F7" s="464"/>
      <c r="G7" s="464"/>
      <c r="H7" s="464"/>
    </row>
    <row r="8" spans="1:8" x14ac:dyDescent="0.2">
      <c r="A8" s="465" t="s">
        <v>15</v>
      </c>
      <c r="B8" s="465"/>
      <c r="C8" s="465"/>
      <c r="D8" s="465"/>
      <c r="E8" s="465"/>
      <c r="F8" s="465"/>
      <c r="G8" s="465"/>
      <c r="H8" s="465"/>
    </row>
    <row r="9" spans="1:8" x14ac:dyDescent="0.2">
      <c r="A9" s="465"/>
      <c r="B9" s="465"/>
      <c r="C9" s="465"/>
      <c r="D9" s="465"/>
      <c r="E9" s="465"/>
      <c r="F9" s="465"/>
      <c r="G9" s="465"/>
      <c r="H9" s="465"/>
    </row>
    <row r="10" spans="1:8" x14ac:dyDescent="0.2">
      <c r="A10" s="465"/>
      <c r="B10" s="465"/>
      <c r="C10" s="465"/>
      <c r="D10" s="465"/>
      <c r="E10" s="465"/>
      <c r="F10" s="465"/>
      <c r="G10" s="465"/>
      <c r="H10" s="465"/>
    </row>
    <row r="11" spans="1:8" x14ac:dyDescent="0.2">
      <c r="A11" s="465"/>
      <c r="B11" s="465"/>
      <c r="C11" s="465"/>
      <c r="D11" s="465"/>
      <c r="E11" s="465"/>
      <c r="F11" s="465"/>
      <c r="G11" s="465"/>
      <c r="H11" s="465"/>
    </row>
    <row r="12" spans="1:8" x14ac:dyDescent="0.2">
      <c r="A12" s="465"/>
      <c r="B12" s="465"/>
      <c r="C12" s="465"/>
      <c r="D12" s="465"/>
      <c r="E12" s="465"/>
      <c r="F12" s="465"/>
      <c r="G12" s="465"/>
      <c r="H12" s="465"/>
    </row>
    <row r="13" spans="1:8" x14ac:dyDescent="0.2">
      <c r="A13" s="465"/>
      <c r="B13" s="465"/>
      <c r="C13" s="465"/>
      <c r="D13" s="465"/>
      <c r="E13" s="465"/>
      <c r="F13" s="465"/>
      <c r="G13" s="465"/>
      <c r="H13" s="465"/>
    </row>
    <row r="14" spans="1:8" x14ac:dyDescent="0.2">
      <c r="A14" s="465"/>
      <c r="B14" s="465"/>
      <c r="C14" s="465"/>
      <c r="D14" s="465"/>
      <c r="E14" s="465"/>
      <c r="F14" s="465"/>
      <c r="G14" s="465"/>
      <c r="H14" s="465"/>
    </row>
    <row r="15" spans="1:8" ht="19.5" customHeight="1" thickBot="1" x14ac:dyDescent="0.35">
      <c r="A15" s="196"/>
      <c r="B15" s="196"/>
      <c r="C15" s="196"/>
      <c r="D15" s="196"/>
      <c r="E15" s="196"/>
      <c r="F15" s="196"/>
      <c r="G15" s="196"/>
      <c r="H15" s="196"/>
    </row>
    <row r="16" spans="1:8" ht="19.5" customHeight="1" thickBot="1" x14ac:dyDescent="0.35">
      <c r="A16" s="466" t="s">
        <v>8</v>
      </c>
      <c r="B16" s="467"/>
      <c r="C16" s="467"/>
      <c r="D16" s="467"/>
      <c r="E16" s="467"/>
      <c r="F16" s="467"/>
      <c r="G16" s="467"/>
      <c r="H16" s="468"/>
    </row>
    <row r="17" spans="1:8" ht="18.75" customHeight="1" x14ac:dyDescent="0.3">
      <c r="A17" s="197" t="s">
        <v>16</v>
      </c>
      <c r="B17" s="197"/>
      <c r="C17" s="196"/>
      <c r="D17" s="196"/>
      <c r="E17" s="196"/>
      <c r="F17" s="196"/>
      <c r="G17" s="196"/>
      <c r="H17" s="196"/>
    </row>
    <row r="18" spans="1:8" ht="26.25" customHeight="1" x14ac:dyDescent="0.4">
      <c r="A18" s="198" t="s">
        <v>9</v>
      </c>
      <c r="B18" s="463" t="s">
        <v>54</v>
      </c>
      <c r="C18" s="463"/>
      <c r="D18" s="463"/>
      <c r="E18" s="463"/>
      <c r="F18" s="196"/>
      <c r="G18" s="196"/>
      <c r="H18" s="196"/>
    </row>
    <row r="19" spans="1:8" ht="26.25" customHeight="1" x14ac:dyDescent="0.4">
      <c r="A19" s="198" t="s">
        <v>10</v>
      </c>
      <c r="B19" s="413" t="s">
        <v>53</v>
      </c>
      <c r="C19" s="199">
        <v>6</v>
      </c>
      <c r="D19" s="200"/>
      <c r="E19" s="200"/>
      <c r="F19" s="196"/>
      <c r="G19" s="196"/>
      <c r="H19" s="196"/>
    </row>
    <row r="20" spans="1:8" ht="26.25" customHeight="1" x14ac:dyDescent="0.4">
      <c r="A20" s="198" t="s">
        <v>11</v>
      </c>
      <c r="B20" s="413" t="s">
        <v>159</v>
      </c>
      <c r="C20" s="200"/>
      <c r="D20" s="200"/>
      <c r="E20" s="200"/>
      <c r="F20" s="196"/>
      <c r="G20" s="196"/>
      <c r="H20" s="196"/>
    </row>
    <row r="21" spans="1:8" ht="26.25" customHeight="1" x14ac:dyDescent="0.4">
      <c r="A21" s="198" t="s">
        <v>12</v>
      </c>
      <c r="B21" s="469" t="s">
        <v>178</v>
      </c>
      <c r="C21" s="470"/>
      <c r="D21" s="470"/>
      <c r="E21" s="470"/>
      <c r="F21" s="470"/>
      <c r="G21" s="470"/>
      <c r="H21" s="470"/>
    </row>
    <row r="22" spans="1:8" ht="26.25" customHeight="1" x14ac:dyDescent="0.4">
      <c r="A22" s="198" t="s">
        <v>13</v>
      </c>
      <c r="B22" s="414">
        <v>42963</v>
      </c>
      <c r="C22" s="200"/>
      <c r="D22" s="200"/>
      <c r="E22" s="200"/>
      <c r="F22" s="196"/>
      <c r="G22" s="196"/>
      <c r="H22" s="196"/>
    </row>
    <row r="23" spans="1:8" ht="26.25" customHeight="1" x14ac:dyDescent="0.4">
      <c r="A23" s="198" t="s">
        <v>14</v>
      </c>
      <c r="B23" s="201">
        <v>43062</v>
      </c>
      <c r="C23" s="200"/>
      <c r="D23" s="200"/>
      <c r="E23" s="200"/>
      <c r="F23" s="196"/>
      <c r="G23" s="196"/>
      <c r="H23" s="196"/>
    </row>
    <row r="24" spans="1:8" ht="18.75" customHeight="1" x14ac:dyDescent="0.3">
      <c r="A24" s="198"/>
      <c r="B24" s="202"/>
      <c r="C24" s="196"/>
      <c r="D24" s="196"/>
      <c r="E24" s="196"/>
      <c r="F24" s="196"/>
      <c r="G24" s="196"/>
      <c r="H24" s="196"/>
    </row>
    <row r="25" spans="1:8" ht="18.75" customHeight="1" x14ac:dyDescent="0.3">
      <c r="A25" s="203" t="s">
        <v>0</v>
      </c>
      <c r="B25" s="202"/>
      <c r="C25" s="196"/>
      <c r="D25" s="196"/>
      <c r="E25" s="196"/>
      <c r="F25" s="196"/>
      <c r="G25" s="196"/>
      <c r="H25" s="196"/>
    </row>
    <row r="26" spans="1:8" ht="26.25" customHeight="1" x14ac:dyDescent="0.4">
      <c r="A26" s="204" t="s">
        <v>1</v>
      </c>
      <c r="B26" s="463" t="s">
        <v>159</v>
      </c>
      <c r="C26" s="463"/>
      <c r="D26" s="196"/>
      <c r="E26" s="196"/>
      <c r="F26" s="196"/>
      <c r="G26" s="196"/>
      <c r="H26" s="196"/>
    </row>
    <row r="27" spans="1:8" ht="26.25" customHeight="1" x14ac:dyDescent="0.4">
      <c r="A27" s="205" t="s">
        <v>86</v>
      </c>
      <c r="B27" s="469" t="s">
        <v>160</v>
      </c>
      <c r="C27" s="470"/>
      <c r="D27" s="196"/>
      <c r="E27" s="196"/>
      <c r="F27" s="196"/>
      <c r="G27" s="196"/>
      <c r="H27" s="196"/>
    </row>
    <row r="28" spans="1:8" ht="27" customHeight="1" thickBot="1" x14ac:dyDescent="0.45">
      <c r="A28" s="205" t="s">
        <v>87</v>
      </c>
      <c r="B28" s="206">
        <v>99.9</v>
      </c>
      <c r="C28" s="196"/>
      <c r="D28" s="196"/>
      <c r="E28" s="196"/>
      <c r="F28" s="196"/>
      <c r="G28" s="196"/>
      <c r="H28" s="196"/>
    </row>
    <row r="29" spans="1:8" ht="27" customHeight="1" thickBot="1" x14ac:dyDescent="0.45">
      <c r="A29" s="205" t="s">
        <v>88</v>
      </c>
      <c r="B29" s="207">
        <v>0</v>
      </c>
      <c r="C29" s="471" t="s">
        <v>89</v>
      </c>
      <c r="D29" s="472"/>
      <c r="E29" s="472"/>
      <c r="F29" s="472"/>
      <c r="G29" s="473"/>
      <c r="H29" s="208"/>
    </row>
    <row r="30" spans="1:8" ht="19.5" customHeight="1" thickBot="1" x14ac:dyDescent="0.35">
      <c r="A30" s="205" t="s">
        <v>90</v>
      </c>
      <c r="B30" s="209">
        <f>B28-B29</f>
        <v>99.9</v>
      </c>
      <c r="C30" s="210"/>
      <c r="D30" s="210"/>
      <c r="E30" s="210"/>
      <c r="F30" s="210"/>
      <c r="G30" s="210"/>
      <c r="H30" s="208"/>
    </row>
    <row r="31" spans="1:8" ht="27" customHeight="1" thickBot="1" x14ac:dyDescent="0.45">
      <c r="A31" s="205" t="s">
        <v>91</v>
      </c>
      <c r="B31" s="211">
        <v>1</v>
      </c>
      <c r="C31" s="471" t="s">
        <v>92</v>
      </c>
      <c r="D31" s="472"/>
      <c r="E31" s="472"/>
      <c r="F31" s="472"/>
      <c r="G31" s="473"/>
      <c r="H31" s="212"/>
    </row>
    <row r="32" spans="1:8" ht="27" customHeight="1" thickBot="1" x14ac:dyDescent="0.45">
      <c r="A32" s="205" t="s">
        <v>93</v>
      </c>
      <c r="B32" s="211">
        <v>1</v>
      </c>
      <c r="C32" s="471" t="s">
        <v>94</v>
      </c>
      <c r="D32" s="472"/>
      <c r="E32" s="472"/>
      <c r="F32" s="472"/>
      <c r="G32" s="473"/>
      <c r="H32" s="212"/>
    </row>
    <row r="33" spans="1:8" ht="18.75" customHeight="1" x14ac:dyDescent="0.3">
      <c r="A33" s="205"/>
      <c r="B33" s="213"/>
      <c r="C33" s="214"/>
      <c r="D33" s="214"/>
      <c r="E33" s="214"/>
      <c r="F33" s="214"/>
      <c r="G33" s="214"/>
      <c r="H33" s="214"/>
    </row>
    <row r="34" spans="1:8" ht="18.75" customHeight="1" x14ac:dyDescent="0.3">
      <c r="A34" s="205" t="s">
        <v>95</v>
      </c>
      <c r="B34" s="215">
        <f>B31/B32</f>
        <v>1</v>
      </c>
      <c r="C34" s="196" t="s">
        <v>96</v>
      </c>
      <c r="D34" s="196"/>
      <c r="E34" s="196"/>
      <c r="F34" s="196"/>
      <c r="G34" s="196"/>
      <c r="H34" s="208"/>
    </row>
    <row r="35" spans="1:8" ht="19.5" customHeight="1" thickBot="1" x14ac:dyDescent="0.35">
      <c r="A35" s="205"/>
      <c r="B35" s="216"/>
      <c r="C35" s="208"/>
      <c r="D35" s="208"/>
      <c r="E35" s="208"/>
      <c r="F35" s="208"/>
      <c r="G35" s="196"/>
      <c r="H35" s="208"/>
    </row>
    <row r="36" spans="1:8" ht="27" customHeight="1" thickBot="1" x14ac:dyDescent="0.45">
      <c r="A36" s="217" t="s">
        <v>97</v>
      </c>
      <c r="B36" s="218">
        <v>10</v>
      </c>
      <c r="C36" s="196"/>
      <c r="D36" s="474" t="s">
        <v>98</v>
      </c>
      <c r="E36" s="475"/>
      <c r="F36" s="476" t="s">
        <v>99</v>
      </c>
      <c r="G36" s="475"/>
      <c r="H36" s="208"/>
    </row>
    <row r="37" spans="1:8" ht="26.25" customHeight="1" x14ac:dyDescent="0.4">
      <c r="A37" s="219" t="s">
        <v>100</v>
      </c>
      <c r="B37" s="220">
        <v>1</v>
      </c>
      <c r="C37" s="221" t="s">
        <v>62</v>
      </c>
      <c r="D37" s="222" t="s">
        <v>63</v>
      </c>
      <c r="E37" s="223" t="s">
        <v>101</v>
      </c>
      <c r="F37" s="224" t="s">
        <v>63</v>
      </c>
      <c r="G37" s="223" t="s">
        <v>101</v>
      </c>
      <c r="H37" s="208"/>
    </row>
    <row r="38" spans="1:8" ht="26.25" customHeight="1" x14ac:dyDescent="0.4">
      <c r="A38" s="219" t="s">
        <v>102</v>
      </c>
      <c r="B38" s="220">
        <v>200</v>
      </c>
      <c r="C38" s="225">
        <v>1</v>
      </c>
      <c r="D38" s="226">
        <v>3614687</v>
      </c>
      <c r="E38" s="227">
        <f>IF(ISBLANK(D38),"-",$D$48/$D$45*D38)</f>
        <v>3272633.4021981275</v>
      </c>
      <c r="F38" s="228">
        <v>3326229</v>
      </c>
      <c r="G38" s="227">
        <f>IF(ISBLANK(F38),"-",$D$48/$F$45*F38)</f>
        <v>3220854.7120276261</v>
      </c>
      <c r="H38" s="208"/>
    </row>
    <row r="39" spans="1:8" ht="26.25" customHeight="1" x14ac:dyDescent="0.4">
      <c r="A39" s="219" t="s">
        <v>103</v>
      </c>
      <c r="B39" s="220">
        <v>1</v>
      </c>
      <c r="C39" s="229">
        <v>2</v>
      </c>
      <c r="D39" s="230">
        <v>3628316</v>
      </c>
      <c r="E39" s="231">
        <f>IF(ISBLANK(D39),"-",$D$48/$D$45*D39)</f>
        <v>3284972.7058884767</v>
      </c>
      <c r="F39" s="207">
        <v>3330812</v>
      </c>
      <c r="G39" s="231">
        <f>IF(ISBLANK(F39),"-",$D$48/$F$45*F39)</f>
        <v>3225292.5234787385</v>
      </c>
      <c r="H39" s="208"/>
    </row>
    <row r="40" spans="1:8" ht="26.25" customHeight="1" x14ac:dyDescent="0.4">
      <c r="A40" s="219" t="s">
        <v>104</v>
      </c>
      <c r="B40" s="220">
        <v>1</v>
      </c>
      <c r="C40" s="229">
        <v>3</v>
      </c>
      <c r="D40" s="230">
        <v>3683908</v>
      </c>
      <c r="E40" s="231">
        <f>IF(ISBLANK(D40),"-",$D$48/$D$45*D40)</f>
        <v>3335304.1000299333</v>
      </c>
      <c r="F40" s="207">
        <v>3382851</v>
      </c>
      <c r="G40" s="231">
        <f>IF(ISBLANK(F40),"-",$D$48/$F$45*F40)</f>
        <v>3275682.9380771336</v>
      </c>
      <c r="H40" s="196"/>
    </row>
    <row r="41" spans="1:8" ht="26.25" customHeight="1" x14ac:dyDescent="0.4">
      <c r="A41" s="219" t="s">
        <v>105</v>
      </c>
      <c r="B41" s="220">
        <v>1</v>
      </c>
      <c r="C41" s="232">
        <v>4</v>
      </c>
      <c r="D41" s="233"/>
      <c r="E41" s="234" t="str">
        <f>IF(ISBLANK(D41),"-",$D$48/$D$45*D41)</f>
        <v>-</v>
      </c>
      <c r="F41" s="235"/>
      <c r="G41" s="234" t="str">
        <f>IF(ISBLANK(F41),"-",$D$48/$F$45*F41)</f>
        <v>-</v>
      </c>
      <c r="H41" s="196"/>
    </row>
    <row r="42" spans="1:8" ht="27" customHeight="1" thickBot="1" x14ac:dyDescent="0.45">
      <c r="A42" s="219" t="s">
        <v>106</v>
      </c>
      <c r="B42" s="220">
        <v>1</v>
      </c>
      <c r="C42" s="236" t="s">
        <v>80</v>
      </c>
      <c r="D42" s="237">
        <f>AVERAGE(D38:D41)</f>
        <v>3642303.6666666665</v>
      </c>
      <c r="E42" s="238">
        <f>AVERAGE(E38:E41)</f>
        <v>3297636.7360388464</v>
      </c>
      <c r="F42" s="239">
        <f>AVERAGE(F38:F41)</f>
        <v>3346630.6666666665</v>
      </c>
      <c r="G42" s="238">
        <f>AVERAGE(G38:G41)</f>
        <v>3240610.0578611661</v>
      </c>
      <c r="H42" s="196"/>
    </row>
    <row r="43" spans="1:8" ht="26.25" customHeight="1" x14ac:dyDescent="0.4">
      <c r="A43" s="219" t="s">
        <v>107</v>
      </c>
      <c r="B43" s="207">
        <v>1</v>
      </c>
      <c r="C43" s="240" t="s">
        <v>108</v>
      </c>
      <c r="D43" s="241">
        <v>17.690000000000001</v>
      </c>
      <c r="E43" s="196"/>
      <c r="F43" s="241">
        <v>16.54</v>
      </c>
      <c r="G43" s="196"/>
      <c r="H43" s="196"/>
    </row>
    <row r="44" spans="1:8" ht="26.25" customHeight="1" x14ac:dyDescent="0.4">
      <c r="A44" s="219" t="s">
        <v>109</v>
      </c>
      <c r="B44" s="207">
        <v>1</v>
      </c>
      <c r="C44" s="242" t="s">
        <v>110</v>
      </c>
      <c r="D44" s="243">
        <f>D43*$B$34</f>
        <v>17.690000000000001</v>
      </c>
      <c r="E44" s="244"/>
      <c r="F44" s="243">
        <f>F43*$B$34</f>
        <v>16.54</v>
      </c>
      <c r="G44" s="196"/>
      <c r="H44" s="196"/>
    </row>
    <row r="45" spans="1:8" ht="19.5" customHeight="1" thickBot="1" x14ac:dyDescent="0.35">
      <c r="A45" s="219" t="s">
        <v>111</v>
      </c>
      <c r="B45" s="244">
        <f>(B44/B43)*(B42/B41)*(B40/B39)*(B38/B37)*B36</f>
        <v>2000</v>
      </c>
      <c r="C45" s="242" t="s">
        <v>112</v>
      </c>
      <c r="D45" s="245">
        <f>D44*$B$30/100</f>
        <v>17.672310000000003</v>
      </c>
      <c r="E45" s="246"/>
      <c r="F45" s="245">
        <f>F44*$B$30/100</f>
        <v>16.52346</v>
      </c>
      <c r="G45" s="196"/>
      <c r="H45" s="196"/>
    </row>
    <row r="46" spans="1:8" ht="19.5" customHeight="1" thickBot="1" x14ac:dyDescent="0.35">
      <c r="A46" s="479" t="s">
        <v>79</v>
      </c>
      <c r="B46" s="480"/>
      <c r="C46" s="242" t="s">
        <v>113</v>
      </c>
      <c r="D46" s="243">
        <f>D45/$B$45</f>
        <v>8.8361550000000018E-3</v>
      </c>
      <c r="E46" s="246"/>
      <c r="F46" s="247">
        <f>F45/$B$45</f>
        <v>8.2617300000000001E-3</v>
      </c>
      <c r="G46" s="196"/>
      <c r="H46" s="196"/>
    </row>
    <row r="47" spans="1:8" ht="27" customHeight="1" thickBot="1" x14ac:dyDescent="0.45">
      <c r="A47" s="481"/>
      <c r="B47" s="482"/>
      <c r="C47" s="242" t="s">
        <v>114</v>
      </c>
      <c r="D47" s="248">
        <v>8.0000000000000002E-3</v>
      </c>
      <c r="E47" s="196"/>
      <c r="F47" s="249"/>
      <c r="G47" s="196"/>
      <c r="H47" s="196"/>
    </row>
    <row r="48" spans="1:8" ht="18.75" customHeight="1" x14ac:dyDescent="0.3">
      <c r="A48" s="196"/>
      <c r="B48" s="196"/>
      <c r="C48" s="242" t="s">
        <v>115</v>
      </c>
      <c r="D48" s="245">
        <f>D47*$B$45</f>
        <v>16</v>
      </c>
      <c r="E48" s="196"/>
      <c r="F48" s="249"/>
      <c r="G48" s="196"/>
      <c r="H48" s="196"/>
    </row>
    <row r="49" spans="1:8" ht="19.5" customHeight="1" thickBot="1" x14ac:dyDescent="0.35">
      <c r="A49" s="196"/>
      <c r="B49" s="196"/>
      <c r="C49" s="250" t="s">
        <v>116</v>
      </c>
      <c r="D49" s="251">
        <f>D48/B34</f>
        <v>16</v>
      </c>
      <c r="E49" s="196"/>
      <c r="F49" s="252"/>
      <c r="G49" s="196"/>
      <c r="H49" s="196"/>
    </row>
    <row r="50" spans="1:8" ht="18.75" customHeight="1" x14ac:dyDescent="0.3">
      <c r="A50" s="196"/>
      <c r="B50" s="196"/>
      <c r="C50" s="253" t="s">
        <v>117</v>
      </c>
      <c r="D50" s="254">
        <f>AVERAGE(E38:E41,G38:G41)</f>
        <v>3269123.3969500065</v>
      </c>
      <c r="E50" s="196"/>
      <c r="F50" s="252"/>
      <c r="G50" s="196"/>
      <c r="H50" s="196"/>
    </row>
    <row r="51" spans="1:8" ht="18.75" customHeight="1" x14ac:dyDescent="0.3">
      <c r="A51" s="196"/>
      <c r="B51" s="196"/>
      <c r="C51" s="242" t="s">
        <v>17</v>
      </c>
      <c r="D51" s="255">
        <f>STDEV(E38:E41,G38:G41)/D50</f>
        <v>1.2932735025839196E-2</v>
      </c>
      <c r="E51" s="196"/>
      <c r="F51" s="252"/>
      <c r="G51" s="196"/>
      <c r="H51" s="196"/>
    </row>
    <row r="52" spans="1:8" ht="19.5" customHeight="1" thickBot="1" x14ac:dyDescent="0.35">
      <c r="A52" s="196"/>
      <c r="B52" s="196"/>
      <c r="C52" s="250" t="s">
        <v>2</v>
      </c>
      <c r="D52" s="256">
        <f>COUNT(E38:E41,G38:G41)</f>
        <v>6</v>
      </c>
      <c r="E52" s="196"/>
      <c r="F52" s="196"/>
      <c r="G52" s="196"/>
      <c r="H52" s="196"/>
    </row>
    <row r="53" spans="1:8" ht="18.75" customHeight="1" x14ac:dyDescent="0.3">
      <c r="A53" s="196"/>
      <c r="B53" s="196"/>
      <c r="C53" s="196"/>
      <c r="D53" s="196"/>
      <c r="E53" s="196"/>
      <c r="F53" s="196"/>
      <c r="G53" s="196"/>
      <c r="H53" s="196"/>
    </row>
    <row r="54" spans="1:8" ht="18.75" customHeight="1" x14ac:dyDescent="0.3">
      <c r="A54" s="197" t="s">
        <v>0</v>
      </c>
      <c r="B54" s="257" t="s">
        <v>118</v>
      </c>
      <c r="C54" s="196"/>
      <c r="D54" s="196"/>
      <c r="E54" s="196"/>
      <c r="F54" s="196"/>
      <c r="G54" s="196"/>
      <c r="H54" s="196"/>
    </row>
    <row r="55" spans="1:8" ht="18.75" customHeight="1" x14ac:dyDescent="0.3">
      <c r="A55" s="196" t="s">
        <v>19</v>
      </c>
      <c r="B55" s="200" t="str">
        <f>B21</f>
        <v>Each 1ml contains ≤0.65g/l pyroglutamic acid</v>
      </c>
      <c r="C55" s="196"/>
      <c r="D55" s="196"/>
      <c r="E55" s="196"/>
      <c r="F55" s="196"/>
      <c r="G55" s="196"/>
      <c r="H55" s="196"/>
    </row>
    <row r="56" spans="1:8" ht="26.25" customHeight="1" x14ac:dyDescent="0.4">
      <c r="A56" s="205" t="s">
        <v>39</v>
      </c>
      <c r="B56" s="258">
        <v>1</v>
      </c>
      <c r="C56" s="244" t="s">
        <v>40</v>
      </c>
      <c r="D56" s="259">
        <v>0.65</v>
      </c>
      <c r="E56" s="196" t="str">
        <f>B20</f>
        <v>Pyroglutamic acid</v>
      </c>
      <c r="F56" s="196"/>
      <c r="G56" s="196"/>
      <c r="H56" s="244"/>
    </row>
    <row r="57" spans="1:8" ht="19.5" customHeight="1" thickBot="1" x14ac:dyDescent="0.35">
      <c r="A57" s="196"/>
      <c r="B57" s="196"/>
      <c r="C57" s="196"/>
      <c r="D57" s="196"/>
      <c r="E57" s="196"/>
      <c r="F57" s="196"/>
      <c r="G57" s="196"/>
      <c r="H57" s="244"/>
    </row>
    <row r="58" spans="1:8" ht="27" customHeight="1" thickBot="1" x14ac:dyDescent="0.45">
      <c r="A58" s="217" t="s">
        <v>60</v>
      </c>
      <c r="B58" s="218">
        <v>250</v>
      </c>
      <c r="C58" s="196"/>
      <c r="D58" s="260" t="s">
        <v>61</v>
      </c>
      <c r="E58" s="261" t="s">
        <v>62</v>
      </c>
      <c r="F58" s="261" t="s">
        <v>63</v>
      </c>
      <c r="G58" s="261" t="s">
        <v>119</v>
      </c>
      <c r="H58" s="221" t="s">
        <v>66</v>
      </c>
    </row>
    <row r="59" spans="1:8" ht="26.25" customHeight="1" x14ac:dyDescent="0.4">
      <c r="A59" s="219" t="s">
        <v>120</v>
      </c>
      <c r="B59" s="220">
        <v>1</v>
      </c>
      <c r="C59" s="483" t="s">
        <v>68</v>
      </c>
      <c r="D59" s="486">
        <v>2</v>
      </c>
      <c r="E59" s="262">
        <v>1</v>
      </c>
      <c r="F59" s="263">
        <v>1985144</v>
      </c>
      <c r="G59" s="429">
        <f t="shared" ref="G59:G70" si="0">IF(ISBLANK(F59),"-",(F59/$D$50*$D$47*$B$67)*($B$56/$D$59))</f>
        <v>0.60724046141913146</v>
      </c>
      <c r="H59" s="264">
        <f t="shared" ref="H59:H70" si="1">IF(ISBLANK(F59),"-",G59/$D$56)</f>
        <v>0.93421609449097143</v>
      </c>
    </row>
    <row r="60" spans="1:8" ht="26.25" customHeight="1" x14ac:dyDescent="0.4">
      <c r="A60" s="219" t="s">
        <v>121</v>
      </c>
      <c r="B60" s="220">
        <v>1</v>
      </c>
      <c r="C60" s="484"/>
      <c r="D60" s="487"/>
      <c r="E60" s="265">
        <v>2</v>
      </c>
      <c r="F60" s="230">
        <v>1960733</v>
      </c>
      <c r="G60" s="430">
        <f t="shared" si="0"/>
        <v>0.59977332205609146</v>
      </c>
      <c r="H60" s="266">
        <f t="shared" si="1"/>
        <v>0.92272818777860222</v>
      </c>
    </row>
    <row r="61" spans="1:8" ht="26.25" customHeight="1" x14ac:dyDescent="0.4">
      <c r="A61" s="219" t="s">
        <v>122</v>
      </c>
      <c r="B61" s="220">
        <v>1</v>
      </c>
      <c r="C61" s="484"/>
      <c r="D61" s="487"/>
      <c r="E61" s="265">
        <v>3</v>
      </c>
      <c r="F61" s="230">
        <v>1978952</v>
      </c>
      <c r="G61" s="430">
        <f t="shared" si="0"/>
        <v>0.60534637568172023</v>
      </c>
      <c r="H61" s="266">
        <f t="shared" si="1"/>
        <v>0.93130211643341565</v>
      </c>
    </row>
    <row r="62" spans="1:8" ht="27" customHeight="1" thickBot="1" x14ac:dyDescent="0.45">
      <c r="A62" s="219" t="s">
        <v>123</v>
      </c>
      <c r="B62" s="220">
        <v>1</v>
      </c>
      <c r="C62" s="485"/>
      <c r="D62" s="488"/>
      <c r="E62" s="267">
        <v>4</v>
      </c>
      <c r="F62" s="268"/>
      <c r="G62" s="430" t="str">
        <f t="shared" si="0"/>
        <v>-</v>
      </c>
      <c r="H62" s="266" t="str">
        <f t="shared" si="1"/>
        <v>-</v>
      </c>
    </row>
    <row r="63" spans="1:8" ht="26.25" customHeight="1" x14ac:dyDescent="0.4">
      <c r="A63" s="219" t="s">
        <v>124</v>
      </c>
      <c r="B63" s="220">
        <v>1</v>
      </c>
      <c r="C63" s="483" t="s">
        <v>73</v>
      </c>
      <c r="D63" s="489">
        <v>2</v>
      </c>
      <c r="E63" s="262">
        <v>1</v>
      </c>
      <c r="F63" s="263">
        <v>1979634</v>
      </c>
      <c r="G63" s="429">
        <f t="shared" si="0"/>
        <v>0.60555499429814696</v>
      </c>
      <c r="H63" s="264">
        <f t="shared" si="1"/>
        <v>0.93162306815099527</v>
      </c>
    </row>
    <row r="64" spans="1:8" ht="26.25" customHeight="1" x14ac:dyDescent="0.4">
      <c r="A64" s="219" t="s">
        <v>125</v>
      </c>
      <c r="B64" s="220">
        <v>1</v>
      </c>
      <c r="C64" s="484"/>
      <c r="D64" s="490"/>
      <c r="E64" s="265">
        <v>2</v>
      </c>
      <c r="F64" s="230">
        <v>1963275</v>
      </c>
      <c r="G64" s="430">
        <f t="shared" si="0"/>
        <v>0.6005509005355002</v>
      </c>
      <c r="H64" s="266">
        <f t="shared" si="1"/>
        <v>0.92392446236230796</v>
      </c>
    </row>
    <row r="65" spans="1:8" ht="26.25" customHeight="1" x14ac:dyDescent="0.4">
      <c r="A65" s="219" t="s">
        <v>126</v>
      </c>
      <c r="B65" s="220">
        <v>1</v>
      </c>
      <c r="C65" s="484"/>
      <c r="D65" s="490"/>
      <c r="E65" s="265">
        <v>3</v>
      </c>
      <c r="F65" s="230">
        <v>1965399</v>
      </c>
      <c r="G65" s="430">
        <f t="shared" si="0"/>
        <v>0.60120061599193775</v>
      </c>
      <c r="H65" s="266">
        <f t="shared" si="1"/>
        <v>0.92492402460298107</v>
      </c>
    </row>
    <row r="66" spans="1:8" ht="27" customHeight="1" thickBot="1" x14ac:dyDescent="0.45">
      <c r="A66" s="219" t="s">
        <v>127</v>
      </c>
      <c r="B66" s="220">
        <v>1</v>
      </c>
      <c r="C66" s="485"/>
      <c r="D66" s="491"/>
      <c r="E66" s="267">
        <v>4</v>
      </c>
      <c r="F66" s="268"/>
      <c r="G66" s="431" t="str">
        <f t="shared" si="0"/>
        <v>-</v>
      </c>
      <c r="H66" s="270" t="str">
        <f t="shared" si="1"/>
        <v>-</v>
      </c>
    </row>
    <row r="67" spans="1:8" ht="26.25" customHeight="1" x14ac:dyDescent="0.4">
      <c r="A67" s="219" t="s">
        <v>77</v>
      </c>
      <c r="B67" s="229">
        <f>(B66/B65)*(B64/B63)*(B62/B61)*(B60/B59)*B58</f>
        <v>250</v>
      </c>
      <c r="C67" s="483" t="s">
        <v>78</v>
      </c>
      <c r="D67" s="486">
        <v>2</v>
      </c>
      <c r="E67" s="262">
        <v>1</v>
      </c>
      <c r="F67" s="263">
        <v>1971751</v>
      </c>
      <c r="G67" s="430">
        <f t="shared" si="0"/>
        <v>0.6031436445132613</v>
      </c>
      <c r="H67" s="266">
        <f t="shared" si="1"/>
        <v>0.92791329925117116</v>
      </c>
    </row>
    <row r="68" spans="1:8" ht="27" customHeight="1" thickBot="1" x14ac:dyDescent="0.45">
      <c r="A68" s="271" t="s">
        <v>128</v>
      </c>
      <c r="B68" s="272">
        <f>(D47*B67)/D56*B56</f>
        <v>3.0769230769230766</v>
      </c>
      <c r="C68" s="484"/>
      <c r="D68" s="487"/>
      <c r="E68" s="265">
        <v>2</v>
      </c>
      <c r="F68" s="230">
        <v>1991729</v>
      </c>
      <c r="G68" s="430">
        <f t="shared" si="0"/>
        <v>0.6092547628695274</v>
      </c>
      <c r="H68" s="266">
        <f t="shared" si="1"/>
        <v>0.9373150197992729</v>
      </c>
    </row>
    <row r="69" spans="1:8" ht="26.25" customHeight="1" x14ac:dyDescent="0.4">
      <c r="A69" s="479" t="s">
        <v>79</v>
      </c>
      <c r="B69" s="493"/>
      <c r="C69" s="484"/>
      <c r="D69" s="487"/>
      <c r="E69" s="265">
        <v>3</v>
      </c>
      <c r="F69" s="230">
        <v>1983046</v>
      </c>
      <c r="G69" s="430">
        <f t="shared" si="0"/>
        <v>0.60659869916507969</v>
      </c>
      <c r="H69" s="266">
        <f t="shared" si="1"/>
        <v>0.93322876794627641</v>
      </c>
    </row>
    <row r="70" spans="1:8" ht="27" customHeight="1" thickBot="1" x14ac:dyDescent="0.45">
      <c r="A70" s="481"/>
      <c r="B70" s="494"/>
      <c r="C70" s="492"/>
      <c r="D70" s="488"/>
      <c r="E70" s="267">
        <v>4</v>
      </c>
      <c r="F70" s="268"/>
      <c r="G70" s="269" t="str">
        <f t="shared" si="0"/>
        <v>-</v>
      </c>
      <c r="H70" s="270" t="str">
        <f t="shared" si="1"/>
        <v>-</v>
      </c>
    </row>
    <row r="71" spans="1:8" ht="26.25" customHeight="1" x14ac:dyDescent="0.4">
      <c r="A71" s="244"/>
      <c r="B71" s="244"/>
      <c r="C71" s="244"/>
      <c r="D71" s="244"/>
      <c r="E71" s="244"/>
      <c r="F71" s="244"/>
      <c r="G71" s="273" t="s">
        <v>80</v>
      </c>
      <c r="H71" s="274">
        <f>AVERAGE(H59:H70)</f>
        <v>0.9296861156462215</v>
      </c>
    </row>
    <row r="72" spans="1:8" ht="26.25" customHeight="1" x14ac:dyDescent="0.4">
      <c r="A72" s="196"/>
      <c r="B72" s="196"/>
      <c r="C72" s="244"/>
      <c r="D72" s="244"/>
      <c r="E72" s="244"/>
      <c r="F72" s="244"/>
      <c r="G72" s="275" t="s">
        <v>17</v>
      </c>
      <c r="H72" s="276">
        <f>STDEV(H59:H70)/H71</f>
        <v>5.4458253073695973E-3</v>
      </c>
    </row>
    <row r="73" spans="1:8" ht="27" customHeight="1" thickBot="1" x14ac:dyDescent="0.45">
      <c r="A73" s="244"/>
      <c r="B73" s="244"/>
      <c r="C73" s="244"/>
      <c r="D73" s="244"/>
      <c r="E73" s="246"/>
      <c r="F73" s="244"/>
      <c r="G73" s="277" t="s">
        <v>2</v>
      </c>
      <c r="H73" s="278">
        <f>COUNT(H59:H70)</f>
        <v>9</v>
      </c>
    </row>
    <row r="74" spans="1:8" ht="18.75" customHeight="1" x14ac:dyDescent="0.3">
      <c r="A74" s="244"/>
      <c r="B74" s="244"/>
      <c r="C74" s="244"/>
      <c r="D74" s="244"/>
      <c r="E74" s="244"/>
      <c r="F74" s="246"/>
      <c r="G74" s="244"/>
      <c r="H74" s="244"/>
    </row>
    <row r="75" spans="1:8" ht="26.25" customHeight="1" x14ac:dyDescent="0.4">
      <c r="A75" s="204" t="s">
        <v>81</v>
      </c>
      <c r="B75" s="205" t="s">
        <v>82</v>
      </c>
      <c r="C75" s="477" t="str">
        <f>B20</f>
        <v>Pyroglutamic acid</v>
      </c>
      <c r="D75" s="477"/>
      <c r="E75" s="196" t="s">
        <v>83</v>
      </c>
      <c r="F75" s="196"/>
      <c r="G75" s="279">
        <f>H71</f>
        <v>0.9296861156462215</v>
      </c>
      <c r="H75" s="244"/>
    </row>
    <row r="76" spans="1:8" ht="19.5" customHeight="1" thickBot="1" x14ac:dyDescent="0.35">
      <c r="A76" s="280"/>
      <c r="B76" s="281"/>
      <c r="C76" s="281"/>
      <c r="D76" s="281"/>
      <c r="E76" s="281"/>
      <c r="F76" s="281"/>
      <c r="G76" s="281"/>
      <c r="H76" s="281"/>
    </row>
    <row r="77" spans="1:8" ht="18.75" customHeight="1" x14ac:dyDescent="0.3">
      <c r="A77" s="196"/>
      <c r="B77" s="478" t="s">
        <v>3</v>
      </c>
      <c r="C77" s="478"/>
      <c r="D77" s="244"/>
      <c r="E77" s="216" t="s">
        <v>4</v>
      </c>
      <c r="F77" s="196"/>
      <c r="G77" s="478" t="s">
        <v>5</v>
      </c>
      <c r="H77" s="478"/>
    </row>
    <row r="78" spans="1:8" ht="60" customHeight="1" x14ac:dyDescent="0.3">
      <c r="A78" s="204" t="s">
        <v>6</v>
      </c>
      <c r="B78" s="415" t="s">
        <v>171</v>
      </c>
      <c r="C78" s="282"/>
      <c r="D78" s="283"/>
      <c r="E78" s="282"/>
      <c r="F78" s="196"/>
      <c r="G78" s="284"/>
      <c r="H78" s="284"/>
    </row>
    <row r="79" spans="1:8" ht="60" customHeight="1" x14ac:dyDescent="0.3">
      <c r="A79" s="204" t="s">
        <v>7</v>
      </c>
      <c r="B79" s="285"/>
      <c r="C79" s="285"/>
      <c r="D79" s="286"/>
      <c r="E79" s="287"/>
      <c r="F79" s="196"/>
      <c r="G79" s="288"/>
      <c r="H79" s="288"/>
    </row>
    <row r="250" spans="1:1" x14ac:dyDescent="0.2">
      <c r="A250" s="195">
        <v>5</v>
      </c>
    </row>
  </sheetData>
  <sheetProtection password="F258" sheet="1" objects="1" scenarios="1" formatCells="0" formatColumns="0"/>
  <mergeCells count="23">
    <mergeCell ref="C75:D75"/>
    <mergeCell ref="B77:C77"/>
    <mergeCell ref="G77:H77"/>
    <mergeCell ref="A46:B47"/>
    <mergeCell ref="C59:C62"/>
    <mergeCell ref="D59:D62"/>
    <mergeCell ref="C63:C66"/>
    <mergeCell ref="D63:D66"/>
    <mergeCell ref="C67:C70"/>
    <mergeCell ref="D67:D70"/>
    <mergeCell ref="A69:B70"/>
    <mergeCell ref="B27:C27"/>
    <mergeCell ref="C29:G29"/>
    <mergeCell ref="C31:G31"/>
    <mergeCell ref="C32:G32"/>
    <mergeCell ref="D36:E36"/>
    <mergeCell ref="F36:G36"/>
    <mergeCell ref="B26:C26"/>
    <mergeCell ref="A1:H7"/>
    <mergeCell ref="A8:H14"/>
    <mergeCell ref="A16:H16"/>
    <mergeCell ref="B18:E18"/>
    <mergeCell ref="B21:H21"/>
  </mergeCells>
  <conditionalFormatting sqref="D51">
    <cfRule type="cellIs" dxfId="2" priority="1" operator="greaterThan">
      <formula>0.02</formula>
    </cfRule>
  </conditionalFormatting>
  <conditionalFormatting sqref="H72">
    <cfRule type="cellIs" dxfId="1" priority="2" operator="greaterThan">
      <formula>0.02</formula>
    </cfRule>
  </conditionalFormatting>
  <pageMargins left="0.7" right="0.7" top="0.75" bottom="0.75" header="0.3" footer="0.3"/>
  <pageSetup scale="33" orientation="portrait" r:id="rId1"/>
  <headerFoot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95"/>
  <sheetViews>
    <sheetView view="pageBreakPreview" zoomScale="60" zoomScaleNormal="70" workbookViewId="0">
      <selection activeCell="C30" sqref="C30"/>
    </sheetView>
  </sheetViews>
  <sheetFormatPr defaultRowHeight="15" x14ac:dyDescent="0.25"/>
  <cols>
    <col min="1" max="1" width="54.85546875" style="289" customWidth="1"/>
    <col min="2" max="8" width="30.7109375" style="289" customWidth="1"/>
    <col min="9" max="9" width="26.42578125" style="289" customWidth="1"/>
    <col min="10" max="10" width="27.140625" style="289" customWidth="1"/>
    <col min="11" max="16384" width="9.140625" style="289"/>
  </cols>
  <sheetData>
    <row r="1" spans="1:8" ht="15" customHeight="1" x14ac:dyDescent="0.25">
      <c r="A1" s="499" t="s">
        <v>56</v>
      </c>
      <c r="B1" s="499"/>
      <c r="C1" s="499"/>
      <c r="D1" s="499"/>
      <c r="E1" s="499"/>
      <c r="F1" s="499"/>
      <c r="G1" s="499"/>
      <c r="H1" s="499"/>
    </row>
    <row r="2" spans="1:8" ht="15" customHeight="1" x14ac:dyDescent="0.25">
      <c r="A2" s="499"/>
      <c r="B2" s="499"/>
      <c r="C2" s="499"/>
      <c r="D2" s="499"/>
      <c r="E2" s="499"/>
      <c r="F2" s="499"/>
      <c r="G2" s="499"/>
      <c r="H2" s="499"/>
    </row>
    <row r="3" spans="1:8" ht="15" customHeight="1" x14ac:dyDescent="0.25">
      <c r="A3" s="499"/>
      <c r="B3" s="499"/>
      <c r="C3" s="499"/>
      <c r="D3" s="499"/>
      <c r="E3" s="499"/>
      <c r="F3" s="499"/>
      <c r="G3" s="499"/>
      <c r="H3" s="499"/>
    </row>
    <row r="4" spans="1:8" ht="15" customHeight="1" x14ac:dyDescent="0.25">
      <c r="A4" s="499"/>
      <c r="B4" s="499"/>
      <c r="C4" s="499"/>
      <c r="D4" s="499"/>
      <c r="E4" s="499"/>
      <c r="F4" s="499"/>
      <c r="G4" s="499"/>
      <c r="H4" s="499"/>
    </row>
    <row r="5" spans="1:8" ht="15" customHeight="1" x14ac:dyDescent="0.25">
      <c r="A5" s="499"/>
      <c r="B5" s="499"/>
      <c r="C5" s="499"/>
      <c r="D5" s="499"/>
      <c r="E5" s="499"/>
      <c r="F5" s="499"/>
      <c r="G5" s="499"/>
      <c r="H5" s="499"/>
    </row>
    <row r="6" spans="1:8" ht="15" customHeight="1" x14ac:dyDescent="0.25">
      <c r="A6" s="499"/>
      <c r="B6" s="499"/>
      <c r="C6" s="499"/>
      <c r="D6" s="499"/>
      <c r="E6" s="499"/>
      <c r="F6" s="499"/>
      <c r="G6" s="499"/>
      <c r="H6" s="499"/>
    </row>
    <row r="7" spans="1:8" ht="15" customHeight="1" x14ac:dyDescent="0.25">
      <c r="A7" s="499"/>
      <c r="B7" s="499"/>
      <c r="C7" s="499"/>
      <c r="D7" s="499"/>
      <c r="E7" s="499"/>
      <c r="F7" s="499"/>
      <c r="G7" s="499"/>
      <c r="H7" s="499"/>
    </row>
    <row r="8" spans="1:8" ht="15" customHeight="1" x14ac:dyDescent="0.25">
      <c r="A8" s="500" t="s">
        <v>15</v>
      </c>
      <c r="B8" s="500"/>
      <c r="C8" s="500"/>
      <c r="D8" s="500"/>
      <c r="E8" s="500"/>
      <c r="F8" s="500"/>
      <c r="G8" s="500"/>
      <c r="H8" s="500"/>
    </row>
    <row r="9" spans="1:8" ht="15" customHeight="1" x14ac:dyDescent="0.25">
      <c r="A9" s="500"/>
      <c r="B9" s="500"/>
      <c r="C9" s="500"/>
      <c r="D9" s="500"/>
      <c r="E9" s="500"/>
      <c r="F9" s="500"/>
      <c r="G9" s="500"/>
      <c r="H9" s="500"/>
    </row>
    <row r="10" spans="1:8" ht="15" customHeight="1" x14ac:dyDescent="0.25">
      <c r="A10" s="500"/>
      <c r="B10" s="500"/>
      <c r="C10" s="500"/>
      <c r="D10" s="500"/>
      <c r="E10" s="500"/>
      <c r="F10" s="500"/>
      <c r="G10" s="500"/>
      <c r="H10" s="500"/>
    </row>
    <row r="11" spans="1:8" ht="15" customHeight="1" x14ac:dyDescent="0.25">
      <c r="A11" s="500"/>
      <c r="B11" s="500"/>
      <c r="C11" s="500"/>
      <c r="D11" s="500"/>
      <c r="E11" s="500"/>
      <c r="F11" s="500"/>
      <c r="G11" s="500"/>
      <c r="H11" s="500"/>
    </row>
    <row r="12" spans="1:8" ht="15" customHeight="1" x14ac:dyDescent="0.25">
      <c r="A12" s="500"/>
      <c r="B12" s="500"/>
      <c r="C12" s="500"/>
      <c r="D12" s="500"/>
      <c r="E12" s="500"/>
      <c r="F12" s="500"/>
      <c r="G12" s="500"/>
      <c r="H12" s="500"/>
    </row>
    <row r="13" spans="1:8" ht="15" customHeight="1" x14ac:dyDescent="0.25">
      <c r="A13" s="500"/>
      <c r="B13" s="500"/>
      <c r="C13" s="500"/>
      <c r="D13" s="500"/>
      <c r="E13" s="500"/>
      <c r="F13" s="500"/>
      <c r="G13" s="500"/>
      <c r="H13" s="500"/>
    </row>
    <row r="14" spans="1:8" ht="15" customHeight="1" x14ac:dyDescent="0.25">
      <c r="A14" s="500"/>
      <c r="B14" s="500"/>
      <c r="C14" s="500"/>
      <c r="D14" s="500"/>
      <c r="E14" s="500"/>
      <c r="F14" s="500"/>
      <c r="G14" s="500"/>
      <c r="H14" s="500"/>
    </row>
    <row r="15" spans="1:8" ht="15.75" thickBot="1" x14ac:dyDescent="0.3">
      <c r="A15" s="501"/>
      <c r="B15" s="501"/>
      <c r="C15" s="501"/>
      <c r="D15" s="501"/>
      <c r="E15" s="501"/>
      <c r="F15" s="501"/>
      <c r="G15" s="501"/>
      <c r="H15" s="501"/>
    </row>
    <row r="16" spans="1:8" ht="19.5" thickBot="1" x14ac:dyDescent="0.35">
      <c r="A16" s="502" t="s">
        <v>8</v>
      </c>
      <c r="B16" s="503"/>
      <c r="C16" s="503"/>
      <c r="D16" s="503"/>
      <c r="E16" s="503"/>
      <c r="F16" s="503"/>
      <c r="G16" s="503"/>
      <c r="H16" s="503"/>
    </row>
    <row r="17" spans="1:8" ht="18.75" x14ac:dyDescent="0.3">
      <c r="A17" s="290" t="s">
        <v>16</v>
      </c>
      <c r="B17" s="290"/>
      <c r="C17" s="290"/>
      <c r="D17" s="291"/>
      <c r="E17" s="291"/>
      <c r="F17" s="291"/>
      <c r="G17" s="291"/>
      <c r="H17" s="291"/>
    </row>
    <row r="18" spans="1:8" ht="26.25" x14ac:dyDescent="0.4">
      <c r="A18" s="292" t="s">
        <v>9</v>
      </c>
      <c r="B18" s="504" t="s">
        <v>54</v>
      </c>
      <c r="C18" s="504"/>
      <c r="D18" s="504"/>
      <c r="E18" s="504"/>
      <c r="F18" s="504"/>
      <c r="G18" s="293"/>
      <c r="H18" s="291"/>
    </row>
    <row r="19" spans="1:8" ht="26.25" x14ac:dyDescent="0.4">
      <c r="A19" s="292" t="s">
        <v>10</v>
      </c>
      <c r="B19" s="294" t="s">
        <v>53</v>
      </c>
      <c r="C19" s="295"/>
      <c r="F19" s="291"/>
      <c r="G19" s="291"/>
      <c r="H19" s="291"/>
    </row>
    <row r="20" spans="1:8" ht="26.25" x14ac:dyDescent="0.4">
      <c r="A20" s="292" t="s">
        <v>11</v>
      </c>
      <c r="B20" s="505" t="s">
        <v>161</v>
      </c>
      <c r="C20" s="505"/>
      <c r="D20" s="505"/>
      <c r="E20" s="291"/>
      <c r="F20" s="291"/>
      <c r="G20" s="291"/>
      <c r="H20" s="291"/>
    </row>
    <row r="21" spans="1:8" ht="26.25" x14ac:dyDescent="0.4">
      <c r="A21" s="292" t="s">
        <v>12</v>
      </c>
      <c r="B21" s="506" t="s">
        <v>162</v>
      </c>
      <c r="C21" s="506"/>
      <c r="D21" s="506"/>
      <c r="E21" s="506"/>
      <c r="F21" s="506"/>
      <c r="G21" s="506"/>
      <c r="H21" s="506"/>
    </row>
    <row r="22" spans="1:8" ht="26.25" x14ac:dyDescent="0.4">
      <c r="A22" s="292" t="s">
        <v>13</v>
      </c>
      <c r="B22" s="296">
        <v>43061</v>
      </c>
      <c r="C22" s="297"/>
      <c r="D22" s="298"/>
      <c r="E22" s="291"/>
      <c r="F22" s="291"/>
      <c r="G22" s="291"/>
      <c r="H22" s="291"/>
    </row>
    <row r="23" spans="1:8" ht="26.25" x14ac:dyDescent="0.4">
      <c r="A23" s="292" t="s">
        <v>14</v>
      </c>
      <c r="B23" s="296">
        <v>43062</v>
      </c>
      <c r="C23" s="297"/>
      <c r="D23" s="298"/>
      <c r="E23" s="291"/>
      <c r="F23" s="291"/>
      <c r="G23" s="291"/>
      <c r="H23" s="291"/>
    </row>
    <row r="24" spans="1:8" ht="18.75" x14ac:dyDescent="0.3">
      <c r="A24" s="292"/>
      <c r="B24" s="299"/>
      <c r="C24" s="299"/>
      <c r="D24" s="291"/>
      <c r="E24" s="291"/>
      <c r="F24" s="291"/>
      <c r="G24" s="291"/>
      <c r="H24" s="291"/>
    </row>
    <row r="25" spans="1:8" ht="18.75" x14ac:dyDescent="0.3">
      <c r="A25" s="300" t="s">
        <v>0</v>
      </c>
      <c r="B25" s="299"/>
      <c r="C25" s="299"/>
      <c r="D25" s="291"/>
      <c r="E25" s="291"/>
      <c r="F25" s="291"/>
      <c r="G25" s="291"/>
      <c r="H25" s="291"/>
    </row>
    <row r="26" spans="1:8" ht="26.25" x14ac:dyDescent="0.4">
      <c r="A26" s="301" t="s">
        <v>1</v>
      </c>
      <c r="B26" s="507" t="s">
        <v>163</v>
      </c>
      <c r="C26" s="507"/>
      <c r="D26" s="302"/>
      <c r="E26" s="291"/>
      <c r="F26" s="291"/>
      <c r="G26" s="291"/>
      <c r="H26" s="291"/>
    </row>
    <row r="27" spans="1:8" ht="26.25" x14ac:dyDescent="0.4">
      <c r="A27" s="303" t="s">
        <v>86</v>
      </c>
      <c r="B27" s="508"/>
      <c r="C27" s="508"/>
      <c r="D27" s="304"/>
      <c r="E27" s="291"/>
      <c r="F27" s="291"/>
      <c r="G27" s="291"/>
      <c r="H27" s="291"/>
    </row>
    <row r="28" spans="1:8" ht="27" thickBot="1" x14ac:dyDescent="0.45">
      <c r="A28" s="303" t="s">
        <v>87</v>
      </c>
      <c r="B28" s="305">
        <v>99.75</v>
      </c>
      <c r="C28" s="306"/>
      <c r="D28" s="291"/>
      <c r="E28" s="291"/>
      <c r="F28" s="291"/>
      <c r="G28" s="291"/>
      <c r="H28" s="291"/>
    </row>
    <row r="29" spans="1:8" ht="27" customHeight="1" thickBot="1" x14ac:dyDescent="0.45">
      <c r="A29" s="303" t="s">
        <v>88</v>
      </c>
      <c r="B29" s="307">
        <v>0</v>
      </c>
      <c r="C29" s="509" t="s">
        <v>89</v>
      </c>
      <c r="D29" s="510"/>
      <c r="E29" s="510"/>
      <c r="F29" s="510"/>
      <c r="G29" s="510"/>
      <c r="H29" s="511"/>
    </row>
    <row r="30" spans="1:8" ht="19.5" thickBot="1" x14ac:dyDescent="0.35">
      <c r="A30" s="303" t="s">
        <v>90</v>
      </c>
      <c r="B30" s="308">
        <f>B28-B29</f>
        <v>99.75</v>
      </c>
      <c r="C30" s="308"/>
      <c r="D30" s="309"/>
      <c r="E30" s="309"/>
      <c r="F30" s="309"/>
      <c r="G30" s="309"/>
      <c r="H30" s="309"/>
    </row>
    <row r="31" spans="1:8" ht="27" customHeight="1" thickBot="1" x14ac:dyDescent="0.45">
      <c r="A31" s="303" t="s">
        <v>91</v>
      </c>
      <c r="B31" s="310">
        <v>97</v>
      </c>
      <c r="C31" s="509" t="s">
        <v>92</v>
      </c>
      <c r="D31" s="510"/>
      <c r="E31" s="510"/>
      <c r="F31" s="510"/>
      <c r="G31" s="510"/>
      <c r="H31" s="511"/>
    </row>
    <row r="32" spans="1:8" ht="27" customHeight="1" thickBot="1" x14ac:dyDescent="0.45">
      <c r="A32" s="303" t="s">
        <v>93</v>
      </c>
      <c r="B32" s="310">
        <v>156.01</v>
      </c>
      <c r="C32" s="509" t="s">
        <v>94</v>
      </c>
      <c r="D32" s="510"/>
      <c r="E32" s="510"/>
      <c r="F32" s="510"/>
      <c r="G32" s="510"/>
      <c r="H32" s="511"/>
    </row>
    <row r="33" spans="1:10" ht="18.75" x14ac:dyDescent="0.3">
      <c r="A33" s="303"/>
      <c r="B33" s="311"/>
      <c r="C33" s="311"/>
      <c r="D33" s="312"/>
      <c r="E33" s="312"/>
      <c r="F33" s="312"/>
      <c r="G33" s="312"/>
      <c r="H33" s="312"/>
    </row>
    <row r="34" spans="1:10" ht="18.75" x14ac:dyDescent="0.3">
      <c r="A34" s="303" t="s">
        <v>95</v>
      </c>
      <c r="B34" s="313">
        <f>B31/B32</f>
        <v>0.62175501570412162</v>
      </c>
      <c r="C34" s="291" t="s">
        <v>96</v>
      </c>
      <c r="E34" s="291"/>
      <c r="F34" s="291"/>
      <c r="G34" s="291"/>
      <c r="H34" s="291"/>
    </row>
    <row r="35" spans="1:10" ht="18.75" x14ac:dyDescent="0.3">
      <c r="A35" s="303"/>
      <c r="B35" s="308"/>
      <c r="C35" s="308"/>
      <c r="D35" s="314"/>
      <c r="E35" s="314"/>
      <c r="F35" s="314"/>
      <c r="G35" s="314"/>
      <c r="H35" s="314"/>
    </row>
    <row r="36" spans="1:10" ht="19.5" thickBot="1" x14ac:dyDescent="0.35">
      <c r="A36" s="303"/>
      <c r="B36" s="308"/>
      <c r="C36" s="308"/>
      <c r="D36" s="314"/>
      <c r="E36" s="314"/>
      <c r="F36" s="314"/>
      <c r="G36" s="314"/>
      <c r="H36" s="314"/>
    </row>
    <row r="37" spans="1:10" ht="23.25" thickBot="1" x14ac:dyDescent="0.35">
      <c r="A37" s="303"/>
      <c r="B37" s="315" t="s">
        <v>129</v>
      </c>
      <c r="C37" s="315" t="s">
        <v>130</v>
      </c>
      <c r="D37" s="315" t="s">
        <v>131</v>
      </c>
      <c r="E37" s="315" t="s">
        <v>132</v>
      </c>
      <c r="F37" s="315" t="s">
        <v>133</v>
      </c>
      <c r="G37" s="315" t="s">
        <v>134</v>
      </c>
      <c r="H37" s="315" t="s">
        <v>135</v>
      </c>
      <c r="I37" s="315" t="s">
        <v>136</v>
      </c>
      <c r="J37" s="315" t="s">
        <v>137</v>
      </c>
    </row>
    <row r="38" spans="1:10" ht="26.25" x14ac:dyDescent="0.4">
      <c r="A38" s="316" t="s">
        <v>97</v>
      </c>
      <c r="B38" s="317">
        <v>1000</v>
      </c>
      <c r="C38" s="318">
        <v>1000</v>
      </c>
      <c r="D38" s="318">
        <v>1000</v>
      </c>
      <c r="E38" s="318">
        <v>1000</v>
      </c>
      <c r="F38" s="318">
        <v>1000</v>
      </c>
      <c r="G38" s="318"/>
      <c r="H38" s="318"/>
      <c r="I38" s="318"/>
      <c r="J38" s="318"/>
    </row>
    <row r="39" spans="1:10" ht="26.25" x14ac:dyDescent="0.4">
      <c r="A39" s="319" t="s">
        <v>138</v>
      </c>
      <c r="B39" s="320">
        <v>2</v>
      </c>
      <c r="C39" s="321">
        <v>3.5</v>
      </c>
      <c r="D39" s="321">
        <v>5</v>
      </c>
      <c r="E39" s="321">
        <v>6.5</v>
      </c>
      <c r="F39" s="321">
        <v>8</v>
      </c>
      <c r="G39" s="321"/>
      <c r="H39" s="321"/>
      <c r="I39" s="321"/>
      <c r="J39" s="321"/>
    </row>
    <row r="40" spans="1:10" ht="26.25" x14ac:dyDescent="0.4">
      <c r="A40" s="319" t="s">
        <v>139</v>
      </c>
      <c r="B40" s="320">
        <v>100</v>
      </c>
      <c r="C40" s="321">
        <v>100</v>
      </c>
      <c r="D40" s="321">
        <v>100</v>
      </c>
      <c r="E40" s="321">
        <v>100</v>
      </c>
      <c r="F40" s="321">
        <v>100</v>
      </c>
      <c r="G40" s="321"/>
      <c r="H40" s="321"/>
      <c r="I40" s="321"/>
      <c r="J40" s="321"/>
    </row>
    <row r="41" spans="1:10" ht="26.25" x14ac:dyDescent="0.4">
      <c r="A41" s="319" t="s">
        <v>140</v>
      </c>
      <c r="B41" s="320">
        <v>1</v>
      </c>
      <c r="C41" s="321">
        <v>1</v>
      </c>
      <c r="D41" s="321">
        <v>1</v>
      </c>
      <c r="E41" s="321">
        <v>1</v>
      </c>
      <c r="F41" s="321">
        <v>1</v>
      </c>
      <c r="G41" s="321"/>
      <c r="H41" s="321"/>
      <c r="I41" s="321"/>
      <c r="J41" s="321"/>
    </row>
    <row r="42" spans="1:10" ht="26.25" x14ac:dyDescent="0.4">
      <c r="A42" s="319" t="s">
        <v>141</v>
      </c>
      <c r="B42" s="320">
        <v>1</v>
      </c>
      <c r="C42" s="321">
        <v>1</v>
      </c>
      <c r="D42" s="321">
        <v>1</v>
      </c>
      <c r="E42" s="321">
        <v>1</v>
      </c>
      <c r="F42" s="321">
        <v>1</v>
      </c>
      <c r="G42" s="321"/>
      <c r="H42" s="321"/>
      <c r="I42" s="321"/>
      <c r="J42" s="321"/>
    </row>
    <row r="43" spans="1:10" ht="26.25" x14ac:dyDescent="0.4">
      <c r="A43" s="319" t="s">
        <v>142</v>
      </c>
      <c r="B43" s="320">
        <v>1</v>
      </c>
      <c r="C43" s="321">
        <v>1</v>
      </c>
      <c r="D43" s="321">
        <v>1</v>
      </c>
      <c r="E43" s="321">
        <v>1</v>
      </c>
      <c r="F43" s="321">
        <v>1</v>
      </c>
      <c r="G43" s="321"/>
      <c r="H43" s="321"/>
      <c r="I43" s="321"/>
      <c r="J43" s="321"/>
    </row>
    <row r="44" spans="1:10" ht="26.25" x14ac:dyDescent="0.4">
      <c r="A44" s="319" t="s">
        <v>143</v>
      </c>
      <c r="B44" s="320">
        <v>1</v>
      </c>
      <c r="C44" s="321">
        <v>1</v>
      </c>
      <c r="D44" s="321">
        <v>1</v>
      </c>
      <c r="E44" s="321">
        <v>1</v>
      </c>
      <c r="F44" s="321">
        <v>1</v>
      </c>
      <c r="G44" s="321"/>
      <c r="H44" s="321"/>
      <c r="I44" s="321"/>
      <c r="J44" s="321"/>
    </row>
    <row r="45" spans="1:10" ht="26.25" x14ac:dyDescent="0.4">
      <c r="A45" s="319" t="s">
        <v>144</v>
      </c>
      <c r="B45" s="320">
        <v>1</v>
      </c>
      <c r="C45" s="321">
        <v>1</v>
      </c>
      <c r="D45" s="321">
        <v>1</v>
      </c>
      <c r="E45" s="321">
        <v>1</v>
      </c>
      <c r="F45" s="321">
        <v>1</v>
      </c>
      <c r="G45" s="321"/>
      <c r="H45" s="321"/>
      <c r="I45" s="321"/>
      <c r="J45" s="321"/>
    </row>
    <row r="46" spans="1:10" ht="27" thickBot="1" x14ac:dyDescent="0.45">
      <c r="A46" s="319" t="s">
        <v>145</v>
      </c>
      <c r="B46" s="322">
        <v>1</v>
      </c>
      <c r="C46" s="323">
        <v>1</v>
      </c>
      <c r="D46" s="323">
        <v>1</v>
      </c>
      <c r="E46" s="323">
        <v>1</v>
      </c>
      <c r="F46" s="323">
        <v>1</v>
      </c>
      <c r="G46" s="323"/>
      <c r="H46" s="323"/>
      <c r="I46" s="323"/>
      <c r="J46" s="323"/>
    </row>
    <row r="47" spans="1:10" ht="19.5" thickBot="1" x14ac:dyDescent="0.35">
      <c r="A47" s="319" t="s">
        <v>111</v>
      </c>
      <c r="B47" s="324">
        <f t="shared" ref="B47:J47" si="0">(B46/B45)*(B44/B43)*(B42/B41)*(B40/B39)*B38</f>
        <v>50000</v>
      </c>
      <c r="C47" s="325">
        <f t="shared" si="0"/>
        <v>28571.428571428572</v>
      </c>
      <c r="D47" s="325">
        <f t="shared" si="0"/>
        <v>20000</v>
      </c>
      <c r="E47" s="325">
        <f t="shared" si="0"/>
        <v>15384.615384615385</v>
      </c>
      <c r="F47" s="325">
        <f t="shared" si="0"/>
        <v>12500</v>
      </c>
      <c r="G47" s="325" t="e">
        <f t="shared" si="0"/>
        <v>#DIV/0!</v>
      </c>
      <c r="H47" s="325" t="e">
        <f t="shared" si="0"/>
        <v>#DIV/0!</v>
      </c>
      <c r="I47" s="325" t="e">
        <f t="shared" si="0"/>
        <v>#DIV/0!</v>
      </c>
      <c r="J47" s="325" t="e">
        <f t="shared" si="0"/>
        <v>#DIV/0!</v>
      </c>
    </row>
    <row r="48" spans="1:10" ht="18.75" x14ac:dyDescent="0.25">
      <c r="A48" s="495" t="s">
        <v>79</v>
      </c>
      <c r="B48" s="496"/>
      <c r="C48" s="312"/>
    </row>
    <row r="49" spans="1:10" ht="19.5" thickBot="1" x14ac:dyDescent="0.3">
      <c r="A49" s="497"/>
      <c r="B49" s="498"/>
      <c r="C49" s="312"/>
    </row>
    <row r="50" spans="1:10" ht="19.5" thickBot="1" x14ac:dyDescent="0.35">
      <c r="A50" s="291"/>
      <c r="B50" s="291"/>
      <c r="C50" s="291"/>
    </row>
    <row r="51" spans="1:10" ht="19.5" thickBot="1" x14ac:dyDescent="0.35">
      <c r="A51" s="291"/>
      <c r="B51" s="515" t="s">
        <v>98</v>
      </c>
      <c r="C51" s="516"/>
      <c r="D51" s="516"/>
      <c r="E51" s="516"/>
      <c r="F51" s="516"/>
      <c r="G51" s="516"/>
      <c r="H51" s="516"/>
      <c r="I51" s="516"/>
      <c r="J51" s="517"/>
    </row>
    <row r="52" spans="1:10" ht="23.25" thickBot="1" x14ac:dyDescent="0.35">
      <c r="A52" s="291"/>
      <c r="B52" s="315" t="s">
        <v>129</v>
      </c>
      <c r="C52" s="315" t="s">
        <v>130</v>
      </c>
      <c r="D52" s="315" t="s">
        <v>131</v>
      </c>
      <c r="E52" s="315" t="s">
        <v>132</v>
      </c>
      <c r="F52" s="315" t="s">
        <v>133</v>
      </c>
      <c r="G52" s="315" t="s">
        <v>134</v>
      </c>
      <c r="H52" s="315" t="s">
        <v>135</v>
      </c>
      <c r="I52" s="315" t="s">
        <v>136</v>
      </c>
      <c r="J52" s="315" t="s">
        <v>137</v>
      </c>
    </row>
    <row r="53" spans="1:10" ht="18.75" x14ac:dyDescent="0.3">
      <c r="A53" s="326" t="s">
        <v>62</v>
      </c>
      <c r="B53" s="327" t="s">
        <v>63</v>
      </c>
      <c r="C53" s="328" t="s">
        <v>63</v>
      </c>
      <c r="D53" s="328" t="s">
        <v>63</v>
      </c>
      <c r="E53" s="328" t="s">
        <v>63</v>
      </c>
      <c r="F53" s="328" t="s">
        <v>63</v>
      </c>
      <c r="G53" s="328" t="s">
        <v>63</v>
      </c>
      <c r="H53" s="328" t="s">
        <v>63</v>
      </c>
      <c r="I53" s="328" t="s">
        <v>63</v>
      </c>
      <c r="J53" s="328" t="s">
        <v>63</v>
      </c>
    </row>
    <row r="54" spans="1:10" ht="26.25" x14ac:dyDescent="0.4">
      <c r="A54" s="329">
        <v>1</v>
      </c>
      <c r="B54" s="330">
        <v>0.24099999999999999</v>
      </c>
      <c r="C54" s="331">
        <v>0.42699999999999999</v>
      </c>
      <c r="D54" s="331">
        <v>0.61199999999999999</v>
      </c>
      <c r="E54" s="331">
        <v>0.79700000000000004</v>
      </c>
      <c r="F54" s="332">
        <v>0.98599999999999999</v>
      </c>
      <c r="G54" s="427">
        <v>0</v>
      </c>
      <c r="H54" s="331"/>
      <c r="I54" s="331"/>
      <c r="J54" s="331"/>
    </row>
    <row r="55" spans="1:10" ht="26.25" x14ac:dyDescent="0.4">
      <c r="A55" s="333">
        <v>2</v>
      </c>
      <c r="B55" s="305">
        <v>0.24199999999999999</v>
      </c>
      <c r="C55" s="332">
        <v>0.42799999999999999</v>
      </c>
      <c r="D55" s="332">
        <v>0.61299999999999999</v>
      </c>
      <c r="E55" s="332">
        <v>0.79800000000000004</v>
      </c>
      <c r="F55" s="332">
        <v>0.98699999999999999</v>
      </c>
      <c r="G55" s="427">
        <v>0</v>
      </c>
      <c r="H55" s="332"/>
      <c r="I55" s="332"/>
      <c r="J55" s="332"/>
    </row>
    <row r="56" spans="1:10" ht="26.25" x14ac:dyDescent="0.4">
      <c r="A56" s="333">
        <v>3</v>
      </c>
      <c r="B56" s="305">
        <v>0.24199999999999999</v>
      </c>
      <c r="C56" s="332">
        <v>0.42899999999999999</v>
      </c>
      <c r="D56" s="332">
        <v>0.61299999999999999</v>
      </c>
      <c r="E56" s="332">
        <v>0.79900000000000004</v>
      </c>
      <c r="F56" s="332">
        <v>0.98899999999999999</v>
      </c>
      <c r="G56" s="427">
        <v>0</v>
      </c>
      <c r="H56" s="332"/>
      <c r="I56" s="332"/>
      <c r="J56" s="332"/>
    </row>
    <row r="57" spans="1:10" ht="27" thickBot="1" x14ac:dyDescent="0.45">
      <c r="A57" s="334">
        <v>4</v>
      </c>
      <c r="B57" s="305"/>
      <c r="C57" s="332"/>
      <c r="D57" s="332"/>
      <c r="E57" s="332"/>
      <c r="F57" s="332"/>
      <c r="G57" s="332"/>
      <c r="H57" s="332"/>
      <c r="I57" s="332"/>
      <c r="J57" s="332"/>
    </row>
    <row r="58" spans="1:10" ht="28.5" customHeight="1" thickBot="1" x14ac:dyDescent="0.45">
      <c r="A58" s="335" t="s">
        <v>172</v>
      </c>
      <c r="B58" s="336">
        <f>IF(ISBLANK(B38),"-",AVERAGE(B54:B57))</f>
        <v>0.24166666666666667</v>
      </c>
      <c r="C58" s="337">
        <f t="shared" ref="C58:J58" si="1">IF(ISBLANK(C38),"-",AVERAGE(C54:C57))</f>
        <v>0.42799999999999999</v>
      </c>
      <c r="D58" s="337">
        <f t="shared" si="1"/>
        <v>0.61266666666666669</v>
      </c>
      <c r="E58" s="337">
        <f t="shared" si="1"/>
        <v>0.79800000000000004</v>
      </c>
      <c r="F58" s="337">
        <f>IF(ISBLANK(F38),"-",AVERAGE(F54:F57))</f>
        <v>0.98733333333333329</v>
      </c>
      <c r="G58" s="337" t="str">
        <f t="shared" si="1"/>
        <v>-</v>
      </c>
      <c r="H58" s="337" t="str">
        <f t="shared" si="1"/>
        <v>-</v>
      </c>
      <c r="I58" s="337" t="str">
        <f t="shared" si="1"/>
        <v>-</v>
      </c>
      <c r="J58" s="337" t="str">
        <f t="shared" si="1"/>
        <v>-</v>
      </c>
    </row>
    <row r="59" spans="1:10" ht="27" thickBot="1" x14ac:dyDescent="0.45">
      <c r="A59" s="338" t="s">
        <v>173</v>
      </c>
      <c r="B59" s="339">
        <f t="shared" ref="B59:J59" si="2">IF(ISBLANK(B38),"-",$B$60/B47)</f>
        <v>2.0032852410101921E-2</v>
      </c>
      <c r="C59" s="340">
        <f t="shared" si="2"/>
        <v>3.5057491717678357E-2</v>
      </c>
      <c r="D59" s="340">
        <f t="shared" si="2"/>
        <v>5.00821310252548E-2</v>
      </c>
      <c r="E59" s="340">
        <f t="shared" si="2"/>
        <v>6.5106770332831243E-2</v>
      </c>
      <c r="F59" s="340">
        <f t="shared" si="2"/>
        <v>8.0131409640407686E-2</v>
      </c>
      <c r="G59" s="340" t="str">
        <f t="shared" si="2"/>
        <v>-</v>
      </c>
      <c r="H59" s="340" t="str">
        <f t="shared" si="2"/>
        <v>-</v>
      </c>
      <c r="I59" s="340" t="str">
        <f t="shared" si="2"/>
        <v>-</v>
      </c>
      <c r="J59" s="340" t="str">
        <f t="shared" si="2"/>
        <v>-</v>
      </c>
    </row>
    <row r="60" spans="1:10" ht="26.25" x14ac:dyDescent="0.4">
      <c r="A60" s="341" t="s">
        <v>112</v>
      </c>
      <c r="B60" s="342">
        <f>B61*$B$30/100</f>
        <v>1001.642620505096</v>
      </c>
      <c r="C60" s="306"/>
      <c r="D60" s="306"/>
      <c r="E60" s="306"/>
      <c r="F60" s="306"/>
      <c r="G60" s="306"/>
      <c r="H60" s="306"/>
      <c r="I60" s="306"/>
      <c r="J60" s="306"/>
    </row>
    <row r="61" spans="1:10" ht="27" thickBot="1" x14ac:dyDescent="0.45">
      <c r="A61" s="341" t="s">
        <v>110</v>
      </c>
      <c r="B61" s="343">
        <f>B62*$B$34</f>
        <v>1004.1530030126276</v>
      </c>
      <c r="C61" s="306"/>
      <c r="D61" s="306"/>
      <c r="E61" s="306"/>
      <c r="F61" s="306"/>
      <c r="G61" s="306"/>
      <c r="H61" s="306"/>
      <c r="I61" s="306"/>
      <c r="J61" s="306"/>
    </row>
    <row r="62" spans="1:10" ht="26.25" x14ac:dyDescent="0.4">
      <c r="A62" s="344" t="s">
        <v>108</v>
      </c>
      <c r="B62" s="345">
        <v>1615.03</v>
      </c>
      <c r="C62" s="306"/>
      <c r="D62" s="306"/>
      <c r="E62" s="306"/>
      <c r="F62" s="306"/>
      <c r="G62" s="306"/>
      <c r="H62" s="306"/>
      <c r="I62" s="306"/>
      <c r="J62" s="306"/>
    </row>
    <row r="63" spans="1:10" ht="18.75" x14ac:dyDescent="0.3">
      <c r="A63" s="346" t="s">
        <v>146</v>
      </c>
      <c r="B63" s="347">
        <f>SLOPE(B58:H58,B59:H59)</f>
        <v>12.388539220337373</v>
      </c>
      <c r="D63" s="291"/>
      <c r="E63" s="291"/>
      <c r="F63" s="291"/>
      <c r="G63" s="291"/>
      <c r="H63" s="291"/>
    </row>
    <row r="64" spans="1:10" ht="18.75" x14ac:dyDescent="0.3">
      <c r="A64" s="346" t="s">
        <v>147</v>
      </c>
      <c r="B64" s="348">
        <f>INTERCEPT(B58:J58,B59:J59)</f>
        <v>-6.9111111111109791E-3</v>
      </c>
      <c r="C64" s="349"/>
      <c r="D64" s="291"/>
      <c r="E64" s="291"/>
      <c r="F64" s="291"/>
      <c r="G64" s="291"/>
      <c r="H64" s="291"/>
    </row>
    <row r="65" spans="1:14" ht="18.75" x14ac:dyDescent="0.3">
      <c r="A65" s="346" t="s">
        <v>148</v>
      </c>
      <c r="B65" s="350">
        <f>CORREL(B58:H58,B59:H59)</f>
        <v>0.99999076375059426</v>
      </c>
      <c r="C65" s="349"/>
      <c r="D65" s="291"/>
      <c r="E65" s="291"/>
      <c r="F65" s="291"/>
      <c r="G65" s="291"/>
      <c r="H65" s="291"/>
    </row>
    <row r="66" spans="1:14" ht="22.5" thickBot="1" x14ac:dyDescent="0.35">
      <c r="A66" s="351" t="s">
        <v>149</v>
      </c>
      <c r="B66" s="352">
        <f>RSQ(B58:H58,B59:H59)</f>
        <v>0.99998152758649661</v>
      </c>
      <c r="C66" s="349"/>
      <c r="D66" s="291"/>
      <c r="E66" s="291"/>
      <c r="F66" s="291"/>
      <c r="G66" s="291"/>
      <c r="H66" s="291"/>
    </row>
    <row r="67" spans="1:14" ht="18.75" x14ac:dyDescent="0.3">
      <c r="A67" s="290"/>
      <c r="B67" s="349"/>
      <c r="C67" s="349"/>
      <c r="D67" s="291"/>
      <c r="E67" s="291"/>
      <c r="F67" s="291"/>
      <c r="G67" s="291"/>
      <c r="H67" s="291"/>
    </row>
    <row r="68" spans="1:14" ht="18.75" x14ac:dyDescent="0.3">
      <c r="A68" s="290" t="s">
        <v>0</v>
      </c>
      <c r="B68" s="349" t="s">
        <v>18</v>
      </c>
      <c r="C68" s="349"/>
      <c r="D68" s="291"/>
      <c r="E68" s="291"/>
      <c r="F68" s="291"/>
      <c r="G68" s="353"/>
      <c r="H68" s="291"/>
    </row>
    <row r="69" spans="1:14" ht="18.75" x14ac:dyDescent="0.3">
      <c r="A69" s="291" t="s">
        <v>19</v>
      </c>
      <c r="B69" s="354" t="str">
        <f>B21</f>
        <v>Each 1ml contains 2.8518mg Inorganic Phosphates</v>
      </c>
      <c r="C69" s="354"/>
      <c r="D69" s="291"/>
      <c r="E69" s="291"/>
      <c r="F69" s="291"/>
      <c r="G69" s="291"/>
      <c r="H69" s="291"/>
    </row>
    <row r="70" spans="1:14" ht="26.25" x14ac:dyDescent="0.4">
      <c r="A70" s="355" t="s">
        <v>39</v>
      </c>
      <c r="B70" s="356">
        <v>1</v>
      </c>
      <c r="C70" s="357" t="s">
        <v>40</v>
      </c>
      <c r="D70" s="358">
        <f>29.4*97/1000</f>
        <v>2.8517999999999999</v>
      </c>
      <c r="E70" s="359" t="str">
        <f>B20</f>
        <v>INORGANIC PHOSPHATES</v>
      </c>
      <c r="F70" s="359"/>
      <c r="G70" s="428"/>
      <c r="H70" s="291"/>
    </row>
    <row r="71" spans="1:14" ht="17.25" thickBot="1" x14ac:dyDescent="0.35">
      <c r="A71" s="360"/>
      <c r="B71" s="360"/>
      <c r="C71" s="360"/>
      <c r="D71" s="360"/>
      <c r="E71" s="361"/>
      <c r="F71" s="361"/>
      <c r="G71" s="361"/>
      <c r="H71" s="361"/>
    </row>
    <row r="72" spans="1:14" s="366" customFormat="1" ht="27" thickBot="1" x14ac:dyDescent="0.45">
      <c r="A72" s="362" t="s">
        <v>60</v>
      </c>
      <c r="B72" s="363">
        <v>100</v>
      </c>
      <c r="C72" s="359"/>
      <c r="D72" s="364" t="s">
        <v>61</v>
      </c>
      <c r="E72" s="365" t="s">
        <v>62</v>
      </c>
      <c r="F72" s="365" t="s">
        <v>63</v>
      </c>
      <c r="G72" s="365" t="s">
        <v>174</v>
      </c>
      <c r="H72" s="365" t="s">
        <v>175</v>
      </c>
      <c r="I72" s="365" t="s">
        <v>66</v>
      </c>
      <c r="N72" s="367"/>
    </row>
    <row r="73" spans="1:14" s="366" customFormat="1" ht="26.25" x14ac:dyDescent="0.4">
      <c r="A73" s="368" t="s">
        <v>150</v>
      </c>
      <c r="B73" s="369">
        <v>1</v>
      </c>
      <c r="C73" s="518" t="s">
        <v>68</v>
      </c>
      <c r="D73" s="521">
        <v>2</v>
      </c>
      <c r="E73" s="370">
        <v>1</v>
      </c>
      <c r="F73" s="371">
        <v>0.71699999999999997</v>
      </c>
      <c r="G73" s="421">
        <f>FORECAST(F73,B59:G59,B58:G58)</f>
        <v>5.8433781978400719E-2</v>
      </c>
      <c r="H73" s="421">
        <f>D73*D70/B81</f>
        <v>5.7035999999999996E-2</v>
      </c>
      <c r="I73" s="372">
        <f>G73/H73*100</f>
        <v>102.45070127358287</v>
      </c>
      <c r="N73" s="367"/>
    </row>
    <row r="74" spans="1:14" s="366" customFormat="1" ht="26.25" x14ac:dyDescent="0.4">
      <c r="A74" s="368" t="s">
        <v>151</v>
      </c>
      <c r="B74" s="369">
        <v>1</v>
      </c>
      <c r="C74" s="519"/>
      <c r="D74" s="522"/>
      <c r="E74" s="373">
        <v>2</v>
      </c>
      <c r="F74" s="374">
        <v>0.72099999999999997</v>
      </c>
      <c r="G74" s="422">
        <f>FORECAST(F74,B59:F59,B58:F58)</f>
        <v>5.8756655082259454E-2</v>
      </c>
      <c r="H74" s="424">
        <f>D73*D70/B81</f>
        <v>5.7035999999999996E-2</v>
      </c>
      <c r="I74" s="375">
        <f>G74/H74*100</f>
        <v>103.01678778711596</v>
      </c>
      <c r="N74" s="367"/>
    </row>
    <row r="75" spans="1:14" s="366" customFormat="1" ht="26.25" x14ac:dyDescent="0.4">
      <c r="A75" s="368" t="s">
        <v>152</v>
      </c>
      <c r="B75" s="369">
        <v>1</v>
      </c>
      <c r="C75" s="519"/>
      <c r="D75" s="522"/>
      <c r="E75" s="373">
        <v>3</v>
      </c>
      <c r="F75" s="374">
        <v>0.72599999999999998</v>
      </c>
      <c r="G75" s="422">
        <f>FORECAST(F75,B59:F59,B58:F58)</f>
        <v>5.9160246462082872E-2</v>
      </c>
      <c r="H75" s="424">
        <f>D73*D70/B81</f>
        <v>5.7035999999999996E-2</v>
      </c>
      <c r="I75" s="375">
        <f>G75/H75*100</f>
        <v>103.72439592903233</v>
      </c>
      <c r="N75" s="367"/>
    </row>
    <row r="76" spans="1:14" s="291" customFormat="1" ht="27" thickBot="1" x14ac:dyDescent="0.45">
      <c r="A76" s="368" t="s">
        <v>153</v>
      </c>
      <c r="B76" s="369">
        <v>1</v>
      </c>
      <c r="C76" s="520"/>
      <c r="D76" s="523"/>
      <c r="E76" s="376">
        <v>4</v>
      </c>
      <c r="F76" s="377"/>
      <c r="G76" s="422"/>
      <c r="H76" s="424"/>
      <c r="I76" s="375" t="str">
        <f t="shared" ref="H76:I84" si="3">IF(ISBLANK(G76),"-",(H76/$D$70)*100)</f>
        <v>-</v>
      </c>
    </row>
    <row r="77" spans="1:14" s="291" customFormat="1" ht="26.25" x14ac:dyDescent="0.4">
      <c r="A77" s="368" t="s">
        <v>154</v>
      </c>
      <c r="B77" s="369">
        <v>1</v>
      </c>
      <c r="C77" s="518" t="s">
        <v>73</v>
      </c>
      <c r="D77" s="524">
        <v>2</v>
      </c>
      <c r="E77" s="370">
        <v>1</v>
      </c>
      <c r="F77" s="371">
        <v>0.72199999999999998</v>
      </c>
      <c r="G77" s="421">
        <f>FORECAST(F77,B59:F59,B58:F58)</f>
        <v>5.8837373358224136E-2</v>
      </c>
      <c r="H77" s="425">
        <f>D77*D70/B81</f>
        <v>5.7035999999999996E-2</v>
      </c>
      <c r="I77" s="372">
        <f>G77/H77*100</f>
        <v>103.15830941549923</v>
      </c>
    </row>
    <row r="78" spans="1:14" s="291" customFormat="1" ht="26.25" x14ac:dyDescent="0.4">
      <c r="A78" s="368" t="s">
        <v>155</v>
      </c>
      <c r="B78" s="369">
        <v>1</v>
      </c>
      <c r="C78" s="519"/>
      <c r="D78" s="525"/>
      <c r="E78" s="373">
        <v>2</v>
      </c>
      <c r="F78" s="374">
        <v>0.72799999999999998</v>
      </c>
      <c r="G78" s="422">
        <f>FORECAST(F78,B59:F59,B58:F58)</f>
        <v>5.9321683014012236E-2</v>
      </c>
      <c r="H78" s="424">
        <f>D77*D70/B81</f>
        <v>5.7035999999999996E-2</v>
      </c>
      <c r="I78" s="375">
        <f>G78/H78*100</f>
        <v>104.00743918579887</v>
      </c>
    </row>
    <row r="79" spans="1:14" s="291" customFormat="1" ht="26.25" x14ac:dyDescent="0.4">
      <c r="A79" s="368" t="s">
        <v>156</v>
      </c>
      <c r="B79" s="369">
        <v>1</v>
      </c>
      <c r="C79" s="519"/>
      <c r="D79" s="525"/>
      <c r="E79" s="373">
        <v>3</v>
      </c>
      <c r="F79" s="374">
        <v>0.73199999999999998</v>
      </c>
      <c r="G79" s="422">
        <f>FORECAST(F79,B59:F59,B58:F58)</f>
        <v>5.9644556117870971E-2</v>
      </c>
      <c r="H79" s="424">
        <f>D77*D70/B81</f>
        <v>5.7035999999999996E-2</v>
      </c>
      <c r="I79" s="375">
        <f>G79/H79*100</f>
        <v>104.57352569933195</v>
      </c>
    </row>
    <row r="80" spans="1:14" s="291" customFormat="1" ht="27" thickBot="1" x14ac:dyDescent="0.45">
      <c r="A80" s="368" t="s">
        <v>157</v>
      </c>
      <c r="B80" s="369">
        <v>1</v>
      </c>
      <c r="C80" s="520"/>
      <c r="D80" s="526"/>
      <c r="E80" s="376">
        <v>4</v>
      </c>
      <c r="F80" s="377"/>
      <c r="G80" s="423"/>
      <c r="H80" s="426"/>
      <c r="I80" s="378" t="str">
        <f t="shared" si="3"/>
        <v>-</v>
      </c>
    </row>
    <row r="81" spans="1:9" s="291" customFormat="1" ht="26.25" x14ac:dyDescent="0.4">
      <c r="A81" s="368" t="s">
        <v>77</v>
      </c>
      <c r="B81" s="379">
        <f>(B80/B79)*(B78/B77)*(B76/B75)*(B74/B73)*B72</f>
        <v>100</v>
      </c>
      <c r="C81" s="518" t="s">
        <v>78</v>
      </c>
      <c r="D81" s="521">
        <v>2</v>
      </c>
      <c r="E81" s="370">
        <v>1</v>
      </c>
      <c r="F81" s="371">
        <v>0.72399999999999998</v>
      </c>
      <c r="G81" s="422">
        <f>FORECAST(F81,B59:F59,B58:F58)</f>
        <v>5.8998809910153507E-2</v>
      </c>
      <c r="H81" s="424">
        <f>D81*D70/B81</f>
        <v>5.7035999999999996E-2</v>
      </c>
      <c r="I81" s="375">
        <f>G81/H81*100</f>
        <v>103.44135267226578</v>
      </c>
    </row>
    <row r="82" spans="1:9" s="291" customFormat="1" ht="27" thickBot="1" x14ac:dyDescent="0.45">
      <c r="A82" s="380"/>
      <c r="B82" s="381"/>
      <c r="C82" s="519"/>
      <c r="D82" s="522"/>
      <c r="E82" s="373">
        <v>2</v>
      </c>
      <c r="F82" s="374">
        <v>0.72599999999999998</v>
      </c>
      <c r="G82" s="422">
        <f>FORECAST(F82,B59:F59,B58:F58)</f>
        <v>5.9160246462082872E-2</v>
      </c>
      <c r="H82" s="424">
        <f>D81*D70/B81</f>
        <v>5.7035999999999996E-2</v>
      </c>
      <c r="I82" s="375">
        <f>G82/H82*100</f>
        <v>103.72439592903233</v>
      </c>
    </row>
    <row r="83" spans="1:9" s="291" customFormat="1" ht="26.25" customHeight="1" x14ac:dyDescent="0.4">
      <c r="A83" s="528" t="s">
        <v>79</v>
      </c>
      <c r="B83" s="529"/>
      <c r="C83" s="519"/>
      <c r="D83" s="522"/>
      <c r="E83" s="373">
        <v>3</v>
      </c>
      <c r="F83" s="374">
        <v>0.73299999999999998</v>
      </c>
      <c r="G83" s="422">
        <f>FORECAST(F83,B59:F59,B58:F58)</f>
        <v>5.9725274393835653E-2</v>
      </c>
      <c r="H83" s="424">
        <f>D81*D70/B81</f>
        <v>5.7035999999999996E-2</v>
      </c>
      <c r="I83" s="375">
        <f>G83/H83*100</f>
        <v>104.71504732771524</v>
      </c>
    </row>
    <row r="84" spans="1:9" s="291" customFormat="1" ht="27" thickBot="1" x14ac:dyDescent="0.45">
      <c r="A84" s="530"/>
      <c r="B84" s="531"/>
      <c r="C84" s="527"/>
      <c r="D84" s="523"/>
      <c r="E84" s="376">
        <v>4</v>
      </c>
      <c r="F84" s="377"/>
      <c r="G84" s="423"/>
      <c r="H84" s="378" t="str">
        <f t="shared" si="3"/>
        <v>-</v>
      </c>
      <c r="I84" s="378" t="str">
        <f t="shared" si="3"/>
        <v>-</v>
      </c>
    </row>
    <row r="85" spans="1:9" s="291" customFormat="1" ht="26.25" x14ac:dyDescent="0.4">
      <c r="A85" s="382"/>
      <c r="B85" s="382"/>
      <c r="C85" s="382"/>
      <c r="D85" s="382"/>
      <c r="E85" s="382"/>
      <c r="F85" s="383"/>
      <c r="G85" s="384" t="s">
        <v>80</v>
      </c>
      <c r="H85" s="385"/>
      <c r="I85" s="385">
        <f>AVERAGE(I73:I84)</f>
        <v>103.64577280215273</v>
      </c>
    </row>
    <row r="86" spans="1:9" s="291" customFormat="1" ht="26.25" x14ac:dyDescent="0.4">
      <c r="A86" s="359"/>
      <c r="B86" s="359"/>
      <c r="C86" s="382"/>
      <c r="D86" s="382"/>
      <c r="E86" s="382"/>
      <c r="F86" s="383"/>
      <c r="G86" s="386" t="s">
        <v>17</v>
      </c>
      <c r="H86" s="387"/>
      <c r="I86" s="387">
        <f>STDEV(I73:I84)/I85</f>
        <v>7.0326929824171772E-3</v>
      </c>
    </row>
    <row r="87" spans="1:9" s="291" customFormat="1" ht="27" thickBot="1" x14ac:dyDescent="0.45">
      <c r="A87" s="382"/>
      <c r="B87" s="382"/>
      <c r="C87" s="383"/>
      <c r="D87" s="383"/>
      <c r="E87" s="388"/>
      <c r="F87" s="383"/>
      <c r="G87" s="389" t="s">
        <v>2</v>
      </c>
      <c r="H87" s="390"/>
      <c r="I87" s="390">
        <f>COUNT(I73:I84)</f>
        <v>9</v>
      </c>
    </row>
    <row r="88" spans="1:9" s="291" customFormat="1" ht="27" thickBot="1" x14ac:dyDescent="0.45">
      <c r="A88" s="391"/>
      <c r="B88" s="391"/>
      <c r="C88" s="392"/>
      <c r="D88" s="392"/>
      <c r="E88" s="393"/>
      <c r="G88" s="394"/>
      <c r="H88" s="395"/>
      <c r="I88" s="395"/>
    </row>
    <row r="89" spans="1:9" ht="16.5" x14ac:dyDescent="0.3">
      <c r="A89" s="360"/>
      <c r="B89" s="360"/>
      <c r="C89" s="360"/>
      <c r="D89" s="360"/>
      <c r="E89" s="361"/>
      <c r="F89" s="361"/>
      <c r="G89" s="361"/>
      <c r="H89" s="361"/>
    </row>
    <row r="90" spans="1:9" ht="26.25" x14ac:dyDescent="0.4">
      <c r="A90" s="301" t="s">
        <v>158</v>
      </c>
      <c r="B90" s="396" t="s">
        <v>82</v>
      </c>
      <c r="C90" s="397" t="str">
        <f>B20</f>
        <v>INORGANIC PHOSPHATES</v>
      </c>
      <c r="D90" s="398" t="s">
        <v>83</v>
      </c>
      <c r="E90" s="398"/>
      <c r="H90" s="399"/>
      <c r="I90" s="399">
        <f>I85</f>
        <v>103.64577280215273</v>
      </c>
    </row>
    <row r="91" spans="1:9" ht="18.75" x14ac:dyDescent="0.3">
      <c r="A91" s="301"/>
      <c r="B91" s="396"/>
      <c r="C91" s="396"/>
      <c r="D91" s="397"/>
      <c r="E91" s="397"/>
      <c r="F91" s="398"/>
      <c r="G91" s="398"/>
      <c r="H91" s="398"/>
    </row>
    <row r="92" spans="1:9" ht="19.5" thickBot="1" x14ac:dyDescent="0.35">
      <c r="A92" s="400"/>
      <c r="B92" s="400"/>
      <c r="C92" s="400"/>
      <c r="D92" s="401"/>
      <c r="E92" s="401"/>
      <c r="F92" s="401"/>
      <c r="G92" s="401"/>
      <c r="H92" s="401"/>
    </row>
    <row r="93" spans="1:9" ht="18.75" x14ac:dyDescent="0.3">
      <c r="A93" s="291"/>
      <c r="B93" s="512" t="s">
        <v>3</v>
      </c>
      <c r="C93" s="512"/>
      <c r="D93" s="402"/>
      <c r="E93" s="403" t="s">
        <v>4</v>
      </c>
      <c r="F93" s="404"/>
      <c r="G93" s="403" t="s">
        <v>5</v>
      </c>
    </row>
    <row r="94" spans="1:9" ht="60" customHeight="1" x14ac:dyDescent="0.3">
      <c r="A94" s="405" t="s">
        <v>6</v>
      </c>
      <c r="B94" s="513" t="s">
        <v>164</v>
      </c>
      <c r="C94" s="513"/>
      <c r="D94" s="406"/>
      <c r="E94" s="407"/>
      <c r="F94" s="408"/>
      <c r="G94" s="409"/>
    </row>
    <row r="95" spans="1:9" ht="60" customHeight="1" x14ac:dyDescent="0.3">
      <c r="A95" s="405" t="s">
        <v>7</v>
      </c>
      <c r="B95" s="514"/>
      <c r="C95" s="514"/>
      <c r="D95" s="410"/>
      <c r="E95" s="411"/>
      <c r="F95" s="408"/>
      <c r="G95" s="412"/>
    </row>
  </sheetData>
  <sheetProtection formatCells="0" formatColumns="0" formatRows="0"/>
  <mergeCells count="23">
    <mergeCell ref="B93:C93"/>
    <mergeCell ref="B94:C94"/>
    <mergeCell ref="B95:C95"/>
    <mergeCell ref="B51:J51"/>
    <mergeCell ref="C73:C76"/>
    <mergeCell ref="D73:D76"/>
    <mergeCell ref="C77:C80"/>
    <mergeCell ref="D77:D80"/>
    <mergeCell ref="C81:C84"/>
    <mergeCell ref="D81:D84"/>
    <mergeCell ref="A83:B84"/>
    <mergeCell ref="A48:B49"/>
    <mergeCell ref="A1:H7"/>
    <mergeCell ref="A8:H15"/>
    <mergeCell ref="A16:H16"/>
    <mergeCell ref="B18:F18"/>
    <mergeCell ref="B20:D20"/>
    <mergeCell ref="B21:H21"/>
    <mergeCell ref="B26:C26"/>
    <mergeCell ref="B27:C27"/>
    <mergeCell ref="C29:H29"/>
    <mergeCell ref="C31:H31"/>
    <mergeCell ref="C32:H32"/>
  </mergeCells>
  <conditionalFormatting sqref="H86:I86">
    <cfRule type="cellIs" dxfId="0" priority="1" operator="greaterThan">
      <formula>0.02</formula>
    </cfRule>
  </conditionalFormatting>
  <pageMargins left="0.7" right="0.7" top="0.75" bottom="0.75" header="0.3" footer="0.3"/>
  <pageSetup scale="28" orientation="portrait" r:id="rId1"/>
  <headerFooter>
    <oddHeader>&amp;LVer 2&amp;CPage &amp;P of &amp;N&amp;R&amp;D &amp;T</oddHeader>
    <oddFooter>&amp;LNQCL/ADDO/014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SST PYROGLUTAMIC ACID</vt:lpstr>
      <vt:lpstr>SST INORGANIC PHOSPHATES</vt:lpstr>
      <vt:lpstr>CHLORIDE-GLUCUSE COMPARTMENT</vt:lpstr>
      <vt:lpstr>CHLORIDE-AMINO ACID COMPARTMENT</vt:lpstr>
      <vt:lpstr>GLUCOSE</vt:lpstr>
      <vt:lpstr>PYROGLUTAMIC ACID</vt:lpstr>
      <vt:lpstr>INORGANIC PHOSPHATES</vt:lpstr>
      <vt:lpstr>'CHLORIDE-AMINO ACID COMPARTMENT'!Print_Area</vt:lpstr>
      <vt:lpstr>'CHLORIDE-GLUCUSE COMPARTMENT'!Print_Area</vt:lpstr>
      <vt:lpstr>GLUCOSE!Print_Area</vt:lpstr>
      <vt:lpstr>'INORGANIC PHOSPHATES'!Print_Area</vt:lpstr>
      <vt:lpstr>'PYROGLUTAMIC ACID'!Print_Area</vt:lpstr>
      <vt:lpstr>'SST INORGANIC PHOSPHATES'!Print_Area</vt:lpstr>
      <vt:lpstr>'SST PYROGLUTAMIC ACID'!Print_Area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2017-11-29T09:47:47Z</cp:lastPrinted>
  <dcterms:created xsi:type="dcterms:W3CDTF">2005-07-05T10:19:27Z</dcterms:created>
  <dcterms:modified xsi:type="dcterms:W3CDTF">2017-11-29T09:48:20Z</dcterms:modified>
</cp:coreProperties>
</file>