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510" yWindow="555" windowWidth="15015" windowHeight="7620" activeTab="2"/>
  </bookViews>
  <sheets>
    <sheet name="SST" sheetId="1" r:id="rId1"/>
    <sheet name="Uniformity" sheetId="2" r:id="rId2"/>
    <sheet name="Drotaverine Hydrochloride" sheetId="3" r:id="rId3"/>
  </sheets>
  <definedNames>
    <definedName name="_xlnm.Print_Area" localSheetId="2">'Drotaverine Hydrochloride'!$A$1:$I$129</definedName>
    <definedName name="_xlnm.Print_Area" localSheetId="1">Uniformity!$A$11:$F$56</definedName>
  </definedNames>
  <calcPr calcId="144525"/>
</workbook>
</file>

<file path=xl/calcChain.xml><?xml version="1.0" encoding="utf-8"?>
<calcChain xmlns="http://schemas.openxmlformats.org/spreadsheetml/2006/main">
  <c r="C124" i="3" l="1"/>
  <c r="B116" i="3"/>
  <c r="D100" i="3"/>
  <c r="B98" i="3"/>
  <c r="F95" i="3"/>
  <c r="D95" i="3"/>
  <c r="I92" i="3" s="1"/>
  <c r="B87" i="3"/>
  <c r="D97" i="3" s="1"/>
  <c r="B81" i="3"/>
  <c r="B83" i="3" s="1"/>
  <c r="B80" i="3"/>
  <c r="B79" i="3"/>
  <c r="C76" i="3"/>
  <c r="B68" i="3"/>
  <c r="B57" i="3"/>
  <c r="C56" i="3"/>
  <c r="B55" i="3"/>
  <c r="B45" i="3"/>
  <c r="D48" i="3" s="1"/>
  <c r="F42" i="3"/>
  <c r="D42" i="3"/>
  <c r="B34" i="3"/>
  <c r="F44" i="3" s="1"/>
  <c r="B30" i="3"/>
  <c r="D50" i="2"/>
  <c r="D49" i="2"/>
  <c r="C49" i="2"/>
  <c r="B49" i="2"/>
  <c r="C46" i="2"/>
  <c r="C50" i="2" s="1"/>
  <c r="C45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C19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D101" i="3" l="1"/>
  <c r="F97" i="3"/>
  <c r="F98" i="3" s="1"/>
  <c r="F99" i="3" s="1"/>
  <c r="B69" i="3"/>
  <c r="D44" i="3"/>
  <c r="F45" i="3"/>
  <c r="F46" i="3" s="1"/>
  <c r="D98" i="3"/>
  <c r="D99" i="3" s="1"/>
  <c r="D45" i="3"/>
  <c r="D46" i="3" s="1"/>
  <c r="I39" i="3"/>
  <c r="G40" i="3"/>
  <c r="G41" i="3"/>
  <c r="E41" i="3"/>
  <c r="G39" i="3"/>
  <c r="D49" i="3"/>
  <c r="G94" i="3"/>
  <c r="E91" i="3"/>
  <c r="E94" i="3"/>
  <c r="E93" i="3"/>
  <c r="D102" i="3"/>
  <c r="G92" i="3" l="1"/>
  <c r="G93" i="3"/>
  <c r="G95" i="3" s="1"/>
  <c r="E92" i="3"/>
  <c r="G91" i="3"/>
  <c r="E39" i="3"/>
  <c r="G38" i="3"/>
  <c r="E38" i="3"/>
  <c r="D50" i="3" s="1"/>
  <c r="E40" i="3"/>
  <c r="G42" i="3"/>
  <c r="D105" i="3"/>
  <c r="E95" i="3"/>
  <c r="D103" i="3" l="1"/>
  <c r="D104" i="3" s="1"/>
  <c r="D52" i="3"/>
  <c r="E42" i="3"/>
  <c r="G70" i="3"/>
  <c r="H70" i="3" s="1"/>
  <c r="G67" i="3"/>
  <c r="H67" i="3" s="1"/>
  <c r="G65" i="3"/>
  <c r="H65" i="3" s="1"/>
  <c r="G63" i="3"/>
  <c r="H63" i="3" s="1"/>
  <c r="G61" i="3"/>
  <c r="H61" i="3" s="1"/>
  <c r="G71" i="3"/>
  <c r="H71" i="3" s="1"/>
  <c r="G69" i="3"/>
  <c r="H69" i="3" s="1"/>
  <c r="G66" i="3"/>
  <c r="H66" i="3" s="1"/>
  <c r="G64" i="3"/>
  <c r="H64" i="3" s="1"/>
  <c r="G62" i="3"/>
  <c r="H62" i="3" s="1"/>
  <c r="G60" i="3"/>
  <c r="D51" i="3"/>
  <c r="G68" i="3"/>
  <c r="H68" i="3" s="1"/>
  <c r="E113" i="3"/>
  <c r="F113" i="3" s="1"/>
  <c r="E111" i="3"/>
  <c r="F111" i="3" s="1"/>
  <c r="E109" i="3"/>
  <c r="F109" i="3" s="1"/>
  <c r="E108" i="3"/>
  <c r="E110" i="3"/>
  <c r="F110" i="3" s="1"/>
  <c r="E112" i="3"/>
  <c r="F112" i="3" s="1"/>
  <c r="H60" i="3" l="1"/>
  <c r="G74" i="3"/>
  <c r="G72" i="3"/>
  <c r="G73" i="3" s="1"/>
  <c r="E115" i="3"/>
  <c r="E116" i="3" s="1"/>
  <c r="E120" i="3"/>
  <c r="E117" i="3"/>
  <c r="F108" i="3"/>
  <c r="E119" i="3"/>
  <c r="F125" i="3" l="1"/>
  <c r="F120" i="3"/>
  <c r="F117" i="3"/>
  <c r="D125" i="3"/>
  <c r="F115" i="3"/>
  <c r="F119" i="3"/>
  <c r="H74" i="3"/>
  <c r="H72" i="3"/>
  <c r="G76" i="3" l="1"/>
  <c r="H73" i="3"/>
  <c r="G124" i="3"/>
  <c r="F116" i="3"/>
</calcChain>
</file>

<file path=xl/sharedStrings.xml><?xml version="1.0" encoding="utf-8"?>
<sst xmlns="http://schemas.openxmlformats.org/spreadsheetml/2006/main" count="240" uniqueCount="134">
  <si>
    <t>HPLC System Suitability Report</t>
  </si>
  <si>
    <t>Analysis Data</t>
  </si>
  <si>
    <t>Assay</t>
  </si>
  <si>
    <t>Sample(s)</t>
  </si>
  <si>
    <t>Reference Substance:</t>
  </si>
  <si>
    <t>NOSCOR 80</t>
  </si>
  <si>
    <t>% age Purity:</t>
  </si>
  <si>
    <t>NDQD201708098</t>
  </si>
  <si>
    <t>Weight (mg):</t>
  </si>
  <si>
    <t>Drotaverine Hydrochloride 80</t>
  </si>
  <si>
    <t>Standard Conc (mg/mL):</t>
  </si>
  <si>
    <t>each film coated tablets contains drotaverine hydrochloride 80 mg</t>
  </si>
  <si>
    <t>2017-08-02 12:35:46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</si>
  <si>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</si>
  <si>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</si>
  <si>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</si>
  <si>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</si>
  <si>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</si>
  <si>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</si>
  <si>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</si>
  <si>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</si>
  <si>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</si>
  <si>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</si>
  <si>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</si>
  <si>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</si>
  <si>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</si>
  <si>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</si>
  <si>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</si>
  <si>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</si>
  <si>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</si>
  <si>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</si>
  <si>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</si>
  <si>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</si>
  <si>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</si>
  <si>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</si>
  <si>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</si>
  <si>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</si>
  <si>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</si>
  <si>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</si>
  <si>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</si>
  <si>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</si>
  <si>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</si>
  <si>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</si>
  <si>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</si>
  <si>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</si>
  <si>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</si>
  <si>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</si>
  <si>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</si>
  <si>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</si>
  <si>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</si>
  <si>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</si>
  <si>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</si>
  <si>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</si>
  <si>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</si>
  <si>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</si>
  <si>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</si>
  <si>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</si>
  <si>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</si>
  <si>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</si>
  <si>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</si>
  <si>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</si>
  <si>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</si>
  <si>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</si>
  <si>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</si>
  <si>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</si>
  <si>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</si>
  <si>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</si>
  <si>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</si>
  <si>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</si>
  <si>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</si>
  <si>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</si>
  <si>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</si>
  <si>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</si>
  <si>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</si>
  <si>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</si>
  <si>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</si>
  <si>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</si>
  <si>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</si>
  <si>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</si>
  <si>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</si>
  <si>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</si>
  <si>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</si>
  <si>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</si>
  <si>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</si>
  <si>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</si>
  <si>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</si>
  <si>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</si>
  <si>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</si>
  <si>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</si>
  <si>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</si>
  <si>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</si>
  <si>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</si>
  <si>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</si>
  <si>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</si>
  <si>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</si>
  <si>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</si>
  <si>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</si>
  <si>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</si>
  <si>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</si>
  <si>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</si>
  <si>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</si>
  <si>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</si>
  <si>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</si>
  <si>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</si>
  <si>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</si>
  <si>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</si>
  <si>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</si>
  <si>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</si>
  <si>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</si>
  <si>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</si>
  <si>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</si>
  <si>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</si>
  <si>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</si>
  <si>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</si>
  <si>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</si>
  <si>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</si>
  <si>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</si>
  <si>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</si>
  <si>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</si>
  <si>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Unit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</si>
  <si>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</si>
  <si>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</si>
  <si>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</si>
  <si>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Range</t>
  </si>
  <si>
    <t>Minimum:</t>
  </si>
  <si>
    <t>Maximum:</t>
  </si>
  <si>
    <t xml:space="preserve">The amount  of </t>
  </si>
  <si>
    <t xml:space="preserve">dissolved as a percentage of the stated  label claim is </t>
  </si>
  <si>
    <t>Range:</t>
  </si>
  <si>
    <t>Minimum</t>
  </si>
  <si>
    <t>Maximum</t>
  </si>
  <si>
    <t>Drotaverine hydrochloride</t>
  </si>
  <si>
    <t>D53-1</t>
  </si>
  <si>
    <t>Drotaverine Hydrochloride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</si>
</sst>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  <numFmt numFmtId="173" formatCode="0.00\ &quot;%&quot;"/>
    <numFmt numFmtId="174" formatCode="0.0\ &quot;%&quot;"/>
    <numFmt numFmtId="175" formatCode="0\ &quot;%&quot;"/>
  </numFmts>
  <fonts count="25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sz val="3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u/>
      <sz val="16"/>
      <color rgb="FF000000"/>
      <name val="Book Antiqua"/>
    </font>
    <font>
      <vertAlign val="superscript"/>
      <sz val="14"/>
      <color rgb="FF000000"/>
      <name val="Book Antiqua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37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4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0" fontId="14" fillId="2" borderId="0" xfId="0" applyFont="1" applyFill="1"/>
    <xf numFmtId="10" fontId="13" fillId="6" borderId="54" xfId="0" applyNumberFormat="1" applyFont="1" applyFill="1" applyBorder="1" applyAlignment="1">
      <alignment horizontal="center"/>
    </xf>
    <xf numFmtId="171" fontId="11" fillId="2" borderId="16" xfId="0" applyNumberFormat="1" applyFont="1" applyFill="1" applyBorder="1" applyAlignment="1">
      <alignment horizontal="right"/>
    </xf>
    <xf numFmtId="0" fontId="11" fillId="2" borderId="14" xfId="0" applyFont="1" applyFill="1" applyBorder="1" applyAlignment="1">
      <alignment horizontal="right"/>
    </xf>
    <xf numFmtId="2" fontId="13" fillId="7" borderId="55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13" fillId="7" borderId="28" xfId="0" applyFont="1" applyFill="1" applyBorder="1" applyAlignment="1">
      <alignment horizontal="center"/>
    </xf>
    <xf numFmtId="0" fontId="13" fillId="7" borderId="56" xfId="0" applyFont="1" applyFill="1" applyBorder="1" applyAlignment="1">
      <alignment horizontal="center"/>
    </xf>
    <xf numFmtId="2" fontId="13" fillId="6" borderId="54" xfId="0" applyNumberFormat="1" applyFont="1" applyFill="1" applyBorder="1" applyAlignment="1">
      <alignment horizontal="center"/>
    </xf>
    <xf numFmtId="2" fontId="13" fillId="7" borderId="46" xfId="0" applyNumberFormat="1" applyFont="1" applyFill="1" applyBorder="1" applyAlignment="1">
      <alignment horizontal="center"/>
    </xf>
    <xf numFmtId="166" fontId="11" fillId="2" borderId="43" xfId="0" applyNumberFormat="1" applyFont="1" applyFill="1" applyBorder="1" applyAlignment="1">
      <alignment horizontal="center"/>
    </xf>
    <xf numFmtId="173" fontId="11" fillId="2" borderId="13" xfId="0" applyNumberFormat="1" applyFont="1" applyFill="1" applyBorder="1" applyAlignment="1">
      <alignment horizontal="center" vertical="center"/>
    </xf>
    <xf numFmtId="173" fontId="11" fillId="2" borderId="14" xfId="0" applyNumberFormat="1" applyFont="1" applyFill="1" applyBorder="1" applyAlignment="1">
      <alignment horizontal="center" vertical="center"/>
    </xf>
    <xf numFmtId="173" fontId="11" fillId="2" borderId="15" xfId="0" applyNumberFormat="1" applyFont="1" applyFill="1" applyBorder="1" applyAlignment="1">
      <alignment horizontal="center" vertical="center"/>
    </xf>
    <xf numFmtId="173" fontId="13" fillId="7" borderId="3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173" fontId="11" fillId="2" borderId="22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3" fontId="11" fillId="2" borderId="44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4" fontId="13" fillId="7" borderId="52" xfId="0" applyNumberFormat="1" applyFont="1" applyFill="1" applyBorder="1" applyAlignment="1">
      <alignment horizontal="center"/>
    </xf>
    <xf numFmtId="174" fontId="13" fillId="6" borderId="54" xfId="0" applyNumberFormat="1" applyFont="1" applyFill="1" applyBorder="1" applyAlignment="1">
      <alignment horizontal="center"/>
    </xf>
    <xf numFmtId="174" fontId="13" fillId="7" borderId="46" xfId="0" applyNumberFormat="1" applyFont="1" applyFill="1" applyBorder="1" applyAlignment="1">
      <alignment horizontal="center"/>
    </xf>
    <xf numFmtId="175" fontId="20" fillId="2" borderId="0" xfId="0" applyNumberFormat="1" applyFont="1" applyFill="1" applyAlignment="1">
      <alignment horizontal="center"/>
    </xf>
    <xf numFmtId="174" fontId="13" fillId="2" borderId="0" xfId="0" applyNumberFormat="1" applyFont="1" applyFill="1" applyAlignment="1">
      <alignment horizontal="center"/>
    </xf>
    <xf numFmtId="171" fontId="13" fillId="3" borderId="13" xfId="0" applyNumberFormat="1" applyFont="1" applyFill="1" applyBorder="1" applyAlignment="1" applyProtection="1">
      <alignment horizontal="center"/>
      <protection locked="0"/>
    </xf>
    <xf numFmtId="171" fontId="13" fillId="3" borderId="14" xfId="0" applyNumberFormat="1" applyFont="1" applyFill="1" applyBorder="1" applyAlignment="1" applyProtection="1">
      <alignment horizontal="center"/>
      <protection locked="0"/>
    </xf>
    <xf numFmtId="171" fontId="13" fillId="3" borderId="15" xfId="0" applyNumberFormat="1" applyFont="1" applyFill="1" applyBorder="1" applyAlignment="1" applyProtection="1">
      <alignment horizontal="center"/>
      <protection locked="0"/>
    </xf>
    <xf numFmtId="171" fontId="13" fillId="3" borderId="23" xfId="0" applyNumberFormat="1" applyFont="1" applyFill="1" applyBorder="1" applyAlignment="1" applyProtection="1">
      <alignment horizontal="center"/>
      <protection locked="0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12" fillId="2" borderId="47" xfId="0" applyFont="1" applyFill="1" applyBorder="1" applyAlignment="1">
      <alignment horizontal="center" vertical="center"/>
    </xf>
    <xf numFmtId="0" fontId="12" fillId="2" borderId="55" xfId="0" applyFont="1" applyFill="1" applyBorder="1" applyAlignment="1">
      <alignment horizontal="center" vertical="center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3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14" fillId="3" borderId="0" xfId="0" applyFont="1" applyFill="1" applyAlignment="1" applyProtection="1">
      <alignment horizontal="left"/>
      <protection locked="0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/>
      <protection locked="0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43" xfId="0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166" fontId="12" fillId="6" borderId="49" xfId="0" applyNumberFormat="1" applyFont="1" applyFill="1" applyBorder="1" applyAlignment="1">
      <alignment horizontal="center"/>
    </xf>
    <xf numFmtId="166" fontId="12" fillId="6" borderId="50" xfId="0" applyNumberFormat="1" applyFont="1" applyFill="1" applyBorder="1" applyAlignment="1">
      <alignment horizontal="center"/>
    </xf>
    <xf numFmtId="166" fontId="12" fillId="6" borderId="37" xfId="0" applyNumberFormat="1" applyFont="1" applyFill="1" applyBorder="1" applyAlignment="1">
      <alignment horizontal="center"/>
    </xf>
  </cellXfs>
  <cellStyles count="1">
    <cellStyle name="Normal" xfId="0" builtinId="0"/>
  </cellStyles>
  <dxfs count="30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40" workbookViewId="0">
      <selection activeCell="B39" sqref="B39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283" t="s">
        <v>0</v>
      </c>
      <c r="B15" s="283"/>
      <c r="C15" s="283"/>
      <c r="D15" s="283"/>
      <c r="E15" s="283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/>
      <c r="D17" s="9"/>
      <c r="E17" s="10"/>
    </row>
    <row r="18" spans="1:6" ht="16.5" customHeight="1" x14ac:dyDescent="0.3">
      <c r="A18" s="11" t="s">
        <v>4</v>
      </c>
      <c r="B18" s="8" t="s">
        <v>5</v>
      </c>
      <c r="C18" s="10"/>
      <c r="D18" s="10"/>
      <c r="E18" s="10"/>
    </row>
    <row r="19" spans="1:6" ht="16.5" customHeight="1" x14ac:dyDescent="0.3">
      <c r="A19" s="11" t="s">
        <v>6</v>
      </c>
      <c r="B19" s="12" t="s">
        <v>7</v>
      </c>
      <c r="C19" s="10"/>
      <c r="D19" s="10"/>
      <c r="E19" s="10"/>
    </row>
    <row r="20" spans="1:6" ht="16.5" customHeight="1" x14ac:dyDescent="0.3">
      <c r="A20" s="7" t="s">
        <v>8</v>
      </c>
      <c r="B20" s="12" t="s">
        <v>9</v>
      </c>
      <c r="C20" s="10"/>
      <c r="D20" s="10"/>
      <c r="E20" s="10"/>
    </row>
    <row r="21" spans="1:6" ht="16.5" customHeight="1" x14ac:dyDescent="0.3">
      <c r="A21" s="7" t="s">
        <v>10</v>
      </c>
      <c r="B21" s="13" t="s">
        <v>11</v>
      </c>
      <c r="C21" s="10"/>
      <c r="D21" s="10"/>
      <c r="E21" s="10"/>
    </row>
    <row r="22" spans="1:6" ht="15.75" customHeight="1" x14ac:dyDescent="0.25">
      <c r="A22" s="10"/>
      <c r="B22" s="10" t="s">
        <v>12</v>
      </c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 x14ac:dyDescent="0.3">
      <c r="A24" s="17">
        <v>1</v>
      </c>
      <c r="B24" s="18"/>
      <c r="C24" s="18"/>
      <c r="D24" s="19"/>
      <c r="E24" s="20"/>
    </row>
    <row r="25" spans="1:6" ht="16.5" customHeight="1" x14ac:dyDescent="0.3">
      <c r="A25" s="17">
        <v>2</v>
      </c>
      <c r="B25" s="18"/>
      <c r="C25" s="18"/>
      <c r="D25" s="19"/>
      <c r="E25" s="19"/>
    </row>
    <row r="26" spans="1:6" ht="16.5" customHeight="1" x14ac:dyDescent="0.3">
      <c r="A26" s="17">
        <v>3</v>
      </c>
      <c r="B26" s="18"/>
      <c r="C26" s="18"/>
      <c r="D26" s="19"/>
      <c r="E26" s="19"/>
    </row>
    <row r="27" spans="1:6" ht="16.5" customHeight="1" x14ac:dyDescent="0.3">
      <c r="A27" s="17">
        <v>4</v>
      </c>
      <c r="B27" s="18"/>
      <c r="C27" s="18"/>
      <c r="D27" s="19"/>
      <c r="E27" s="19"/>
    </row>
    <row r="28" spans="1:6" ht="16.5" customHeight="1" x14ac:dyDescent="0.3">
      <c r="A28" s="17">
        <v>5</v>
      </c>
      <c r="B28" s="18"/>
      <c r="C28" s="18"/>
      <c r="D28" s="19"/>
      <c r="E28" s="19"/>
    </row>
    <row r="29" spans="1:6" ht="16.5" customHeight="1" x14ac:dyDescent="0.3">
      <c r="A29" s="17">
        <v>6</v>
      </c>
      <c r="B29" s="21"/>
      <c r="C29" s="21"/>
      <c r="D29" s="22"/>
      <c r="E29" s="22"/>
    </row>
    <row r="30" spans="1:6" ht="16.5" customHeight="1" x14ac:dyDescent="0.3">
      <c r="A30" s="23" t="s">
        <v>18</v>
      </c>
      <c r="B30" s="24" t="e">
        <f>AVERAGE(B24:B29)</f>
        <v>#DIV/0!</v>
      </c>
      <c r="C30" s="25" t="e">
        <f>AVERAGE(C24:C29)</f>
        <v>#DIV/0!</v>
      </c>
      <c r="D30" s="26" t="e">
        <f>AVERAGE(D24:D29)</f>
        <v>#DIV/0!</v>
      </c>
      <c r="E30" s="26" t="e">
        <f>AVERAGE(E24:E29)</f>
        <v>#DIV/0!</v>
      </c>
    </row>
    <row r="31" spans="1:6" ht="16.5" customHeight="1" x14ac:dyDescent="0.3">
      <c r="A31" s="27" t="s">
        <v>19</v>
      </c>
      <c r="B31" s="28" t="e">
        <f>(STDEV(B24:B29)/B30)</f>
        <v>#DIV/0!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0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22</v>
      </c>
      <c r="C34" s="38"/>
      <c r="D34" s="38"/>
      <c r="E34" s="39"/>
    </row>
    <row r="35" spans="1:6" ht="16.5" customHeight="1" x14ac:dyDescent="0.3">
      <c r="A35" s="11"/>
      <c r="B35" s="37" t="s">
        <v>23</v>
      </c>
      <c r="C35" s="38"/>
      <c r="D35" s="38"/>
      <c r="E35" s="39"/>
      <c r="F35" s="2"/>
    </row>
    <row r="36" spans="1:6" ht="16.5" customHeight="1" x14ac:dyDescent="0.3">
      <c r="A36" s="11"/>
      <c r="B36" s="40" t="s">
        <v>24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25</v>
      </c>
    </row>
    <row r="39" spans="1:6" ht="16.5" customHeight="1" x14ac:dyDescent="0.3">
      <c r="A39" s="11" t="s">
        <v>4</v>
      </c>
      <c r="B39" s="8"/>
      <c r="C39" s="10"/>
      <c r="D39" s="10"/>
      <c r="E39" s="10"/>
    </row>
    <row r="40" spans="1:6" ht="16.5" customHeight="1" x14ac:dyDescent="0.3">
      <c r="A40" s="11" t="s">
        <v>6</v>
      </c>
      <c r="B40" s="12"/>
      <c r="C40" s="10"/>
      <c r="D40" s="10"/>
      <c r="E40" s="10"/>
    </row>
    <row r="41" spans="1:6" ht="16.5" customHeight="1" x14ac:dyDescent="0.3">
      <c r="A41" s="7" t="s">
        <v>8</v>
      </c>
      <c r="B41" s="12"/>
      <c r="C41" s="10"/>
      <c r="D41" s="10"/>
      <c r="E41" s="10"/>
    </row>
    <row r="42" spans="1:6" ht="16.5" customHeight="1" x14ac:dyDescent="0.3">
      <c r="A42" s="7" t="s">
        <v>10</v>
      </c>
      <c r="B42" s="13"/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18"/>
      <c r="C45" s="18"/>
      <c r="D45" s="19"/>
      <c r="E45" s="20"/>
    </row>
    <row r="46" spans="1:6" ht="16.5" customHeight="1" x14ac:dyDescent="0.3">
      <c r="A46" s="17">
        <v>2</v>
      </c>
      <c r="B46" s="18"/>
      <c r="C46" s="18"/>
      <c r="D46" s="19"/>
      <c r="E46" s="19"/>
    </row>
    <row r="47" spans="1:6" ht="16.5" customHeight="1" x14ac:dyDescent="0.3">
      <c r="A47" s="17">
        <v>3</v>
      </c>
      <c r="B47" s="18"/>
      <c r="C47" s="18"/>
      <c r="D47" s="19"/>
      <c r="E47" s="19"/>
    </row>
    <row r="48" spans="1:6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18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19</v>
      </c>
      <c r="B52" s="28" t="e">
        <f>(STDEV(B45:B50)/B51)</f>
        <v>#DIV/0!</v>
      </c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>
        <f>COUNT(B45:B50)</f>
        <v>0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37" t="s">
        <v>23</v>
      </c>
      <c r="C56" s="38"/>
      <c r="D56" s="38"/>
      <c r="E56" s="39"/>
      <c r="F56" s="2"/>
    </row>
    <row r="57" spans="1:7" ht="16.5" customHeight="1" x14ac:dyDescent="0.3">
      <c r="A57" s="11"/>
      <c r="B57" s="40" t="s">
        <v>24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284" t="s">
        <v>26</v>
      </c>
      <c r="C59" s="284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8"/>
      <c r="C60" s="48"/>
      <c r="E60" s="48"/>
      <c r="F60" s="2"/>
      <c r="G60" s="49"/>
    </row>
    <row r="61" spans="1:7" ht="15" customHeight="1" x14ac:dyDescent="0.3">
      <c r="A61" s="47" t="s">
        <v>30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0:H54"/>
  <sheetViews>
    <sheetView view="pageBreakPreview" topLeftCell="A28" workbookViewId="0">
      <selection activeCell="A11" sqref="A11:F56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288" t="s">
        <v>31</v>
      </c>
      <c r="B11" s="289"/>
      <c r="C11" s="289"/>
      <c r="D11" s="289"/>
      <c r="E11" s="289"/>
      <c r="F11" s="290"/>
      <c r="G11" s="91"/>
    </row>
    <row r="12" spans="1:7" ht="16.5" customHeight="1" x14ac:dyDescent="0.3">
      <c r="A12" s="287" t="s">
        <v>32</v>
      </c>
      <c r="B12" s="287"/>
      <c r="C12" s="287"/>
      <c r="D12" s="287"/>
      <c r="E12" s="287"/>
      <c r="F12" s="287"/>
      <c r="G12" s="90"/>
    </row>
    <row r="14" spans="1:7" ht="16.5" customHeight="1" x14ac:dyDescent="0.3">
      <c r="A14" s="292" t="s">
        <v>33</v>
      </c>
      <c r="B14" s="292"/>
      <c r="C14" s="60" t="s">
        <v>5</v>
      </c>
    </row>
    <row r="15" spans="1:7" ht="16.5" customHeight="1" x14ac:dyDescent="0.3">
      <c r="A15" s="292" t="s">
        <v>34</v>
      </c>
      <c r="B15" s="292"/>
      <c r="C15" s="60" t="s">
        <v>7</v>
      </c>
    </row>
    <row r="16" spans="1:7" ht="16.5" customHeight="1" x14ac:dyDescent="0.3">
      <c r="A16" s="292" t="s">
        <v>35</v>
      </c>
      <c r="B16" s="292"/>
      <c r="C16" s="60" t="s">
        <v>9</v>
      </c>
    </row>
    <row r="17" spans="1:5" ht="16.5" customHeight="1" x14ac:dyDescent="0.3">
      <c r="A17" s="292" t="s">
        <v>36</v>
      </c>
      <c r="B17" s="292"/>
      <c r="C17" s="60" t="s">
        <v>11</v>
      </c>
    </row>
    <row r="18" spans="1:5" ht="16.5" customHeight="1" x14ac:dyDescent="0.3">
      <c r="A18" s="292" t="s">
        <v>37</v>
      </c>
      <c r="B18" s="292"/>
      <c r="C18" s="97" t="s">
        <v>12</v>
      </c>
    </row>
    <row r="19" spans="1:5" ht="16.5" customHeight="1" x14ac:dyDescent="0.3">
      <c r="A19" s="292" t="s">
        <v>38</v>
      </c>
      <c r="B19" s="292"/>
      <c r="C19" s="97" t="e">
        <f>#REF!</f>
        <v>#REF!</v>
      </c>
    </row>
    <row r="20" spans="1:5" ht="16.5" customHeight="1" x14ac:dyDescent="0.3">
      <c r="A20" s="62"/>
      <c r="B20" s="62"/>
      <c r="C20" s="77"/>
    </row>
    <row r="21" spans="1:5" ht="16.5" customHeight="1" x14ac:dyDescent="0.3">
      <c r="A21" s="287" t="s">
        <v>1</v>
      </c>
      <c r="B21" s="287"/>
      <c r="C21" s="59" t="s">
        <v>39</v>
      </c>
      <c r="D21" s="66"/>
    </row>
    <row r="22" spans="1:5" ht="15.75" customHeight="1" x14ac:dyDescent="0.3">
      <c r="A22" s="291"/>
      <c r="B22" s="291"/>
      <c r="C22" s="57"/>
      <c r="D22" s="291"/>
      <c r="E22" s="291"/>
    </row>
    <row r="23" spans="1:5" ht="33.75" customHeight="1" x14ac:dyDescent="0.3">
      <c r="C23" s="86" t="s">
        <v>40</v>
      </c>
      <c r="D23" s="85" t="s">
        <v>41</v>
      </c>
      <c r="E23" s="52"/>
    </row>
    <row r="24" spans="1:5" ht="15.75" customHeight="1" x14ac:dyDescent="0.3">
      <c r="C24" s="95">
        <v>309.72000000000003</v>
      </c>
      <c r="D24" s="87">
        <f t="shared" ref="D24:D43" si="0">(C24-$C$46)/$C$46</f>
        <v>3.1328421984185185E-4</v>
      </c>
      <c r="E24" s="53"/>
    </row>
    <row r="25" spans="1:5" ht="15.75" customHeight="1" x14ac:dyDescent="0.3">
      <c r="C25" s="95">
        <v>313.73</v>
      </c>
      <c r="D25" s="88">
        <f t="shared" si="0"/>
        <v>1.3264518462775975E-2</v>
      </c>
      <c r="E25" s="53"/>
    </row>
    <row r="26" spans="1:5" ht="15.75" customHeight="1" x14ac:dyDescent="0.3">
      <c r="C26" s="95">
        <v>304.04000000000002</v>
      </c>
      <c r="D26" s="88">
        <f t="shared" si="0"/>
        <v>-1.8031606179127243E-2</v>
      </c>
      <c r="E26" s="53"/>
    </row>
    <row r="27" spans="1:5" ht="15.75" customHeight="1" x14ac:dyDescent="0.3">
      <c r="C27" s="95">
        <v>310.43</v>
      </c>
      <c r="D27" s="88">
        <f t="shared" si="0"/>
        <v>2.6063955197129199E-3</v>
      </c>
      <c r="E27" s="53"/>
    </row>
    <row r="28" spans="1:5" ht="15.75" customHeight="1" x14ac:dyDescent="0.3">
      <c r="C28" s="95">
        <v>310.68</v>
      </c>
      <c r="D28" s="88">
        <f t="shared" si="0"/>
        <v>3.4138290760055727E-3</v>
      </c>
      <c r="E28" s="53"/>
    </row>
    <row r="29" spans="1:5" ht="15.75" customHeight="1" x14ac:dyDescent="0.3">
      <c r="C29" s="95">
        <v>312.94</v>
      </c>
      <c r="D29" s="88">
        <f t="shared" si="0"/>
        <v>1.0713028424891125E-2</v>
      </c>
      <c r="E29" s="53"/>
    </row>
    <row r="30" spans="1:5" ht="15.75" customHeight="1" x14ac:dyDescent="0.3">
      <c r="C30" s="95">
        <v>305.63</v>
      </c>
      <c r="D30" s="88">
        <f t="shared" si="0"/>
        <v>-1.2896328761106052E-2</v>
      </c>
      <c r="E30" s="53"/>
    </row>
    <row r="31" spans="1:5" ht="15.75" customHeight="1" x14ac:dyDescent="0.3">
      <c r="C31" s="95">
        <v>308.37</v>
      </c>
      <c r="D31" s="88">
        <f t="shared" si="0"/>
        <v>-4.0468569841385473E-3</v>
      </c>
      <c r="E31" s="53"/>
    </row>
    <row r="32" spans="1:5" ht="15.75" customHeight="1" x14ac:dyDescent="0.3">
      <c r="C32" s="95">
        <v>309.06</v>
      </c>
      <c r="D32" s="88">
        <f t="shared" si="0"/>
        <v>-1.8183403687708326E-3</v>
      </c>
      <c r="E32" s="53"/>
    </row>
    <row r="33" spans="1:7" ht="15.75" customHeight="1" x14ac:dyDescent="0.3">
      <c r="C33" s="95">
        <v>309.91000000000003</v>
      </c>
      <c r="D33" s="88">
        <f t="shared" si="0"/>
        <v>9.2693372262426068E-4</v>
      </c>
      <c r="E33" s="53"/>
    </row>
    <row r="34" spans="1:7" ht="15.75" customHeight="1" x14ac:dyDescent="0.3">
      <c r="C34" s="95">
        <v>309.5</v>
      </c>
      <c r="D34" s="88">
        <f t="shared" si="0"/>
        <v>-3.9725730969577075E-4</v>
      </c>
      <c r="E34" s="53"/>
    </row>
    <row r="35" spans="1:7" ht="15.75" customHeight="1" x14ac:dyDescent="0.3">
      <c r="C35" s="95">
        <v>310.57</v>
      </c>
      <c r="D35" s="88">
        <f t="shared" si="0"/>
        <v>3.0585583112367615E-3</v>
      </c>
      <c r="E35" s="53"/>
    </row>
    <row r="36" spans="1:7" ht="15.75" customHeight="1" x14ac:dyDescent="0.3">
      <c r="C36" s="95">
        <v>305.64999999999998</v>
      </c>
      <c r="D36" s="88">
        <f t="shared" si="0"/>
        <v>-1.2831734076602697E-2</v>
      </c>
      <c r="E36" s="53"/>
    </row>
    <row r="37" spans="1:7" ht="15.75" customHeight="1" x14ac:dyDescent="0.3">
      <c r="C37" s="95">
        <v>310.10000000000002</v>
      </c>
      <c r="D37" s="88">
        <f t="shared" si="0"/>
        <v>1.5405832254066696E-3</v>
      </c>
      <c r="E37" s="53"/>
    </row>
    <row r="38" spans="1:7" ht="15.75" customHeight="1" x14ac:dyDescent="0.3">
      <c r="C38" s="95">
        <v>308.91000000000003</v>
      </c>
      <c r="D38" s="88">
        <f t="shared" si="0"/>
        <v>-2.3028005025463507E-3</v>
      </c>
      <c r="E38" s="53"/>
    </row>
    <row r="39" spans="1:7" ht="15.75" customHeight="1" x14ac:dyDescent="0.3">
      <c r="C39" s="95">
        <v>310.29000000000002</v>
      </c>
      <c r="D39" s="88">
        <f t="shared" si="0"/>
        <v>2.1542327281890783E-3</v>
      </c>
      <c r="E39" s="53"/>
    </row>
    <row r="40" spans="1:7" ht="15.75" customHeight="1" x14ac:dyDescent="0.3">
      <c r="C40" s="95">
        <v>313.08</v>
      </c>
      <c r="D40" s="88">
        <f t="shared" si="0"/>
        <v>1.1165191216414967E-2</v>
      </c>
      <c r="E40" s="53"/>
    </row>
    <row r="41" spans="1:7" ht="15.75" customHeight="1" x14ac:dyDescent="0.3">
      <c r="C41" s="95">
        <v>309.69</v>
      </c>
      <c r="D41" s="88">
        <f t="shared" si="0"/>
        <v>2.1639219308663805E-4</v>
      </c>
      <c r="E41" s="53"/>
    </row>
    <row r="42" spans="1:7" ht="15.75" customHeight="1" x14ac:dyDescent="0.3">
      <c r="C42" s="95">
        <v>311.2</v>
      </c>
      <c r="D42" s="88">
        <f t="shared" si="0"/>
        <v>5.0932908730942318E-3</v>
      </c>
      <c r="E42" s="53"/>
    </row>
    <row r="43" spans="1:7" ht="16.5" customHeight="1" x14ac:dyDescent="0.3">
      <c r="C43" s="96">
        <v>308.95999999999998</v>
      </c>
      <c r="D43" s="89">
        <f t="shared" si="0"/>
        <v>-2.1413137912879672E-3</v>
      </c>
      <c r="E43" s="53"/>
    </row>
    <row r="44" spans="1:7" ht="16.5" customHeight="1" x14ac:dyDescent="0.3">
      <c r="C44" s="54"/>
      <c r="D44" s="53"/>
      <c r="E44" s="55"/>
    </row>
    <row r="45" spans="1:7" ht="16.5" customHeight="1" x14ac:dyDescent="0.3">
      <c r="B45" s="82" t="s">
        <v>42</v>
      </c>
      <c r="C45" s="83">
        <f>SUM(C24:C44)</f>
        <v>6192.4599999999991</v>
      </c>
      <c r="D45" s="78"/>
      <c r="E45" s="54"/>
    </row>
    <row r="46" spans="1:7" ht="17.25" customHeight="1" x14ac:dyDescent="0.3">
      <c r="B46" s="82" t="s">
        <v>43</v>
      </c>
      <c r="C46" s="84">
        <f>AVERAGE(C24:C44)</f>
        <v>309.62299999999993</v>
      </c>
      <c r="E46" s="56"/>
    </row>
    <row r="47" spans="1:7" ht="17.25" customHeight="1" x14ac:dyDescent="0.3">
      <c r="A47" s="60"/>
      <c r="B47" s="79"/>
      <c r="D47" s="58"/>
      <c r="E47" s="56"/>
    </row>
    <row r="48" spans="1:7" ht="33.75" customHeight="1" x14ac:dyDescent="0.3">
      <c r="B48" s="92" t="s">
        <v>43</v>
      </c>
      <c r="C48" s="85" t="s">
        <v>44</v>
      </c>
      <c r="D48" s="80"/>
      <c r="G48" s="58"/>
    </row>
    <row r="49" spans="1:6" ht="17.25" customHeight="1" x14ac:dyDescent="0.3">
      <c r="B49" s="285">
        <f>C46</f>
        <v>309.62299999999993</v>
      </c>
      <c r="C49" s="93">
        <f>-IF(C46&lt;=80,10%,IF(C46&lt;250,7.5%,5%))</f>
        <v>-0.05</v>
      </c>
      <c r="D49" s="81">
        <f>IF(C46&lt;=80,C46*0.9,IF(C46&lt;250,C46*0.925,C46*0.95))</f>
        <v>294.14184999999992</v>
      </c>
    </row>
    <row r="50" spans="1:6" ht="17.25" customHeight="1" x14ac:dyDescent="0.3">
      <c r="B50" s="286"/>
      <c r="C50" s="94">
        <f>IF(C46&lt;=80, 10%, IF(C46&lt;250, 7.5%, 5%))</f>
        <v>0.05</v>
      </c>
      <c r="D50" s="81">
        <f>IF(C46&lt;=80, C46*1.1, IF(C46&lt;250, C46*1.075, C46*1.05))</f>
        <v>325.10414999999995</v>
      </c>
    </row>
    <row r="51" spans="1:6" ht="16.5" customHeight="1" x14ac:dyDescent="0.3">
      <c r="A51" s="63"/>
      <c r="B51" s="64"/>
      <c r="C51" s="60"/>
      <c r="D51" s="65"/>
      <c r="E51" s="60"/>
      <c r="F51" s="66"/>
    </row>
    <row r="52" spans="1:6" ht="16.5" customHeight="1" x14ac:dyDescent="0.3">
      <c r="A52" s="60"/>
      <c r="B52" s="67" t="s">
        <v>26</v>
      </c>
      <c r="C52" s="67"/>
      <c r="D52" s="68" t="s">
        <v>27</v>
      </c>
      <c r="E52" s="69"/>
      <c r="F52" s="68" t="s">
        <v>28</v>
      </c>
    </row>
    <row r="53" spans="1:6" ht="34.5" customHeight="1" x14ac:dyDescent="0.3">
      <c r="A53" s="70" t="s">
        <v>29</v>
      </c>
      <c r="B53" s="71"/>
      <c r="C53" s="72"/>
      <c r="D53" s="71"/>
      <c r="E53" s="61"/>
      <c r="F53" s="73"/>
    </row>
    <row r="54" spans="1:6" ht="34.5" customHeight="1" x14ac:dyDescent="0.3">
      <c r="A54" s="70" t="s">
        <v>30</v>
      </c>
      <c r="B54" s="74"/>
      <c r="C54" s="75"/>
      <c r="D54" s="74"/>
      <c r="E54" s="61"/>
      <c r="F54" s="76"/>
    </row>
  </sheetData>
  <sheetProtection password="9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29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28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27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26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25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24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23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22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21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0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9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18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17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16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15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14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13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12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11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0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9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82" orientation="portrait" r:id="rId1"/>
  <headerFooter alignWithMargins="0"/>
  <colBreaks count="1" manualBreakCount="1">
    <brk id="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BreakPreview" topLeftCell="C32" zoomScale="85" zoomScaleNormal="40" zoomScaleSheetLayoutView="85" zoomScalePageLayoutView="50" workbookViewId="0">
      <selection activeCell="F42" sqref="F42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323" t="s">
        <v>45</v>
      </c>
      <c r="B1" s="323"/>
      <c r="C1" s="323"/>
      <c r="D1" s="323"/>
      <c r="E1" s="323"/>
      <c r="F1" s="323"/>
      <c r="G1" s="323"/>
      <c r="H1" s="323"/>
      <c r="I1" s="323"/>
    </row>
    <row r="2" spans="1:9" ht="18.75" customHeight="1" x14ac:dyDescent="0.25">
      <c r="A2" s="323"/>
      <c r="B2" s="323"/>
      <c r="C2" s="323"/>
      <c r="D2" s="323"/>
      <c r="E2" s="323"/>
      <c r="F2" s="323"/>
      <c r="G2" s="323"/>
      <c r="H2" s="323"/>
      <c r="I2" s="323"/>
    </row>
    <row r="3" spans="1:9" ht="18.75" customHeight="1" x14ac:dyDescent="0.25">
      <c r="A3" s="323"/>
      <c r="B3" s="323"/>
      <c r="C3" s="323"/>
      <c r="D3" s="323"/>
      <c r="E3" s="323"/>
      <c r="F3" s="323"/>
      <c r="G3" s="323"/>
      <c r="H3" s="323"/>
      <c r="I3" s="323"/>
    </row>
    <row r="4" spans="1:9" ht="18.75" customHeight="1" x14ac:dyDescent="0.25">
      <c r="A4" s="323"/>
      <c r="B4" s="323"/>
      <c r="C4" s="323"/>
      <c r="D4" s="323"/>
      <c r="E4" s="323"/>
      <c r="F4" s="323"/>
      <c r="G4" s="323"/>
      <c r="H4" s="323"/>
      <c r="I4" s="323"/>
    </row>
    <row r="5" spans="1:9" ht="18.75" customHeight="1" x14ac:dyDescent="0.25">
      <c r="A5" s="323"/>
      <c r="B5" s="323"/>
      <c r="C5" s="323"/>
      <c r="D5" s="323"/>
      <c r="E5" s="323"/>
      <c r="F5" s="323"/>
      <c r="G5" s="323"/>
      <c r="H5" s="323"/>
      <c r="I5" s="323"/>
    </row>
    <row r="6" spans="1:9" ht="18.75" customHeight="1" x14ac:dyDescent="0.25">
      <c r="A6" s="323"/>
      <c r="B6" s="323"/>
      <c r="C6" s="323"/>
      <c r="D6" s="323"/>
      <c r="E6" s="323"/>
      <c r="F6" s="323"/>
      <c r="G6" s="323"/>
      <c r="H6" s="323"/>
      <c r="I6" s="323"/>
    </row>
    <row r="7" spans="1:9" ht="18.75" customHeight="1" x14ac:dyDescent="0.25">
      <c r="A7" s="323"/>
      <c r="B7" s="323"/>
      <c r="C7" s="323"/>
      <c r="D7" s="323"/>
      <c r="E7" s="323"/>
      <c r="F7" s="323"/>
      <c r="G7" s="323"/>
      <c r="H7" s="323"/>
      <c r="I7" s="323"/>
    </row>
    <row r="8" spans="1:9" x14ac:dyDescent="0.25">
      <c r="A8" s="324" t="s">
        <v>46</v>
      </c>
      <c r="B8" s="324"/>
      <c r="C8" s="324"/>
      <c r="D8" s="324"/>
      <c r="E8" s="324"/>
      <c r="F8" s="324"/>
      <c r="G8" s="324"/>
      <c r="H8" s="324"/>
      <c r="I8" s="324"/>
    </row>
    <row r="9" spans="1:9" x14ac:dyDescent="0.25">
      <c r="A9" s="324"/>
      <c r="B9" s="324"/>
      <c r="C9" s="324"/>
      <c r="D9" s="324"/>
      <c r="E9" s="324"/>
      <c r="F9" s="324"/>
      <c r="G9" s="324"/>
      <c r="H9" s="324"/>
      <c r="I9" s="324"/>
    </row>
    <row r="10" spans="1:9" x14ac:dyDescent="0.25">
      <c r="A10" s="324"/>
      <c r="B10" s="324"/>
      <c r="C10" s="324"/>
      <c r="D10" s="324"/>
      <c r="E10" s="324"/>
      <c r="F10" s="324"/>
      <c r="G10" s="324"/>
      <c r="H10" s="324"/>
      <c r="I10" s="324"/>
    </row>
    <row r="11" spans="1:9" x14ac:dyDescent="0.25">
      <c r="A11" s="324"/>
      <c r="B11" s="324"/>
      <c r="C11" s="324"/>
      <c r="D11" s="324"/>
      <c r="E11" s="324"/>
      <c r="F11" s="324"/>
      <c r="G11" s="324"/>
      <c r="H11" s="324"/>
      <c r="I11" s="324"/>
    </row>
    <row r="12" spans="1:9" x14ac:dyDescent="0.25">
      <c r="A12" s="324"/>
      <c r="B12" s="324"/>
      <c r="C12" s="324"/>
      <c r="D12" s="324"/>
      <c r="E12" s="324"/>
      <c r="F12" s="324"/>
      <c r="G12" s="324"/>
      <c r="H12" s="324"/>
      <c r="I12" s="324"/>
    </row>
    <row r="13" spans="1:9" x14ac:dyDescent="0.25">
      <c r="A13" s="324"/>
      <c r="B13" s="324"/>
      <c r="C13" s="324"/>
      <c r="D13" s="324"/>
      <c r="E13" s="324"/>
      <c r="F13" s="324"/>
      <c r="G13" s="324"/>
      <c r="H13" s="324"/>
      <c r="I13" s="324"/>
    </row>
    <row r="14" spans="1:9" x14ac:dyDescent="0.25">
      <c r="A14" s="324"/>
      <c r="B14" s="324"/>
      <c r="C14" s="324"/>
      <c r="D14" s="324"/>
      <c r="E14" s="324"/>
      <c r="F14" s="324"/>
      <c r="G14" s="324"/>
      <c r="H14" s="324"/>
      <c r="I14" s="324"/>
    </row>
    <row r="15" spans="1:9" ht="19.5" customHeight="1" x14ac:dyDescent="0.3">
      <c r="A15" s="98"/>
    </row>
    <row r="16" spans="1:9" ht="19.5" customHeight="1" x14ac:dyDescent="0.3">
      <c r="A16" s="296" t="s">
        <v>31</v>
      </c>
      <c r="B16" s="297"/>
      <c r="C16" s="297"/>
      <c r="D16" s="297"/>
      <c r="E16" s="297"/>
      <c r="F16" s="297"/>
      <c r="G16" s="297"/>
      <c r="H16" s="298"/>
    </row>
    <row r="17" spans="1:14" ht="20.25" customHeight="1" x14ac:dyDescent="0.25">
      <c r="A17" s="299" t="s">
        <v>47</v>
      </c>
      <c r="B17" s="299"/>
      <c r="C17" s="299"/>
      <c r="D17" s="299"/>
      <c r="E17" s="299"/>
      <c r="F17" s="299"/>
      <c r="G17" s="299"/>
      <c r="H17" s="299"/>
    </row>
    <row r="18" spans="1:14" ht="26.25" customHeight="1" x14ac:dyDescent="0.4">
      <c r="A18" s="100" t="s">
        <v>33</v>
      </c>
      <c r="B18" s="295" t="s">
        <v>5</v>
      </c>
      <c r="C18" s="295"/>
      <c r="D18" s="242"/>
      <c r="E18" s="101"/>
      <c r="F18" s="102"/>
      <c r="G18" s="102"/>
      <c r="H18" s="102"/>
    </row>
    <row r="19" spans="1:14" ht="26.25" customHeight="1" x14ac:dyDescent="0.4">
      <c r="A19" s="100" t="s">
        <v>34</v>
      </c>
      <c r="B19" s="103" t="s">
        <v>7</v>
      </c>
      <c r="C19" s="251">
        <v>1</v>
      </c>
      <c r="D19" s="102"/>
      <c r="E19" s="102"/>
      <c r="F19" s="102"/>
      <c r="G19" s="102"/>
      <c r="H19" s="102"/>
    </row>
    <row r="20" spans="1:14" ht="26.25" customHeight="1" x14ac:dyDescent="0.4">
      <c r="A20" s="100" t="s">
        <v>35</v>
      </c>
      <c r="B20" s="300" t="s">
        <v>133</v>
      </c>
      <c r="C20" s="300"/>
      <c r="D20" s="102"/>
      <c r="E20" s="102"/>
      <c r="F20" s="102"/>
      <c r="G20" s="102"/>
      <c r="H20" s="102"/>
    </row>
    <row r="21" spans="1:14" ht="26.25" customHeight="1" x14ac:dyDescent="0.4">
      <c r="A21" s="100" t="s">
        <v>36</v>
      </c>
      <c r="B21" s="300" t="s">
        <v>11</v>
      </c>
      <c r="C21" s="300"/>
      <c r="D21" s="300"/>
      <c r="E21" s="300"/>
      <c r="F21" s="300"/>
      <c r="G21" s="300"/>
      <c r="H21" s="300"/>
      <c r="I21" s="104"/>
    </row>
    <row r="22" spans="1:14" ht="26.25" customHeight="1" x14ac:dyDescent="0.4">
      <c r="A22" s="100" t="s">
        <v>37</v>
      </c>
      <c r="B22" s="105">
        <v>42950</v>
      </c>
      <c r="C22" s="102"/>
      <c r="D22" s="102"/>
      <c r="E22" s="102"/>
      <c r="F22" s="102"/>
      <c r="G22" s="102"/>
      <c r="H22" s="102"/>
    </row>
    <row r="23" spans="1:14" ht="26.25" customHeight="1" x14ac:dyDescent="0.4">
      <c r="A23" s="100" t="s">
        <v>38</v>
      </c>
      <c r="B23" s="105">
        <v>42950</v>
      </c>
      <c r="C23" s="102"/>
      <c r="D23" s="102"/>
      <c r="E23" s="102"/>
      <c r="F23" s="102"/>
      <c r="G23" s="102"/>
      <c r="H23" s="102"/>
    </row>
    <row r="24" spans="1:14" ht="18.75" x14ac:dyDescent="0.3">
      <c r="A24" s="100"/>
      <c r="B24" s="106"/>
    </row>
    <row r="25" spans="1:14" ht="18.75" x14ac:dyDescent="0.3">
      <c r="A25" s="107" t="s">
        <v>1</v>
      </c>
      <c r="B25" s="106"/>
    </row>
    <row r="26" spans="1:14" ht="26.25" customHeight="1" x14ac:dyDescent="0.4">
      <c r="A26" s="108" t="s">
        <v>4</v>
      </c>
      <c r="B26" s="295" t="s">
        <v>131</v>
      </c>
      <c r="C26" s="295"/>
    </row>
    <row r="27" spans="1:14" ht="26.25" customHeight="1" x14ac:dyDescent="0.4">
      <c r="A27" s="109" t="s">
        <v>48</v>
      </c>
      <c r="B27" s="301" t="s">
        <v>132</v>
      </c>
      <c r="C27" s="301"/>
    </row>
    <row r="28" spans="1:14" ht="27" customHeight="1" x14ac:dyDescent="0.4">
      <c r="A28" s="109" t="s">
        <v>6</v>
      </c>
      <c r="B28" s="110">
        <v>99.09</v>
      </c>
    </row>
    <row r="29" spans="1:14" s="14" customFormat="1" ht="27" customHeight="1" x14ac:dyDescent="0.4">
      <c r="A29" s="109" t="s">
        <v>49</v>
      </c>
      <c r="B29" s="111">
        <v>2.94</v>
      </c>
      <c r="C29" s="302" t="s">
        <v>50</v>
      </c>
      <c r="D29" s="303"/>
      <c r="E29" s="303"/>
      <c r="F29" s="303"/>
      <c r="G29" s="304"/>
      <c r="I29" s="112"/>
      <c r="J29" s="112"/>
      <c r="K29" s="112"/>
      <c r="L29" s="112"/>
    </row>
    <row r="30" spans="1:14" s="14" customFormat="1" ht="19.5" customHeight="1" x14ac:dyDescent="0.3">
      <c r="A30" s="109" t="s">
        <v>51</v>
      </c>
      <c r="B30" s="113">
        <f>B28-B29</f>
        <v>96.15</v>
      </c>
      <c r="C30" s="114"/>
      <c r="D30" s="114"/>
      <c r="E30" s="114"/>
      <c r="F30" s="114"/>
      <c r="G30" s="115"/>
      <c r="I30" s="112"/>
      <c r="J30" s="112"/>
      <c r="K30" s="112"/>
      <c r="L30" s="112"/>
    </row>
    <row r="31" spans="1:14" s="14" customFormat="1" ht="27" customHeight="1" x14ac:dyDescent="0.4">
      <c r="A31" s="109" t="s">
        <v>52</v>
      </c>
      <c r="B31" s="116">
        <v>1</v>
      </c>
      <c r="C31" s="305" t="s">
        <v>53</v>
      </c>
      <c r="D31" s="306"/>
      <c r="E31" s="306"/>
      <c r="F31" s="306"/>
      <c r="G31" s="306"/>
      <c r="H31" s="307"/>
      <c r="I31" s="112"/>
      <c r="J31" s="112"/>
      <c r="K31" s="112"/>
      <c r="L31" s="112"/>
    </row>
    <row r="32" spans="1:14" s="14" customFormat="1" ht="27" customHeight="1" x14ac:dyDescent="0.4">
      <c r="A32" s="109" t="s">
        <v>54</v>
      </c>
      <c r="B32" s="116">
        <v>1</v>
      </c>
      <c r="C32" s="305" t="s">
        <v>55</v>
      </c>
      <c r="D32" s="306"/>
      <c r="E32" s="306"/>
      <c r="F32" s="306"/>
      <c r="G32" s="306"/>
      <c r="H32" s="307"/>
      <c r="I32" s="112"/>
      <c r="J32" s="112"/>
      <c r="K32" s="112"/>
      <c r="L32" s="117"/>
      <c r="M32" s="117"/>
      <c r="N32" s="118"/>
    </row>
    <row r="33" spans="1:14" s="14" customFormat="1" ht="17.25" customHeight="1" x14ac:dyDescent="0.3">
      <c r="A33" s="109"/>
      <c r="B33" s="119"/>
      <c r="C33" s="120"/>
      <c r="D33" s="120"/>
      <c r="E33" s="120"/>
      <c r="F33" s="120"/>
      <c r="G33" s="120"/>
      <c r="H33" s="120"/>
      <c r="I33" s="112"/>
      <c r="J33" s="112"/>
      <c r="K33" s="112"/>
      <c r="L33" s="117"/>
      <c r="M33" s="117"/>
      <c r="N33" s="118"/>
    </row>
    <row r="34" spans="1:14" s="14" customFormat="1" ht="18.75" x14ac:dyDescent="0.3">
      <c r="A34" s="109" t="s">
        <v>56</v>
      </c>
      <c r="B34" s="121">
        <f>B31/B32</f>
        <v>1</v>
      </c>
      <c r="C34" s="99" t="s">
        <v>57</v>
      </c>
      <c r="D34" s="99"/>
      <c r="E34" s="99"/>
      <c r="F34" s="99"/>
      <c r="G34" s="99"/>
      <c r="I34" s="112"/>
      <c r="J34" s="112"/>
      <c r="K34" s="112"/>
      <c r="L34" s="117"/>
      <c r="M34" s="117"/>
      <c r="N34" s="118"/>
    </row>
    <row r="35" spans="1:14" s="14" customFormat="1" ht="19.5" customHeight="1" x14ac:dyDescent="0.3">
      <c r="A35" s="109"/>
      <c r="B35" s="113"/>
      <c r="G35" s="99"/>
      <c r="I35" s="112"/>
      <c r="J35" s="112"/>
      <c r="K35" s="112"/>
      <c r="L35" s="117"/>
      <c r="M35" s="117"/>
      <c r="N35" s="118"/>
    </row>
    <row r="36" spans="1:14" s="14" customFormat="1" ht="27" customHeight="1" x14ac:dyDescent="0.4">
      <c r="A36" s="122" t="s">
        <v>58</v>
      </c>
      <c r="B36" s="123">
        <v>50</v>
      </c>
      <c r="C36" s="99"/>
      <c r="D36" s="308" t="s">
        <v>59</v>
      </c>
      <c r="E36" s="309"/>
      <c r="F36" s="308" t="s">
        <v>60</v>
      </c>
      <c r="G36" s="310"/>
      <c r="J36" s="112"/>
      <c r="K36" s="112"/>
      <c r="L36" s="117"/>
      <c r="M36" s="117"/>
      <c r="N36" s="118"/>
    </row>
    <row r="37" spans="1:14" s="14" customFormat="1" ht="27" customHeight="1" x14ac:dyDescent="0.4">
      <c r="A37" s="124" t="s">
        <v>61</v>
      </c>
      <c r="B37" s="125">
        <v>2</v>
      </c>
      <c r="C37" s="126" t="s">
        <v>62</v>
      </c>
      <c r="D37" s="127" t="s">
        <v>63</v>
      </c>
      <c r="E37" s="128" t="s">
        <v>64</v>
      </c>
      <c r="F37" s="127" t="s">
        <v>63</v>
      </c>
      <c r="G37" s="129" t="s">
        <v>64</v>
      </c>
      <c r="I37" s="130" t="s">
        <v>65</v>
      </c>
      <c r="J37" s="112"/>
      <c r="K37" s="112"/>
      <c r="L37" s="117"/>
      <c r="M37" s="117"/>
      <c r="N37" s="118"/>
    </row>
    <row r="38" spans="1:14" s="14" customFormat="1" ht="26.25" customHeight="1" x14ac:dyDescent="0.4">
      <c r="A38" s="124" t="s">
        <v>66</v>
      </c>
      <c r="B38" s="125">
        <v>100</v>
      </c>
      <c r="C38" s="131">
        <v>1</v>
      </c>
      <c r="D38" s="132">
        <v>0.33500000000000002</v>
      </c>
      <c r="E38" s="133">
        <f>IF(ISBLANK(D38),"-",$D$48/$D$45*D38)</f>
        <v>0.32486147930765719</v>
      </c>
      <c r="F38" s="132">
        <v>0.36199999999999999</v>
      </c>
      <c r="G38" s="134">
        <f>IF(ISBLANK(F38),"-",$D$48/$F$45*F38)</f>
        <v>0.33040373830837394</v>
      </c>
      <c r="I38" s="135"/>
      <c r="J38" s="112"/>
      <c r="K38" s="112"/>
      <c r="L38" s="117"/>
      <c r="M38" s="117"/>
      <c r="N38" s="118"/>
    </row>
    <row r="39" spans="1:14" s="14" customFormat="1" ht="26.25" customHeight="1" x14ac:dyDescent="0.4">
      <c r="A39" s="124" t="s">
        <v>67</v>
      </c>
      <c r="B39" s="125">
        <v>1</v>
      </c>
      <c r="C39" s="136">
        <v>2</v>
      </c>
      <c r="D39" s="137">
        <v>0.33500000000000002</v>
      </c>
      <c r="E39" s="138">
        <f>IF(ISBLANK(D39),"-",$D$48/$D$45*D39)</f>
        <v>0.32486147930765719</v>
      </c>
      <c r="F39" s="137">
        <v>0.35899999999999999</v>
      </c>
      <c r="G39" s="139">
        <f>IF(ISBLANK(F39),"-",$D$48/$F$45*F39)</f>
        <v>0.32766558578095645</v>
      </c>
      <c r="I39" s="312">
        <f>ABS((F43/D43*D42)-F42)/D42</f>
        <v>1.3226348684516002E-2</v>
      </c>
      <c r="J39" s="112"/>
      <c r="K39" s="112"/>
      <c r="L39" s="117"/>
      <c r="M39" s="117"/>
      <c r="N39" s="118"/>
    </row>
    <row r="40" spans="1:14" ht="26.25" customHeight="1" x14ac:dyDescent="0.4">
      <c r="A40" s="124" t="s">
        <v>68</v>
      </c>
      <c r="B40" s="125">
        <v>1</v>
      </c>
      <c r="C40" s="136">
        <v>3</v>
      </c>
      <c r="D40" s="137">
        <v>0.33400000000000002</v>
      </c>
      <c r="E40" s="138">
        <f>IF(ISBLANK(D40),"-",$D$48/$D$45*D40)</f>
        <v>0.32389174354852984</v>
      </c>
      <c r="F40" s="137">
        <v>0.35899999999999999</v>
      </c>
      <c r="G40" s="139">
        <f>IF(ISBLANK(F40),"-",$D$48/$F$45*F40)</f>
        <v>0.32766558578095645</v>
      </c>
      <c r="I40" s="312"/>
      <c r="L40" s="117"/>
      <c r="M40" s="117"/>
      <c r="N40" s="140"/>
    </row>
    <row r="41" spans="1:14" ht="27" customHeight="1" x14ac:dyDescent="0.4">
      <c r="A41" s="124" t="s">
        <v>69</v>
      </c>
      <c r="B41" s="125">
        <v>1</v>
      </c>
      <c r="C41" s="141">
        <v>4</v>
      </c>
      <c r="D41" s="142"/>
      <c r="E41" s="143" t="str">
        <f>IF(ISBLANK(D41),"-",$D$48/$D$45*D41)</f>
        <v>-</v>
      </c>
      <c r="F41" s="142"/>
      <c r="G41" s="144" t="str">
        <f>IF(ISBLANK(F41),"-",$D$48/$F$45*F41)</f>
        <v>-</v>
      </c>
      <c r="I41" s="145"/>
      <c r="L41" s="117"/>
      <c r="M41" s="117"/>
      <c r="N41" s="140"/>
    </row>
    <row r="42" spans="1:14" ht="27" customHeight="1" x14ac:dyDescent="0.4">
      <c r="A42" s="124" t="s">
        <v>70</v>
      </c>
      <c r="B42" s="125">
        <v>1</v>
      </c>
      <c r="C42" s="146" t="s">
        <v>71</v>
      </c>
      <c r="D42" s="336">
        <f>AVERAGE(D38:D41)</f>
        <v>0.33466666666666667</v>
      </c>
      <c r="E42" s="147">
        <f>AVERAGE(E38:E41)</f>
        <v>0.32453823405461474</v>
      </c>
      <c r="F42" s="336">
        <f>AVERAGE(F38:F41)</f>
        <v>0.36000000000000004</v>
      </c>
      <c r="G42" s="148">
        <f>AVERAGE(G38:G41)</f>
        <v>0.32857830329009557</v>
      </c>
      <c r="H42" s="149"/>
    </row>
    <row r="43" spans="1:14" ht="26.25" customHeight="1" x14ac:dyDescent="0.4">
      <c r="A43" s="124" t="s">
        <v>72</v>
      </c>
      <c r="B43" s="125">
        <v>1</v>
      </c>
      <c r="C43" s="150" t="s">
        <v>73</v>
      </c>
      <c r="D43" s="151">
        <v>21.45</v>
      </c>
      <c r="E43" s="140"/>
      <c r="F43" s="151">
        <v>22.79</v>
      </c>
      <c r="H43" s="149"/>
    </row>
    <row r="44" spans="1:14" ht="26.25" customHeight="1" x14ac:dyDescent="0.4">
      <c r="A44" s="124" t="s">
        <v>74</v>
      </c>
      <c r="B44" s="125">
        <v>1</v>
      </c>
      <c r="C44" s="152" t="s">
        <v>75</v>
      </c>
      <c r="D44" s="153">
        <f>D43*$B$34</f>
        <v>21.45</v>
      </c>
      <c r="E44" s="154"/>
      <c r="F44" s="153">
        <f>F43*$B$34</f>
        <v>22.79</v>
      </c>
      <c r="H44" s="149"/>
    </row>
    <row r="45" spans="1:14" ht="19.5" customHeight="1" x14ac:dyDescent="0.3">
      <c r="A45" s="124" t="s">
        <v>76</v>
      </c>
      <c r="B45" s="155">
        <f>(B44/B43)*(B42/B41)*(B40/B39)*(B38/B37)*B36</f>
        <v>2500</v>
      </c>
      <c r="C45" s="152" t="s">
        <v>77</v>
      </c>
      <c r="D45" s="156">
        <f>D44*$B$30/100</f>
        <v>20.624175000000001</v>
      </c>
      <c r="E45" s="157"/>
      <c r="F45" s="156">
        <f>F44*$B$30/100</f>
        <v>21.912585</v>
      </c>
      <c r="H45" s="149"/>
    </row>
    <row r="46" spans="1:14" ht="19.5" customHeight="1" x14ac:dyDescent="0.3">
      <c r="A46" s="313" t="s">
        <v>78</v>
      </c>
      <c r="B46" s="314"/>
      <c r="C46" s="152" t="s">
        <v>79</v>
      </c>
      <c r="D46" s="158">
        <f>D45/$B$45</f>
        <v>8.2496700000000006E-3</v>
      </c>
      <c r="E46" s="159"/>
      <c r="F46" s="160">
        <f>F45/$B$45</f>
        <v>8.7650339999999997E-3</v>
      </c>
      <c r="H46" s="149"/>
    </row>
    <row r="47" spans="1:14" ht="27" customHeight="1" x14ac:dyDescent="0.4">
      <c r="A47" s="315"/>
      <c r="B47" s="316"/>
      <c r="C47" s="161" t="s">
        <v>80</v>
      </c>
      <c r="D47" s="162">
        <v>8.0000000000000002E-3</v>
      </c>
      <c r="E47" s="163"/>
      <c r="F47" s="159"/>
      <c r="H47" s="149"/>
    </row>
    <row r="48" spans="1:14" ht="18.75" x14ac:dyDescent="0.3">
      <c r="C48" s="164" t="s">
        <v>81</v>
      </c>
      <c r="D48" s="156">
        <f>D47*$B$45</f>
        <v>20</v>
      </c>
      <c r="F48" s="165"/>
      <c r="H48" s="149"/>
    </row>
    <row r="49" spans="1:12" ht="19.5" customHeight="1" x14ac:dyDescent="0.3">
      <c r="C49" s="166" t="s">
        <v>82</v>
      </c>
      <c r="D49" s="167">
        <f>D48/B34</f>
        <v>20</v>
      </c>
      <c r="F49" s="165"/>
      <c r="H49" s="149"/>
    </row>
    <row r="50" spans="1:12" ht="18.75" x14ac:dyDescent="0.3">
      <c r="C50" s="122" t="s">
        <v>83</v>
      </c>
      <c r="D50" s="168">
        <f>AVERAGE(E38:E41,G38:G41)</f>
        <v>0.32655826867235521</v>
      </c>
      <c r="F50" s="169"/>
      <c r="H50" s="149"/>
    </row>
    <row r="51" spans="1:12" ht="18.75" x14ac:dyDescent="0.3">
      <c r="C51" s="124" t="s">
        <v>84</v>
      </c>
      <c r="D51" s="170">
        <f>STDEV(E38:E41,G38:G41)/D50</f>
        <v>7.5144769143320649E-3</v>
      </c>
      <c r="F51" s="169"/>
      <c r="H51" s="149"/>
    </row>
    <row r="52" spans="1:12" ht="19.5" customHeight="1" x14ac:dyDescent="0.3">
      <c r="C52" s="171" t="s">
        <v>20</v>
      </c>
      <c r="D52" s="172">
        <f>COUNT(E38:E41,G38:G41)</f>
        <v>6</v>
      </c>
      <c r="F52" s="169"/>
    </row>
    <row r="54" spans="1:12" ht="18.75" x14ac:dyDescent="0.3">
      <c r="A54" s="173" t="s">
        <v>1</v>
      </c>
      <c r="B54" s="174" t="s">
        <v>85</v>
      </c>
    </row>
    <row r="55" spans="1:12" ht="18.75" x14ac:dyDescent="0.3">
      <c r="A55" s="99" t="s">
        <v>86</v>
      </c>
      <c r="B55" s="175" t="str">
        <f>B21</f>
        <v>each film coated tablets contains drotaverine hydrochloride 80 mg</v>
      </c>
    </row>
    <row r="56" spans="1:12" ht="26.25" customHeight="1" x14ac:dyDescent="0.4">
      <c r="A56" s="176" t="s">
        <v>87</v>
      </c>
      <c r="B56" s="177">
        <v>80</v>
      </c>
      <c r="C56" s="99" t="str">
        <f>B20</f>
        <v>Drotaverine Hydrochloride</v>
      </c>
      <c r="H56" s="178"/>
    </row>
    <row r="57" spans="1:12" ht="18.75" x14ac:dyDescent="0.3">
      <c r="A57" s="175" t="s">
        <v>88</v>
      </c>
      <c r="B57" s="243">
        <f>Uniformity!C46</f>
        <v>309.62299999999993</v>
      </c>
      <c r="H57" s="178"/>
    </row>
    <row r="58" spans="1:12" ht="19.5" customHeight="1" x14ac:dyDescent="0.3">
      <c r="H58" s="178"/>
    </row>
    <row r="59" spans="1:12" s="14" customFormat="1" ht="27" customHeight="1" x14ac:dyDescent="0.4">
      <c r="A59" s="122" t="s">
        <v>89</v>
      </c>
      <c r="B59" s="123">
        <v>200</v>
      </c>
      <c r="C59" s="99"/>
      <c r="D59" s="179" t="s">
        <v>90</v>
      </c>
      <c r="E59" s="180" t="s">
        <v>62</v>
      </c>
      <c r="F59" s="180" t="s">
        <v>63</v>
      </c>
      <c r="G59" s="180" t="s">
        <v>91</v>
      </c>
      <c r="H59" s="126" t="s">
        <v>92</v>
      </c>
      <c r="L59" s="112"/>
    </row>
    <row r="60" spans="1:12" s="14" customFormat="1" ht="26.25" customHeight="1" x14ac:dyDescent="0.4">
      <c r="A60" s="124" t="s">
        <v>93</v>
      </c>
      <c r="B60" s="125">
        <v>2</v>
      </c>
      <c r="C60" s="317" t="s">
        <v>94</v>
      </c>
      <c r="D60" s="320">
        <v>307.07</v>
      </c>
      <c r="E60" s="181">
        <v>1</v>
      </c>
      <c r="F60" s="182">
        <v>0.32600000000000001</v>
      </c>
      <c r="G60" s="244">
        <f>IF(ISBLANK(F60),"-",(F60/$D$50*$D$47*$B$68)*($B$57/$D$60))</f>
        <v>80.52722390783633</v>
      </c>
      <c r="H60" s="262">
        <f t="shared" ref="H60:H71" si="0">IF(ISBLANK(F60),"-",(G60/$B$56)*100)</f>
        <v>100.6590298847954</v>
      </c>
      <c r="L60" s="112"/>
    </row>
    <row r="61" spans="1:12" s="14" customFormat="1" ht="26.25" customHeight="1" x14ac:dyDescent="0.4">
      <c r="A61" s="124" t="s">
        <v>95</v>
      </c>
      <c r="B61" s="125">
        <v>100</v>
      </c>
      <c r="C61" s="318"/>
      <c r="D61" s="321"/>
      <c r="E61" s="183">
        <v>2</v>
      </c>
      <c r="F61" s="137">
        <v>0.32500000000000001</v>
      </c>
      <c r="G61" s="245">
        <f>IF(ISBLANK(F61),"-",(F61/$D$50*$D$47*$B$68)*($B$57/$D$60))</f>
        <v>80.280207883579166</v>
      </c>
      <c r="H61" s="263">
        <f t="shared" si="0"/>
        <v>100.35025985447396</v>
      </c>
      <c r="L61" s="112"/>
    </row>
    <row r="62" spans="1:12" s="14" customFormat="1" ht="26.25" customHeight="1" x14ac:dyDescent="0.4">
      <c r="A62" s="124" t="s">
        <v>96</v>
      </c>
      <c r="B62" s="125">
        <v>1</v>
      </c>
      <c r="C62" s="318"/>
      <c r="D62" s="321"/>
      <c r="E62" s="183">
        <v>3</v>
      </c>
      <c r="F62" s="282">
        <v>0.32400000000000001</v>
      </c>
      <c r="G62" s="245">
        <f>IF(ISBLANK(F62),"-",(F62/$D$50*$D$47*$B$68)*($B$57/$D$60))</f>
        <v>80.033191859321988</v>
      </c>
      <c r="H62" s="263">
        <f t="shared" si="0"/>
        <v>100.04148982415248</v>
      </c>
      <c r="L62" s="112"/>
    </row>
    <row r="63" spans="1:12" ht="27" customHeight="1" x14ac:dyDescent="0.4">
      <c r="A63" s="124" t="s">
        <v>97</v>
      </c>
      <c r="B63" s="125">
        <v>1</v>
      </c>
      <c r="C63" s="319"/>
      <c r="D63" s="322"/>
      <c r="E63" s="184">
        <v>4</v>
      </c>
      <c r="F63" s="185"/>
      <c r="G63" s="245" t="str">
        <f>IF(ISBLANK(F63),"-",(F63/$D$50*$D$47*$B$68)*($B$57/$D$60))</f>
        <v>-</v>
      </c>
      <c r="H63" s="263" t="str">
        <f t="shared" si="0"/>
        <v>-</v>
      </c>
    </row>
    <row r="64" spans="1:12" ht="26.25" customHeight="1" x14ac:dyDescent="0.4">
      <c r="A64" s="124" t="s">
        <v>98</v>
      </c>
      <c r="B64" s="125">
        <v>1</v>
      </c>
      <c r="C64" s="317" t="s">
        <v>99</v>
      </c>
      <c r="D64" s="320">
        <v>313.94</v>
      </c>
      <c r="E64" s="181">
        <v>1</v>
      </c>
      <c r="F64" s="182">
        <v>0.33400000000000002</v>
      </c>
      <c r="G64" s="244">
        <f>IF(ISBLANK(F64),"-",(F64/$D$50*$D$47*$B$68)*($B$57/$D$64))</f>
        <v>80.697917850316912</v>
      </c>
      <c r="H64" s="262">
        <f t="shared" si="0"/>
        <v>100.87239731289614</v>
      </c>
    </row>
    <row r="65" spans="1:8" ht="26.25" customHeight="1" x14ac:dyDescent="0.4">
      <c r="A65" s="124" t="s">
        <v>100</v>
      </c>
      <c r="B65" s="125">
        <v>1</v>
      </c>
      <c r="C65" s="318"/>
      <c r="D65" s="321"/>
      <c r="E65" s="183">
        <v>2</v>
      </c>
      <c r="F65" s="137">
        <v>0.33600000000000002</v>
      </c>
      <c r="G65" s="245">
        <f>IF(ISBLANK(F65),"-",(F65/$D$50*$D$47*$B$68)*($B$57/$D$64))</f>
        <v>81.181138915288855</v>
      </c>
      <c r="H65" s="263">
        <f t="shared" si="0"/>
        <v>101.47642364411107</v>
      </c>
    </row>
    <row r="66" spans="1:8" ht="26.25" customHeight="1" x14ac:dyDescent="0.4">
      <c r="A66" s="124" t="s">
        <v>101</v>
      </c>
      <c r="B66" s="125">
        <v>1</v>
      </c>
      <c r="C66" s="318"/>
      <c r="D66" s="321"/>
      <c r="E66" s="183">
        <v>3</v>
      </c>
      <c r="F66" s="137">
        <v>0.33500000000000002</v>
      </c>
      <c r="G66" s="245">
        <f>IF(ISBLANK(F66),"-",(F66/$D$50*$D$47*$B$68)*($B$57/$D$64))</f>
        <v>80.939528382802877</v>
      </c>
      <c r="H66" s="263">
        <f t="shared" si="0"/>
        <v>101.1744104785036</v>
      </c>
    </row>
    <row r="67" spans="1:8" ht="27" customHeight="1" x14ac:dyDescent="0.4">
      <c r="A67" s="124" t="s">
        <v>102</v>
      </c>
      <c r="B67" s="125">
        <v>1</v>
      </c>
      <c r="C67" s="319"/>
      <c r="D67" s="322"/>
      <c r="E67" s="184">
        <v>4</v>
      </c>
      <c r="F67" s="185"/>
      <c r="G67" s="261" t="str">
        <f>IF(ISBLANK(F67),"-",(F67/$D$50*$D$47*$B$68)*($B$57/$D$64))</f>
        <v>-</v>
      </c>
      <c r="H67" s="264" t="str">
        <f t="shared" si="0"/>
        <v>-</v>
      </c>
    </row>
    <row r="68" spans="1:8" ht="26.25" customHeight="1" x14ac:dyDescent="0.4">
      <c r="A68" s="124" t="s">
        <v>103</v>
      </c>
      <c r="B68" s="186">
        <f>(B67/B66)*(B65/B64)*(B63/B62)*(B61/B60)*B59</f>
        <v>10000</v>
      </c>
      <c r="C68" s="317" t="s">
        <v>104</v>
      </c>
      <c r="D68" s="320">
        <v>313.07</v>
      </c>
      <c r="E68" s="181">
        <v>1</v>
      </c>
      <c r="F68" s="182">
        <v>0.34100000000000003</v>
      </c>
      <c r="G68" s="244">
        <f>IF(ISBLANK(F68),"-",(F68/$D$50*$D$47*$B$68)*($B$57/$D$68))</f>
        <v>82.61814547516218</v>
      </c>
      <c r="H68" s="263">
        <f t="shared" si="0"/>
        <v>103.27268184395272</v>
      </c>
    </row>
    <row r="69" spans="1:8" ht="27" customHeight="1" x14ac:dyDescent="0.4">
      <c r="A69" s="171" t="s">
        <v>105</v>
      </c>
      <c r="B69" s="187">
        <f>(D47*B68)/B56*B57</f>
        <v>309.62299999999993</v>
      </c>
      <c r="C69" s="318"/>
      <c r="D69" s="321"/>
      <c r="E69" s="183">
        <v>2</v>
      </c>
      <c r="F69" s="137">
        <v>0.33800000000000002</v>
      </c>
      <c r="G69" s="245">
        <f>IF(ISBLANK(F69),"-",(F69/$D$50*$D$47*$B$68)*($B$57/$D$68))</f>
        <v>81.891299620541986</v>
      </c>
      <c r="H69" s="263">
        <f t="shared" si="0"/>
        <v>102.3641245256775</v>
      </c>
    </row>
    <row r="70" spans="1:8" ht="26.25" customHeight="1" x14ac:dyDescent="0.4">
      <c r="A70" s="330" t="s">
        <v>78</v>
      </c>
      <c r="B70" s="331"/>
      <c r="C70" s="318"/>
      <c r="D70" s="321"/>
      <c r="E70" s="183">
        <v>3</v>
      </c>
      <c r="F70" s="137">
        <v>0.33900000000000002</v>
      </c>
      <c r="G70" s="245">
        <f>IF(ISBLANK(F70),"-",(F70/$D$50*$D$47*$B$68)*($B$57/$D$68))</f>
        <v>82.133581572082051</v>
      </c>
      <c r="H70" s="263">
        <f t="shared" si="0"/>
        <v>102.66697696510256</v>
      </c>
    </row>
    <row r="71" spans="1:8" ht="27" customHeight="1" x14ac:dyDescent="0.4">
      <c r="A71" s="332"/>
      <c r="B71" s="333"/>
      <c r="C71" s="329"/>
      <c r="D71" s="322"/>
      <c r="E71" s="184">
        <v>4</v>
      </c>
      <c r="F71" s="185"/>
      <c r="G71" s="261" t="str">
        <f>IF(ISBLANK(F71),"-",(F71/$D$50*$D$47*$B$68)*($B$57/$D$68))</f>
        <v>-</v>
      </c>
      <c r="H71" s="264" t="str">
        <f t="shared" si="0"/>
        <v>-</v>
      </c>
    </row>
    <row r="72" spans="1:8" ht="26.25" customHeight="1" x14ac:dyDescent="0.4">
      <c r="A72" s="188"/>
      <c r="B72" s="188"/>
      <c r="C72" s="188"/>
      <c r="D72" s="188"/>
      <c r="E72" s="188"/>
      <c r="F72" s="190" t="s">
        <v>71</v>
      </c>
      <c r="G72" s="250">
        <f>AVERAGE(G60:G71)</f>
        <v>81.144692829659135</v>
      </c>
      <c r="H72" s="265">
        <f>AVERAGE(H60:H71)</f>
        <v>101.43086603707394</v>
      </c>
    </row>
    <row r="73" spans="1:8" ht="26.25" customHeight="1" x14ac:dyDescent="0.4">
      <c r="C73" s="188"/>
      <c r="D73" s="188"/>
      <c r="E73" s="188"/>
      <c r="F73" s="191" t="s">
        <v>84</v>
      </c>
      <c r="G73" s="249">
        <f>STDEV(G60:G71)/G72</f>
        <v>1.0947835811402254E-2</v>
      </c>
      <c r="H73" s="249">
        <f>STDEV(H60:H71)/H72</f>
        <v>1.0947835811402282E-2</v>
      </c>
    </row>
    <row r="74" spans="1:8" ht="27" customHeight="1" x14ac:dyDescent="0.4">
      <c r="A74" s="188"/>
      <c r="B74" s="188"/>
      <c r="C74" s="189"/>
      <c r="D74" s="189"/>
      <c r="E74" s="192"/>
      <c r="F74" s="193" t="s">
        <v>20</v>
      </c>
      <c r="G74" s="194">
        <f>COUNT(G60:G71)</f>
        <v>9</v>
      </c>
      <c r="H74" s="194">
        <f>COUNT(H60:H71)</f>
        <v>9</v>
      </c>
    </row>
    <row r="76" spans="1:8" ht="26.25" customHeight="1" x14ac:dyDescent="0.4">
      <c r="A76" s="108" t="s">
        <v>106</v>
      </c>
      <c r="B76" s="195" t="s">
        <v>107</v>
      </c>
      <c r="C76" s="325" t="str">
        <f>B26</f>
        <v>Drotaverine hydrochloride</v>
      </c>
      <c r="D76" s="325"/>
      <c r="E76" s="196" t="s">
        <v>108</v>
      </c>
      <c r="F76" s="196"/>
      <c r="G76" s="278">
        <f>H72</f>
        <v>101.43086603707394</v>
      </c>
      <c r="H76" s="198"/>
    </row>
    <row r="77" spans="1:8" ht="18.75" x14ac:dyDescent="0.3">
      <c r="A77" s="107" t="s">
        <v>109</v>
      </c>
      <c r="B77" s="107" t="s">
        <v>110</v>
      </c>
    </row>
    <row r="78" spans="1:8" ht="18.75" x14ac:dyDescent="0.3">
      <c r="A78" s="107"/>
      <c r="B78" s="107"/>
    </row>
    <row r="79" spans="1:8" ht="26.25" customHeight="1" x14ac:dyDescent="0.4">
      <c r="A79" s="108" t="s">
        <v>4</v>
      </c>
      <c r="B79" s="311" t="str">
        <f>B26</f>
        <v>Drotaverine hydrochloride</v>
      </c>
      <c r="C79" s="311"/>
    </row>
    <row r="80" spans="1:8" ht="26.25" customHeight="1" x14ac:dyDescent="0.4">
      <c r="A80" s="109" t="s">
        <v>48</v>
      </c>
      <c r="B80" s="311" t="str">
        <f>B27</f>
        <v>D53-1</v>
      </c>
      <c r="C80" s="311"/>
    </row>
    <row r="81" spans="1:12" ht="27" customHeight="1" x14ac:dyDescent="0.4">
      <c r="A81" s="109" t="s">
        <v>6</v>
      </c>
      <c r="B81" s="199">
        <f>B28</f>
        <v>99.09</v>
      </c>
    </row>
    <row r="82" spans="1:12" s="14" customFormat="1" ht="27" customHeight="1" x14ac:dyDescent="0.4">
      <c r="A82" s="109" t="s">
        <v>49</v>
      </c>
      <c r="B82" s="111">
        <v>2.94</v>
      </c>
      <c r="C82" s="302" t="s">
        <v>50</v>
      </c>
      <c r="D82" s="303"/>
      <c r="E82" s="303"/>
      <c r="F82" s="303"/>
      <c r="G82" s="304"/>
      <c r="I82" s="112"/>
      <c r="J82" s="112"/>
      <c r="K82" s="112"/>
      <c r="L82" s="112"/>
    </row>
    <row r="83" spans="1:12" s="14" customFormat="1" ht="19.5" customHeight="1" x14ac:dyDescent="0.3">
      <c r="A83" s="109" t="s">
        <v>51</v>
      </c>
      <c r="B83" s="113">
        <f>B81-B82</f>
        <v>96.15</v>
      </c>
      <c r="C83" s="114"/>
      <c r="D83" s="114"/>
      <c r="E83" s="114"/>
      <c r="F83" s="114"/>
      <c r="G83" s="115"/>
      <c r="I83" s="112"/>
      <c r="J83" s="112"/>
      <c r="K83" s="112"/>
      <c r="L83" s="112"/>
    </row>
    <row r="84" spans="1:12" s="14" customFormat="1" ht="27" customHeight="1" x14ac:dyDescent="0.4">
      <c r="A84" s="109" t="s">
        <v>52</v>
      </c>
      <c r="B84" s="116">
        <v>1</v>
      </c>
      <c r="C84" s="305" t="s">
        <v>111</v>
      </c>
      <c r="D84" s="306"/>
      <c r="E84" s="306"/>
      <c r="F84" s="306"/>
      <c r="G84" s="306"/>
      <c r="H84" s="307"/>
      <c r="I84" s="112"/>
      <c r="J84" s="112"/>
      <c r="K84" s="112"/>
      <c r="L84" s="112"/>
    </row>
    <row r="85" spans="1:12" s="14" customFormat="1" ht="27" customHeight="1" x14ac:dyDescent="0.4">
      <c r="A85" s="109" t="s">
        <v>54</v>
      </c>
      <c r="B85" s="116">
        <v>1</v>
      </c>
      <c r="C85" s="305" t="s">
        <v>112</v>
      </c>
      <c r="D85" s="306"/>
      <c r="E85" s="306"/>
      <c r="F85" s="306"/>
      <c r="G85" s="306"/>
      <c r="H85" s="307"/>
      <c r="I85" s="112"/>
      <c r="J85" s="112"/>
      <c r="K85" s="112"/>
      <c r="L85" s="112"/>
    </row>
    <row r="86" spans="1:12" s="14" customFormat="1" ht="18.75" x14ac:dyDescent="0.3">
      <c r="A86" s="109"/>
      <c r="B86" s="119"/>
      <c r="C86" s="120"/>
      <c r="D86" s="120"/>
      <c r="E86" s="120"/>
      <c r="F86" s="120"/>
      <c r="G86" s="120"/>
      <c r="H86" s="120"/>
      <c r="I86" s="112"/>
      <c r="J86" s="112"/>
      <c r="K86" s="112"/>
      <c r="L86" s="112"/>
    </row>
    <row r="87" spans="1:12" s="14" customFormat="1" ht="18.75" x14ac:dyDescent="0.3">
      <c r="A87" s="109" t="s">
        <v>56</v>
      </c>
      <c r="B87" s="121">
        <f>B84/B85</f>
        <v>1</v>
      </c>
      <c r="C87" s="99" t="s">
        <v>57</v>
      </c>
      <c r="D87" s="99"/>
      <c r="E87" s="99"/>
      <c r="F87" s="99"/>
      <c r="G87" s="99"/>
      <c r="I87" s="112"/>
      <c r="J87" s="112"/>
      <c r="K87" s="112"/>
      <c r="L87" s="112"/>
    </row>
    <row r="88" spans="1:12" ht="19.5" customHeight="1" x14ac:dyDescent="0.3">
      <c r="A88" s="107"/>
      <c r="B88" s="107"/>
    </row>
    <row r="89" spans="1:12" ht="27" customHeight="1" x14ac:dyDescent="0.4">
      <c r="A89" s="122" t="s">
        <v>58</v>
      </c>
      <c r="B89" s="123">
        <v>50</v>
      </c>
      <c r="D89" s="200" t="s">
        <v>59</v>
      </c>
      <c r="E89" s="201"/>
      <c r="F89" s="308" t="s">
        <v>60</v>
      </c>
      <c r="G89" s="310"/>
    </row>
    <row r="90" spans="1:12" ht="27" customHeight="1" x14ac:dyDescent="0.4">
      <c r="A90" s="124" t="s">
        <v>61</v>
      </c>
      <c r="B90" s="125">
        <v>2</v>
      </c>
      <c r="C90" s="202" t="s">
        <v>62</v>
      </c>
      <c r="D90" s="127" t="s">
        <v>63</v>
      </c>
      <c r="E90" s="128" t="s">
        <v>64</v>
      </c>
      <c r="F90" s="127" t="s">
        <v>63</v>
      </c>
      <c r="G90" s="203" t="s">
        <v>64</v>
      </c>
      <c r="I90" s="130" t="s">
        <v>65</v>
      </c>
    </row>
    <row r="91" spans="1:12" ht="26.25" customHeight="1" x14ac:dyDescent="0.4">
      <c r="A91" s="124" t="s">
        <v>66</v>
      </c>
      <c r="B91" s="125">
        <v>100</v>
      </c>
      <c r="C91" s="204">
        <v>1</v>
      </c>
      <c r="D91" s="132">
        <v>0.33500000000000002</v>
      </c>
      <c r="E91" s="133">
        <f>IF(ISBLANK(D91),"-",$D$101/$D$98*D91)</f>
        <v>0.36095719923073022</v>
      </c>
      <c r="F91" s="132">
        <v>0.36199999999999999</v>
      </c>
      <c r="G91" s="134">
        <f>IF(ISBLANK(F91),"-",$D$101/$F$98*F91)</f>
        <v>0.36711526478708212</v>
      </c>
      <c r="I91" s="135"/>
    </row>
    <row r="92" spans="1:12" ht="26.25" customHeight="1" x14ac:dyDescent="0.4">
      <c r="A92" s="124" t="s">
        <v>67</v>
      </c>
      <c r="B92" s="125">
        <v>1</v>
      </c>
      <c r="C92" s="189">
        <v>2</v>
      </c>
      <c r="D92" s="137">
        <v>0.33500000000000002</v>
      </c>
      <c r="E92" s="138">
        <f>IF(ISBLANK(D92),"-",$D$101/$D$98*D92)</f>
        <v>0.36095719923073022</v>
      </c>
      <c r="F92" s="137">
        <v>0.35899999999999999</v>
      </c>
      <c r="G92" s="139">
        <f>IF(ISBLANK(F92),"-",$D$101/$F$98*F92)</f>
        <v>0.36407287308995157</v>
      </c>
      <c r="I92" s="312">
        <f>ABS((F96/D96*D95)-F95)/D95</f>
        <v>1.3226348684516002E-2</v>
      </c>
    </row>
    <row r="93" spans="1:12" ht="26.25" customHeight="1" x14ac:dyDescent="0.4">
      <c r="A93" s="124" t="s">
        <v>68</v>
      </c>
      <c r="B93" s="125">
        <v>1</v>
      </c>
      <c r="C93" s="189">
        <v>3</v>
      </c>
      <c r="D93" s="137">
        <v>0.33400000000000002</v>
      </c>
      <c r="E93" s="138">
        <f>IF(ISBLANK(D93),"-",$D$101/$D$98*D93)</f>
        <v>0.35987971505392202</v>
      </c>
      <c r="F93" s="137">
        <v>0.35899999999999999</v>
      </c>
      <c r="G93" s="139">
        <f>IF(ISBLANK(F93),"-",$D$101/$F$98*F93)</f>
        <v>0.36407287308995157</v>
      </c>
      <c r="I93" s="312"/>
    </row>
    <row r="94" spans="1:12" ht="27" customHeight="1" x14ac:dyDescent="0.4">
      <c r="A94" s="124" t="s">
        <v>69</v>
      </c>
      <c r="B94" s="125">
        <v>1</v>
      </c>
      <c r="C94" s="205">
        <v>4</v>
      </c>
      <c r="D94" s="142"/>
      <c r="E94" s="143" t="str">
        <f>IF(ISBLANK(D94),"-",$D$101/$D$98*D94)</f>
        <v>-</v>
      </c>
      <c r="F94" s="206"/>
      <c r="G94" s="144" t="str">
        <f>IF(ISBLANK(F94),"-",$D$101/$F$98*F94)</f>
        <v>-</v>
      </c>
      <c r="I94" s="145"/>
    </row>
    <row r="95" spans="1:12" ht="27" customHeight="1" x14ac:dyDescent="0.4">
      <c r="A95" s="124" t="s">
        <v>70</v>
      </c>
      <c r="B95" s="125">
        <v>1</v>
      </c>
      <c r="C95" s="207" t="s">
        <v>71</v>
      </c>
      <c r="D95" s="334">
        <f>AVERAGE(D91:D94)</f>
        <v>0.33466666666666667</v>
      </c>
      <c r="E95" s="147">
        <f>AVERAGE(E91:E94)</f>
        <v>0.36059803783846078</v>
      </c>
      <c r="F95" s="335">
        <f>AVERAGE(F91:F94)</f>
        <v>0.36000000000000004</v>
      </c>
      <c r="G95" s="208">
        <f>AVERAGE(G91:G94)</f>
        <v>0.36508700365566177</v>
      </c>
    </row>
    <row r="96" spans="1:12" ht="26.25" customHeight="1" x14ac:dyDescent="0.4">
      <c r="A96" s="124" t="s">
        <v>72</v>
      </c>
      <c r="B96" s="110">
        <v>1</v>
      </c>
      <c r="C96" s="209" t="s">
        <v>113</v>
      </c>
      <c r="D96" s="210">
        <v>21.45</v>
      </c>
      <c r="E96" s="140"/>
      <c r="F96" s="151">
        <v>22.79</v>
      </c>
    </row>
    <row r="97" spans="1:10" ht="26.25" customHeight="1" x14ac:dyDescent="0.4">
      <c r="A97" s="124" t="s">
        <v>74</v>
      </c>
      <c r="B97" s="110">
        <v>1</v>
      </c>
      <c r="C97" s="211" t="s">
        <v>114</v>
      </c>
      <c r="D97" s="212">
        <f>D96*$B$87</f>
        <v>21.45</v>
      </c>
      <c r="E97" s="154"/>
      <c r="F97" s="153">
        <f>F96*$B$87</f>
        <v>22.79</v>
      </c>
    </row>
    <row r="98" spans="1:10" ht="19.5" customHeight="1" x14ac:dyDescent="0.3">
      <c r="A98" s="124" t="s">
        <v>76</v>
      </c>
      <c r="B98" s="213">
        <f>(B97/B96)*(B95/B94)*(B93/B92)*(B91/B90)*B89</f>
        <v>2500</v>
      </c>
      <c r="C98" s="211" t="s">
        <v>115</v>
      </c>
      <c r="D98" s="214">
        <f>D97*$B$83/100</f>
        <v>20.624175000000001</v>
      </c>
      <c r="E98" s="157"/>
      <c r="F98" s="156">
        <f>F97*$B$83/100</f>
        <v>21.912585</v>
      </c>
    </row>
    <row r="99" spans="1:10" ht="19.5" customHeight="1" x14ac:dyDescent="0.3">
      <c r="A99" s="313" t="s">
        <v>78</v>
      </c>
      <c r="B99" s="327"/>
      <c r="C99" s="211" t="s">
        <v>116</v>
      </c>
      <c r="D99" s="215">
        <f>D98/$B$98</f>
        <v>8.2496700000000006E-3</v>
      </c>
      <c r="E99" s="157"/>
      <c r="F99" s="160">
        <f>F98/$B$98</f>
        <v>8.7650339999999997E-3</v>
      </c>
      <c r="G99" s="216"/>
      <c r="H99" s="149"/>
    </row>
    <row r="100" spans="1:10" ht="19.5" customHeight="1" x14ac:dyDescent="0.3">
      <c r="A100" s="315"/>
      <c r="B100" s="328"/>
      <c r="C100" s="211" t="s">
        <v>80</v>
      </c>
      <c r="D100" s="217">
        <f>$B$56/$B$116</f>
        <v>8.8888888888888889E-3</v>
      </c>
      <c r="F100" s="165"/>
      <c r="G100" s="218"/>
      <c r="H100" s="149"/>
    </row>
    <row r="101" spans="1:10" ht="18.75" x14ac:dyDescent="0.3">
      <c r="C101" s="211" t="s">
        <v>81</v>
      </c>
      <c r="D101" s="212">
        <f>D100*$B$98</f>
        <v>22.222222222222221</v>
      </c>
      <c r="F101" s="165"/>
      <c r="G101" s="216"/>
      <c r="H101" s="149"/>
    </row>
    <row r="102" spans="1:10" ht="19.5" customHeight="1" x14ac:dyDescent="0.3">
      <c r="C102" s="219" t="s">
        <v>82</v>
      </c>
      <c r="D102" s="220">
        <f>D101/B34</f>
        <v>22.222222222222221</v>
      </c>
      <c r="F102" s="169"/>
      <c r="G102" s="216"/>
      <c r="H102" s="149"/>
      <c r="J102" s="221"/>
    </row>
    <row r="103" spans="1:10" ht="18.75" x14ac:dyDescent="0.3">
      <c r="C103" s="222" t="s">
        <v>117</v>
      </c>
      <c r="D103" s="223">
        <f>AVERAGE(E91:E94,G91:G94)</f>
        <v>0.3628425207470613</v>
      </c>
      <c r="F103" s="169"/>
      <c r="G103" s="224"/>
      <c r="H103" s="149"/>
      <c r="J103" s="225"/>
    </row>
    <row r="104" spans="1:10" ht="18.75" x14ac:dyDescent="0.3">
      <c r="C104" s="191" t="s">
        <v>84</v>
      </c>
      <c r="D104" s="226">
        <f>STDEV(E91:E94,G91:G94)/D103</f>
        <v>7.5144769143320172E-3</v>
      </c>
      <c r="F104" s="169"/>
      <c r="G104" s="216"/>
      <c r="H104" s="149"/>
      <c r="J104" s="225"/>
    </row>
    <row r="105" spans="1:10" ht="19.5" customHeight="1" x14ac:dyDescent="0.3">
      <c r="C105" s="193" t="s">
        <v>20</v>
      </c>
      <c r="D105" s="227">
        <f>COUNT(E91:E94,G91:G94)</f>
        <v>6</v>
      </c>
      <c r="F105" s="169"/>
      <c r="G105" s="216"/>
      <c r="H105" s="149"/>
      <c r="J105" s="225"/>
    </row>
    <row r="106" spans="1:10" ht="19.5" customHeight="1" x14ac:dyDescent="0.3">
      <c r="A106" s="173"/>
      <c r="B106" s="173"/>
      <c r="C106" s="173"/>
      <c r="D106" s="173"/>
      <c r="E106" s="173"/>
    </row>
    <row r="107" spans="1:10" ht="27" customHeight="1" x14ac:dyDescent="0.4">
      <c r="A107" s="122" t="s">
        <v>118</v>
      </c>
      <c r="B107" s="123">
        <v>900</v>
      </c>
      <c r="C107" s="266" t="s">
        <v>119</v>
      </c>
      <c r="D107" s="266" t="s">
        <v>63</v>
      </c>
      <c r="E107" s="266" t="s">
        <v>120</v>
      </c>
      <c r="F107" s="228" t="s">
        <v>121</v>
      </c>
    </row>
    <row r="108" spans="1:10" ht="26.25" customHeight="1" x14ac:dyDescent="0.4">
      <c r="A108" s="124" t="s">
        <v>122</v>
      </c>
      <c r="B108" s="125">
        <v>5</v>
      </c>
      <c r="C108" s="269">
        <v>1</v>
      </c>
      <c r="D108" s="279">
        <v>0.36799999999999999</v>
      </c>
      <c r="E108" s="246">
        <f t="shared" ref="E108:E113" si="1">IF(ISBLANK(D108),"-",D108/$D$103*$D$100*$B$116)</f>
        <v>81.137127863034323</v>
      </c>
      <c r="F108" s="270">
        <f t="shared" ref="F108:F113" si="2">IF(ISBLANK(D108), "-", (E108/$B$56)*100)</f>
        <v>101.4214098287929</v>
      </c>
    </row>
    <row r="109" spans="1:10" ht="26.25" customHeight="1" x14ac:dyDescent="0.4">
      <c r="A109" s="124" t="s">
        <v>95</v>
      </c>
      <c r="B109" s="125">
        <v>50</v>
      </c>
      <c r="C109" s="267">
        <v>2</v>
      </c>
      <c r="D109" s="280">
        <v>0.34699999999999998</v>
      </c>
      <c r="E109" s="247">
        <f t="shared" si="1"/>
        <v>76.507020023024225</v>
      </c>
      <c r="F109" s="271">
        <f t="shared" si="2"/>
        <v>95.633775028780278</v>
      </c>
    </row>
    <row r="110" spans="1:10" ht="26.25" customHeight="1" x14ac:dyDescent="0.4">
      <c r="A110" s="124" t="s">
        <v>96</v>
      </c>
      <c r="B110" s="125">
        <v>1</v>
      </c>
      <c r="C110" s="267">
        <v>3</v>
      </c>
      <c r="D110" s="280">
        <v>0.36899999999999999</v>
      </c>
      <c r="E110" s="247">
        <f t="shared" si="1"/>
        <v>81.357609188749095</v>
      </c>
      <c r="F110" s="271">
        <f t="shared" si="2"/>
        <v>101.69701148593637</v>
      </c>
    </row>
    <row r="111" spans="1:10" ht="26.25" customHeight="1" x14ac:dyDescent="0.4">
      <c r="A111" s="124" t="s">
        <v>97</v>
      </c>
      <c r="B111" s="125">
        <v>1</v>
      </c>
      <c r="C111" s="267">
        <v>4</v>
      </c>
      <c r="D111" s="280">
        <v>0.371</v>
      </c>
      <c r="E111" s="247">
        <f t="shared" si="1"/>
        <v>81.798571840178639</v>
      </c>
      <c r="F111" s="271">
        <f t="shared" si="2"/>
        <v>102.24821480022331</v>
      </c>
    </row>
    <row r="112" spans="1:10" ht="26.25" customHeight="1" x14ac:dyDescent="0.4">
      <c r="A112" s="124" t="s">
        <v>98</v>
      </c>
      <c r="B112" s="125">
        <v>1</v>
      </c>
      <c r="C112" s="267">
        <v>5</v>
      </c>
      <c r="D112" s="280">
        <v>0.36599999999999999</v>
      </c>
      <c r="E112" s="247">
        <f t="shared" si="1"/>
        <v>80.696165211604807</v>
      </c>
      <c r="F112" s="271">
        <f t="shared" si="2"/>
        <v>100.87020651450599</v>
      </c>
    </row>
    <row r="113" spans="1:10" ht="27" customHeight="1" x14ac:dyDescent="0.4">
      <c r="A113" s="124" t="s">
        <v>100</v>
      </c>
      <c r="B113" s="125">
        <v>1</v>
      </c>
      <c r="C113" s="268">
        <v>6</v>
      </c>
      <c r="D113" s="281">
        <v>0.36899999999999999</v>
      </c>
      <c r="E113" s="248">
        <f t="shared" si="1"/>
        <v>81.357609188749095</v>
      </c>
      <c r="F113" s="272">
        <f t="shared" si="2"/>
        <v>101.69701148593637</v>
      </c>
    </row>
    <row r="114" spans="1:10" ht="27" customHeight="1" x14ac:dyDescent="0.4">
      <c r="A114" s="124" t="s">
        <v>101</v>
      </c>
      <c r="B114" s="125">
        <v>1</v>
      </c>
      <c r="C114" s="229"/>
      <c r="D114" s="189"/>
      <c r="E114" s="98"/>
      <c r="F114" s="273"/>
    </row>
    <row r="115" spans="1:10" ht="26.25" customHeight="1" x14ac:dyDescent="0.4">
      <c r="A115" s="124" t="s">
        <v>102</v>
      </c>
      <c r="B115" s="125">
        <v>1</v>
      </c>
      <c r="C115" s="229"/>
      <c r="D115" s="253" t="s">
        <v>71</v>
      </c>
      <c r="E115" s="255">
        <f>AVERAGE(E108:E113)</f>
        <v>80.475683885890035</v>
      </c>
      <c r="F115" s="274">
        <f>AVERAGE(F108:F113)</f>
        <v>100.59460485736254</v>
      </c>
    </row>
    <row r="116" spans="1:10" ht="27" customHeight="1" x14ac:dyDescent="0.4">
      <c r="A116" s="124" t="s">
        <v>103</v>
      </c>
      <c r="B116" s="155">
        <f>(B115/B114)*(B113/B112)*(B111/B110)*(B109/B108)*B107</f>
        <v>9000</v>
      </c>
      <c r="C116" s="230"/>
      <c r="D116" s="254" t="s">
        <v>84</v>
      </c>
      <c r="E116" s="252">
        <f>STDEV(E108:E113)/E115</f>
        <v>2.4566040297490266E-2</v>
      </c>
      <c r="F116" s="231">
        <f>STDEV(F108:F113)/F115</f>
        <v>2.4566040297490297E-2</v>
      </c>
      <c r="I116" s="98"/>
    </row>
    <row r="117" spans="1:10" ht="27" customHeight="1" x14ac:dyDescent="0.4">
      <c r="A117" s="313" t="s">
        <v>78</v>
      </c>
      <c r="B117" s="314"/>
      <c r="C117" s="232"/>
      <c r="D117" s="193" t="s">
        <v>20</v>
      </c>
      <c r="E117" s="257">
        <f>COUNT(E108:E113)</f>
        <v>6</v>
      </c>
      <c r="F117" s="258">
        <f>COUNT(F108:F113)</f>
        <v>6</v>
      </c>
      <c r="I117" s="98"/>
      <c r="J117" s="225"/>
    </row>
    <row r="118" spans="1:10" ht="26.25" customHeight="1" x14ac:dyDescent="0.3">
      <c r="A118" s="315"/>
      <c r="B118" s="316"/>
      <c r="C118" s="98"/>
      <c r="D118" s="256"/>
      <c r="E118" s="293" t="s">
        <v>123</v>
      </c>
      <c r="F118" s="294"/>
      <c r="G118" s="98"/>
      <c r="H118" s="98"/>
      <c r="I118" s="98"/>
    </row>
    <row r="119" spans="1:10" ht="25.5" customHeight="1" x14ac:dyDescent="0.4">
      <c r="A119" s="241"/>
      <c r="B119" s="120"/>
      <c r="C119" s="98"/>
      <c r="D119" s="254" t="s">
        <v>124</v>
      </c>
      <c r="E119" s="259">
        <f>MIN(E108:E113)</f>
        <v>76.507020023024225</v>
      </c>
      <c r="F119" s="275">
        <f>MIN(F108:F113)</f>
        <v>95.633775028780278</v>
      </c>
      <c r="G119" s="98"/>
      <c r="H119" s="98"/>
      <c r="I119" s="98"/>
    </row>
    <row r="120" spans="1:10" ht="24" customHeight="1" x14ac:dyDescent="0.4">
      <c r="A120" s="241"/>
      <c r="B120" s="120"/>
      <c r="C120" s="98"/>
      <c r="D120" s="166" t="s">
        <v>125</v>
      </c>
      <c r="E120" s="260">
        <f>MAX(E108:E113)</f>
        <v>81.798571840178639</v>
      </c>
      <c r="F120" s="276">
        <f>MAX(F108:F113)</f>
        <v>102.24821480022331</v>
      </c>
      <c r="G120" s="98"/>
      <c r="H120" s="98"/>
      <c r="I120" s="98"/>
    </row>
    <row r="121" spans="1:10" ht="27" customHeight="1" x14ac:dyDescent="0.3">
      <c r="A121" s="241"/>
      <c r="B121" s="120"/>
      <c r="C121" s="98"/>
      <c r="D121" s="98"/>
      <c r="E121" s="98"/>
      <c r="F121" s="189"/>
      <c r="G121" s="98"/>
      <c r="H121" s="98"/>
      <c r="I121" s="98"/>
    </row>
    <row r="122" spans="1:10" ht="25.5" customHeight="1" x14ac:dyDescent="0.3">
      <c r="A122" s="241"/>
      <c r="B122" s="120"/>
      <c r="C122" s="98"/>
      <c r="D122" s="98"/>
      <c r="E122" s="98"/>
      <c r="F122" s="189"/>
      <c r="G122" s="98"/>
      <c r="H122" s="98"/>
      <c r="I122" s="98"/>
    </row>
    <row r="123" spans="1:10" ht="18.75" x14ac:dyDescent="0.3">
      <c r="A123" s="241"/>
      <c r="B123" s="120"/>
      <c r="C123" s="98"/>
      <c r="D123" s="98"/>
      <c r="E123" s="98"/>
      <c r="F123" s="189"/>
      <c r="G123" s="98"/>
      <c r="H123" s="98"/>
      <c r="I123" s="98"/>
    </row>
    <row r="124" spans="1:10" ht="45.75" customHeight="1" x14ac:dyDescent="0.65">
      <c r="A124" s="108" t="s">
        <v>106</v>
      </c>
      <c r="B124" s="195" t="s">
        <v>126</v>
      </c>
      <c r="C124" s="325" t="str">
        <f>B26</f>
        <v>Drotaverine hydrochloride</v>
      </c>
      <c r="D124" s="325"/>
      <c r="E124" s="196" t="s">
        <v>127</v>
      </c>
      <c r="F124" s="196"/>
      <c r="G124" s="277">
        <f>F115</f>
        <v>100.59460485736254</v>
      </c>
      <c r="H124" s="98"/>
      <c r="I124" s="98"/>
    </row>
    <row r="125" spans="1:10" ht="45.75" customHeight="1" x14ac:dyDescent="0.65">
      <c r="A125" s="108"/>
      <c r="B125" s="195" t="s">
        <v>128</v>
      </c>
      <c r="C125" s="109" t="s">
        <v>129</v>
      </c>
      <c r="D125" s="277">
        <f>MIN(F108:F113)</f>
        <v>95.633775028780278</v>
      </c>
      <c r="E125" s="207" t="s">
        <v>130</v>
      </c>
      <c r="F125" s="277">
        <f>MAX(F108:F113)</f>
        <v>102.24821480022331</v>
      </c>
      <c r="G125" s="197"/>
      <c r="H125" s="98"/>
      <c r="I125" s="98"/>
    </row>
    <row r="126" spans="1:10" ht="19.5" customHeight="1" x14ac:dyDescent="0.3">
      <c r="A126" s="233"/>
      <c r="B126" s="233"/>
      <c r="C126" s="234"/>
      <c r="D126" s="234"/>
      <c r="E126" s="234"/>
      <c r="F126" s="234"/>
      <c r="G126" s="234"/>
      <c r="H126" s="234"/>
    </row>
    <row r="127" spans="1:10" ht="18.75" x14ac:dyDescent="0.3">
      <c r="B127" s="326" t="s">
        <v>26</v>
      </c>
      <c r="C127" s="326"/>
      <c r="E127" s="202" t="s">
        <v>27</v>
      </c>
      <c r="F127" s="235"/>
      <c r="G127" s="326" t="s">
        <v>28</v>
      </c>
      <c r="H127" s="326"/>
    </row>
    <row r="128" spans="1:10" ht="69.95" customHeight="1" x14ac:dyDescent="0.3">
      <c r="A128" s="236" t="s">
        <v>29</v>
      </c>
      <c r="B128" s="237"/>
      <c r="C128" s="237"/>
      <c r="E128" s="237"/>
      <c r="F128" s="98"/>
      <c r="G128" s="238"/>
      <c r="H128" s="238"/>
    </row>
    <row r="129" spans="1:9" ht="69.95" customHeight="1" x14ac:dyDescent="0.3">
      <c r="A129" s="236" t="s">
        <v>30</v>
      </c>
      <c r="B129" s="239"/>
      <c r="C129" s="239"/>
      <c r="E129" s="239"/>
      <c r="F129" s="98"/>
      <c r="G129" s="240"/>
      <c r="H129" s="240"/>
    </row>
    <row r="130" spans="1:9" ht="18.75" x14ac:dyDescent="0.3">
      <c r="A130" s="188"/>
      <c r="B130" s="188"/>
      <c r="C130" s="189"/>
      <c r="D130" s="189"/>
      <c r="E130" s="189"/>
      <c r="F130" s="192"/>
      <c r="G130" s="189"/>
      <c r="H130" s="189"/>
      <c r="I130" s="98"/>
    </row>
    <row r="131" spans="1:9" ht="18.75" x14ac:dyDescent="0.3">
      <c r="A131" s="188"/>
      <c r="B131" s="188"/>
      <c r="C131" s="189"/>
      <c r="D131" s="189"/>
      <c r="E131" s="189"/>
      <c r="F131" s="192"/>
      <c r="G131" s="189"/>
      <c r="H131" s="189"/>
      <c r="I131" s="98"/>
    </row>
    <row r="132" spans="1:9" ht="18.75" x14ac:dyDescent="0.3">
      <c r="A132" s="188"/>
      <c r="B132" s="188"/>
      <c r="C132" s="189"/>
      <c r="D132" s="189"/>
      <c r="E132" s="189"/>
      <c r="F132" s="192"/>
      <c r="G132" s="189"/>
      <c r="H132" s="189"/>
      <c r="I132" s="98"/>
    </row>
    <row r="133" spans="1:9" ht="18.75" x14ac:dyDescent="0.3">
      <c r="A133" s="188"/>
      <c r="B133" s="188"/>
      <c r="C133" s="189"/>
      <c r="D133" s="189"/>
      <c r="E133" s="189"/>
      <c r="F133" s="192"/>
      <c r="G133" s="189"/>
      <c r="H133" s="189"/>
      <c r="I133" s="98"/>
    </row>
    <row r="134" spans="1:9" ht="18.75" x14ac:dyDescent="0.3">
      <c r="A134" s="188"/>
      <c r="B134" s="188"/>
      <c r="C134" s="189"/>
      <c r="D134" s="189"/>
      <c r="E134" s="189"/>
      <c r="F134" s="192"/>
      <c r="G134" s="189"/>
      <c r="H134" s="189"/>
      <c r="I134" s="98"/>
    </row>
    <row r="135" spans="1:9" ht="18.75" x14ac:dyDescent="0.3">
      <c r="A135" s="188"/>
      <c r="B135" s="188"/>
      <c r="C135" s="189"/>
      <c r="D135" s="189"/>
      <c r="E135" s="189"/>
      <c r="F135" s="192"/>
      <c r="G135" s="189"/>
      <c r="H135" s="189"/>
      <c r="I135" s="98"/>
    </row>
    <row r="136" spans="1:9" ht="18.75" x14ac:dyDescent="0.3">
      <c r="A136" s="188"/>
      <c r="B136" s="188"/>
      <c r="C136" s="189"/>
      <c r="D136" s="189"/>
      <c r="E136" s="189"/>
      <c r="F136" s="192"/>
      <c r="G136" s="189"/>
      <c r="H136" s="189"/>
      <c r="I136" s="98"/>
    </row>
    <row r="137" spans="1:9" ht="18.75" x14ac:dyDescent="0.3">
      <c r="A137" s="188"/>
      <c r="B137" s="188"/>
      <c r="C137" s="189"/>
      <c r="D137" s="189"/>
      <c r="E137" s="189"/>
      <c r="F137" s="192"/>
      <c r="G137" s="189"/>
      <c r="H137" s="189"/>
      <c r="I137" s="98"/>
    </row>
    <row r="138" spans="1:9" ht="18.75" x14ac:dyDescent="0.3">
      <c r="A138" s="188"/>
      <c r="B138" s="188"/>
      <c r="C138" s="189"/>
      <c r="D138" s="189"/>
      <c r="E138" s="189"/>
      <c r="F138" s="192"/>
      <c r="G138" s="189"/>
      <c r="H138" s="189"/>
      <c r="I138" s="98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I39:I40"/>
    <mergeCell ref="A46:B47"/>
    <mergeCell ref="C60:C63"/>
    <mergeCell ref="D60:D63"/>
    <mergeCell ref="C64:C67"/>
    <mergeCell ref="D64:D67"/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22" orientation="portrait" r:id="rId1"/>
  <headerFooter>
    <oddHeader>&amp;LVer 4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SST</vt:lpstr>
      <vt:lpstr>Uniformity</vt:lpstr>
      <vt:lpstr>Drotaverine Hydrochloride</vt:lpstr>
      <vt:lpstr>'Drotaverine Hydrochloride'!Print_Area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hp 450</cp:lastModifiedBy>
  <cp:lastPrinted>2017-08-24T06:20:53Z</cp:lastPrinted>
  <dcterms:created xsi:type="dcterms:W3CDTF">2005-07-05T10:19:27Z</dcterms:created>
  <dcterms:modified xsi:type="dcterms:W3CDTF">2017-09-14T12:23:18Z</dcterms:modified>
</cp:coreProperties>
</file>