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October\"/>
    </mc:Choice>
  </mc:AlternateContent>
  <bookViews>
    <workbookView xWindow="0" yWindow="0" windowWidth="20490" windowHeight="8235" firstSheet="1" activeTab="2"/>
  </bookViews>
  <sheets>
    <sheet name="SST RIFAMPIN" sheetId="1" r:id="rId1"/>
    <sheet name="Uniformity" sheetId="2" r:id="rId2"/>
    <sheet name="Rifampicin" sheetId="3" r:id="rId3"/>
    <sheet name="Isoniazid" sheetId="4" r:id="rId4"/>
    <sheet name="Pyrazinamide" sheetId="5" r:id="rId5"/>
    <sheet name="ETHAMBUTOL" sheetId="6" r:id="rId6"/>
    <sheet name="SST PYRAZINAMIDE" sheetId="7" r:id="rId7"/>
    <sheet name="SST ISONIAZID" sheetId="8" r:id="rId8"/>
    <sheet name="SST ETHAMBUTOL" sheetId="9" r:id="rId9"/>
    <sheet name="Sheet1" sheetId="10" r:id="rId10"/>
  </sheets>
  <definedNames>
    <definedName name="_xlnm.Print_Area" localSheetId="4">Pyrazinamide!$A$1:$I$129</definedName>
    <definedName name="_xlnm.Print_Area" localSheetId="2">Rifampicin!$A$1:$I$129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C2" i="10" l="1"/>
  <c r="B21" i="9"/>
  <c r="B53" i="9"/>
  <c r="E51" i="9"/>
  <c r="D51" i="9"/>
  <c r="C51" i="9"/>
  <c r="B51" i="9"/>
  <c r="B52" i="9" s="1"/>
  <c r="B32" i="9"/>
  <c r="E30" i="9"/>
  <c r="D30" i="9"/>
  <c r="C30" i="9"/>
  <c r="B30" i="9"/>
  <c r="B31" i="9" s="1"/>
  <c r="B21" i="8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1"/>
  <c r="C124" i="6"/>
  <c r="B116" i="6"/>
  <c r="D100" i="6"/>
  <c r="D101" i="6" s="1"/>
  <c r="B98" i="6"/>
  <c r="D97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D68" i="6"/>
  <c r="B68" i="6"/>
  <c r="H67" i="6"/>
  <c r="G67" i="6"/>
  <c r="D64" i="6"/>
  <c r="H63" i="6"/>
  <c r="G63" i="6"/>
  <c r="D60" i="6"/>
  <c r="C56" i="6"/>
  <c r="B55" i="6"/>
  <c r="B45" i="6"/>
  <c r="D48" i="6" s="1"/>
  <c r="F42" i="6"/>
  <c r="D42" i="6"/>
  <c r="G41" i="6"/>
  <c r="E41" i="6"/>
  <c r="B34" i="6"/>
  <c r="F44" i="6" s="1"/>
  <c r="B30" i="6"/>
  <c r="D98" i="6" l="1"/>
  <c r="F45" i="6"/>
  <c r="F46" i="6" s="1"/>
  <c r="F98" i="6"/>
  <c r="G91" i="6" s="1"/>
  <c r="E91" i="6"/>
  <c r="I92" i="6"/>
  <c r="I39" i="6"/>
  <c r="F99" i="6"/>
  <c r="D99" i="6"/>
  <c r="E93" i="6"/>
  <c r="G40" i="6"/>
  <c r="G39" i="6"/>
  <c r="D49" i="6"/>
  <c r="G38" i="6"/>
  <c r="E92" i="6"/>
  <c r="G93" i="6"/>
  <c r="D102" i="6"/>
  <c r="D44" i="6"/>
  <c r="D45" i="6" s="1"/>
  <c r="D46" i="6" s="1"/>
  <c r="G92" i="6"/>
  <c r="D68" i="5"/>
  <c r="D64" i="5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45" i="2"/>
  <c r="D43" i="2"/>
  <c r="D42" i="2"/>
  <c r="D41" i="2"/>
  <c r="D39" i="2"/>
  <c r="D36" i="2"/>
  <c r="D35" i="2"/>
  <c r="D34" i="2"/>
  <c r="D33" i="2"/>
  <c r="D32" i="2"/>
  <c r="D31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57" i="5" l="1"/>
  <c r="B69" i="5" s="1"/>
  <c r="B57" i="6"/>
  <c r="B69" i="6" s="1"/>
  <c r="D29" i="2"/>
  <c r="D37" i="2"/>
  <c r="B49" i="2"/>
  <c r="D30" i="2"/>
  <c r="D38" i="2"/>
  <c r="C49" i="2"/>
  <c r="I92" i="4"/>
  <c r="D105" i="6"/>
  <c r="D103" i="6"/>
  <c r="E38" i="6"/>
  <c r="G42" i="6"/>
  <c r="E39" i="6"/>
  <c r="E95" i="6"/>
  <c r="G95" i="6"/>
  <c r="E40" i="6"/>
  <c r="I92" i="5"/>
  <c r="D101" i="5"/>
  <c r="D102" i="5" s="1"/>
  <c r="I39" i="5"/>
  <c r="F44" i="5"/>
  <c r="F45" i="5" s="1"/>
  <c r="F46" i="5" s="1"/>
  <c r="D45" i="5"/>
  <c r="D46" i="5" s="1"/>
  <c r="F98" i="5"/>
  <c r="F99" i="5" s="1"/>
  <c r="D101" i="4"/>
  <c r="D102" i="4" s="1"/>
  <c r="D97" i="4"/>
  <c r="I92" i="3"/>
  <c r="D101" i="3"/>
  <c r="D102" i="3" s="1"/>
  <c r="D49" i="4"/>
  <c r="D45" i="4"/>
  <c r="D46" i="4" s="1"/>
  <c r="I39" i="4"/>
  <c r="I39" i="3"/>
  <c r="D49" i="3"/>
  <c r="F44" i="3"/>
  <c r="F45" i="3" s="1"/>
  <c r="D45" i="3"/>
  <c r="E41" i="3" s="1"/>
  <c r="D49" i="5"/>
  <c r="F98" i="3"/>
  <c r="F99" i="3" s="1"/>
  <c r="G94" i="3"/>
  <c r="D98" i="4"/>
  <c r="E92" i="4" s="1"/>
  <c r="F98" i="4"/>
  <c r="C50" i="2"/>
  <c r="D97" i="3"/>
  <c r="D98" i="3" s="1"/>
  <c r="D99" i="3" s="1"/>
  <c r="F44" i="4"/>
  <c r="F45" i="4" s="1"/>
  <c r="G40" i="4" s="1"/>
  <c r="E94" i="4"/>
  <c r="D97" i="5"/>
  <c r="D98" i="5" s="1"/>
  <c r="D99" i="5" s="1"/>
  <c r="D50" i="2"/>
  <c r="E41" i="4"/>
  <c r="B57" i="4"/>
  <c r="B69" i="4" s="1"/>
  <c r="D40" i="2"/>
  <c r="D49" i="2"/>
  <c r="B57" i="3"/>
  <c r="B69" i="3" s="1"/>
  <c r="G38" i="4" l="1"/>
  <c r="G39" i="4"/>
  <c r="G93" i="4"/>
  <c r="D50" i="6"/>
  <c r="E42" i="6"/>
  <c r="D52" i="6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93" i="5"/>
  <c r="E40" i="5"/>
  <c r="E41" i="5"/>
  <c r="G41" i="5"/>
  <c r="E38" i="5"/>
  <c r="G39" i="5"/>
  <c r="E39" i="5"/>
  <c r="G92" i="5"/>
  <c r="G38" i="5"/>
  <c r="G40" i="5"/>
  <c r="G91" i="5"/>
  <c r="G94" i="5"/>
  <c r="E91" i="4"/>
  <c r="G94" i="4"/>
  <c r="G93" i="3"/>
  <c r="E40" i="4"/>
  <c r="E38" i="4"/>
  <c r="E39" i="4"/>
  <c r="F46" i="3"/>
  <c r="G40" i="3"/>
  <c r="E40" i="3"/>
  <c r="E39" i="3"/>
  <c r="D46" i="3"/>
  <c r="G41" i="3"/>
  <c r="E38" i="3"/>
  <c r="G38" i="3"/>
  <c r="G92" i="3"/>
  <c r="G39" i="3"/>
  <c r="G91" i="3"/>
  <c r="E91" i="3"/>
  <c r="G41" i="4"/>
  <c r="F46" i="4"/>
  <c r="E92" i="3"/>
  <c r="E94" i="3"/>
  <c r="E92" i="5"/>
  <c r="E94" i="5"/>
  <c r="G91" i="4"/>
  <c r="F99" i="4"/>
  <c r="E91" i="5"/>
  <c r="D99" i="4"/>
  <c r="E93" i="4"/>
  <c r="G92" i="4"/>
  <c r="E93" i="3"/>
  <c r="E93" i="5"/>
  <c r="E120" i="6" l="1"/>
  <c r="E117" i="6"/>
  <c r="F108" i="6"/>
  <c r="E115" i="6"/>
  <c r="E116" i="6" s="1"/>
  <c r="E119" i="6"/>
  <c r="G66" i="6"/>
  <c r="H66" i="6" s="1"/>
  <c r="G64" i="6"/>
  <c r="H64" i="6" s="1"/>
  <c r="G61" i="6"/>
  <c r="H61" i="6" s="1"/>
  <c r="G70" i="6"/>
  <c r="H70" i="6" s="1"/>
  <c r="G62" i="6"/>
  <c r="H62" i="6" s="1"/>
  <c r="G60" i="6"/>
  <c r="G68" i="6"/>
  <c r="H68" i="6" s="1"/>
  <c r="G65" i="6"/>
  <c r="H65" i="6" s="1"/>
  <c r="G69" i="6"/>
  <c r="H69" i="6" s="1"/>
  <c r="D51" i="6"/>
  <c r="D52" i="5"/>
  <c r="E42" i="5"/>
  <c r="G42" i="5"/>
  <c r="D50" i="5"/>
  <c r="G67" i="5" s="1"/>
  <c r="H67" i="5" s="1"/>
  <c r="G95" i="5"/>
  <c r="D103" i="4"/>
  <c r="E113" i="4" s="1"/>
  <c r="F113" i="4" s="1"/>
  <c r="G95" i="4"/>
  <c r="D105" i="3"/>
  <c r="D103" i="3"/>
  <c r="D104" i="3" s="1"/>
  <c r="D52" i="4"/>
  <c r="D50" i="4"/>
  <c r="G68" i="4" s="1"/>
  <c r="H68" i="4" s="1"/>
  <c r="G42" i="4"/>
  <c r="E42" i="4"/>
  <c r="D105" i="4"/>
  <c r="E95" i="4"/>
  <c r="E42" i="3"/>
  <c r="D52" i="3"/>
  <c r="E95" i="3"/>
  <c r="G42" i="3"/>
  <c r="D50" i="3"/>
  <c r="G65" i="3" s="1"/>
  <c r="H65" i="3" s="1"/>
  <c r="G95" i="3"/>
  <c r="D103" i="5"/>
  <c r="E95" i="5"/>
  <c r="D105" i="5"/>
  <c r="E110" i="4" l="1"/>
  <c r="F110" i="4" s="1"/>
  <c r="H60" i="6"/>
  <c r="G74" i="6"/>
  <c r="G72" i="6"/>
  <c r="G73" i="6" s="1"/>
  <c r="F125" i="6"/>
  <c r="F120" i="6"/>
  <c r="F117" i="6"/>
  <c r="D125" i="6"/>
  <c r="F115" i="6"/>
  <c r="F119" i="6"/>
  <c r="G66" i="5"/>
  <c r="H66" i="5" s="1"/>
  <c r="G63" i="5"/>
  <c r="H63" i="5" s="1"/>
  <c r="G69" i="5"/>
  <c r="H69" i="5" s="1"/>
  <c r="G65" i="5"/>
  <c r="H65" i="5" s="1"/>
  <c r="G71" i="5"/>
  <c r="H71" i="5" s="1"/>
  <c r="G70" i="5"/>
  <c r="H70" i="5" s="1"/>
  <c r="D51" i="5"/>
  <c r="G64" i="5"/>
  <c r="H64" i="5" s="1"/>
  <c r="G68" i="5"/>
  <c r="H68" i="5" s="1"/>
  <c r="E112" i="4"/>
  <c r="F112" i="4" s="1"/>
  <c r="E109" i="4"/>
  <c r="F109" i="4" s="1"/>
  <c r="D104" i="4"/>
  <c r="E111" i="4"/>
  <c r="F111" i="4" s="1"/>
  <c r="E108" i="4"/>
  <c r="E113" i="3"/>
  <c r="F113" i="3" s="1"/>
  <c r="E108" i="3"/>
  <c r="F108" i="3" s="1"/>
  <c r="E111" i="3"/>
  <c r="F111" i="3" s="1"/>
  <c r="E110" i="3"/>
  <c r="F110" i="3" s="1"/>
  <c r="E109" i="3"/>
  <c r="F109" i="3" s="1"/>
  <c r="E112" i="3"/>
  <c r="F112" i="3" s="1"/>
  <c r="G67" i="4"/>
  <c r="H67" i="4" s="1"/>
  <c r="D51" i="4"/>
  <c r="G66" i="4"/>
  <c r="H66" i="4" s="1"/>
  <c r="G63" i="4"/>
  <c r="H63" i="4" s="1"/>
  <c r="G60" i="4"/>
  <c r="H60" i="4" s="1"/>
  <c r="G71" i="4"/>
  <c r="H71" i="4" s="1"/>
  <c r="G69" i="4"/>
  <c r="H69" i="4" s="1"/>
  <c r="G65" i="4"/>
  <c r="H65" i="4" s="1"/>
  <c r="G62" i="4"/>
  <c r="H62" i="4" s="1"/>
  <c r="G61" i="4"/>
  <c r="H61" i="4" s="1"/>
  <c r="G70" i="4"/>
  <c r="H70" i="4" s="1"/>
  <c r="G64" i="4"/>
  <c r="H64" i="4" s="1"/>
  <c r="G64" i="3"/>
  <c r="H64" i="3" s="1"/>
  <c r="G67" i="3"/>
  <c r="H67" i="3" s="1"/>
  <c r="G68" i="3"/>
  <c r="H68" i="3" s="1"/>
  <c r="G66" i="3"/>
  <c r="H66" i="3" s="1"/>
  <c r="G70" i="3"/>
  <c r="H70" i="3" s="1"/>
  <c r="G69" i="3"/>
  <c r="H69" i="3" s="1"/>
  <c r="G63" i="3"/>
  <c r="H63" i="3" s="1"/>
  <c r="D51" i="3"/>
  <c r="G71" i="3"/>
  <c r="H71" i="3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124" i="6" l="1"/>
  <c r="F116" i="6"/>
  <c r="H74" i="6"/>
  <c r="H72" i="6"/>
  <c r="E115" i="4"/>
  <c r="E116" i="4" s="1"/>
  <c r="E117" i="4"/>
  <c r="E119" i="4"/>
  <c r="E120" i="4"/>
  <c r="F108" i="4"/>
  <c r="F120" i="4" s="1"/>
  <c r="E119" i="3"/>
  <c r="E120" i="3"/>
  <c r="E115" i="3"/>
  <c r="E116" i="3" s="1"/>
  <c r="E117" i="3"/>
  <c r="G72" i="4"/>
  <c r="G73" i="4" s="1"/>
  <c r="G74" i="4"/>
  <c r="E120" i="5"/>
  <c r="E117" i="5"/>
  <c r="F108" i="5"/>
  <c r="E115" i="5"/>
  <c r="E116" i="5" s="1"/>
  <c r="E119" i="5"/>
  <c r="F125" i="3"/>
  <c r="F120" i="3"/>
  <c r="F117" i="3"/>
  <c r="D125" i="3"/>
  <c r="F115" i="3"/>
  <c r="F119" i="3"/>
  <c r="H74" i="4"/>
  <c r="H72" i="4"/>
  <c r="G76" i="6" l="1"/>
  <c r="H73" i="6"/>
  <c r="F115" i="4"/>
  <c r="G124" i="4" s="1"/>
  <c r="F117" i="4"/>
  <c r="F125" i="4"/>
  <c r="D125" i="4"/>
  <c r="F119" i="4"/>
  <c r="G124" i="3"/>
  <c r="F116" i="3"/>
  <c r="G76" i="4"/>
  <c r="H73" i="4"/>
  <c r="F125" i="5"/>
  <c r="F120" i="5"/>
  <c r="F117" i="5"/>
  <c r="D125" i="5"/>
  <c r="F115" i="5"/>
  <c r="F119" i="5"/>
  <c r="F116" i="4" l="1"/>
  <c r="G124" i="5"/>
  <c r="F116" i="5"/>
  <c r="D60" i="5"/>
  <c r="G60" i="5" l="1"/>
  <c r="G61" i="5"/>
  <c r="H61" i="5" s="1"/>
  <c r="G62" i="5"/>
  <c r="H62" i="5" s="1"/>
  <c r="G61" i="3"/>
  <c r="H61" i="3" s="1"/>
  <c r="G62" i="3"/>
  <c r="H62" i="3" s="1"/>
  <c r="G60" i="3"/>
  <c r="G74" i="3" l="1"/>
  <c r="G72" i="3"/>
  <c r="G73" i="3" s="1"/>
  <c r="H60" i="3"/>
  <c r="G74" i="5"/>
  <c r="G72" i="5"/>
  <c r="G73" i="5" s="1"/>
  <c r="H60" i="5"/>
  <c r="H72" i="5" l="1"/>
  <c r="G76" i="5" s="1"/>
  <c r="H74" i="5"/>
  <c r="H74" i="3"/>
  <c r="H72" i="3"/>
  <c r="G76" i="3" s="1"/>
  <c r="H73" i="5" l="1"/>
  <c r="H73" i="3"/>
</calcChain>
</file>

<file path=xl/sharedStrings.xml><?xml version="1.0" encoding="utf-8"?>
<sst xmlns="http://schemas.openxmlformats.org/spreadsheetml/2006/main" count="882" uniqueCount="145">
  <si>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</si>
  <si>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</si>
  <si>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</si>
  <si>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</si>
  <si>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</si>
  <si>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</si>
  <si>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</si>
  <si>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NDQD201708108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</si>
  <si>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</si>
  <si>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</si>
  <si>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</si>
  <si>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</si>
  <si>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2017-08-18 09:53:14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</si>
  <si>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</si>
  <si>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</si>
  <si>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</si>
  <si>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</si>
  <si>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</si>
  <si>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</si>
  <si>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</si>
  <si>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</si>
  <si>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</si>
  <si>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</si>
  <si>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</si>
  <si>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</si>
  <si>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</si>
  <si>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</si>
  <si>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</si>
  <si>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</si>
  <si>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</si>
  <si>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</si>
  <si>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</si>
  <si>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</si>
  <si>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</si>
  <si>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</si>
  <si>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</si>
  <si>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</si>
  <si>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</si>
  <si>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</si>
  <si>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</si>
  <si>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</si>
  <si>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</si>
  <si>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</si>
  <si>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</si>
  <si>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</si>
  <si>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</si>
  <si>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</si>
  <si>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</si>
  <si>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</si>
  <si>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</si>
  <si>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</si>
  <si>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</si>
  <si>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</si>
  <si>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</si>
  <si>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</si>
  <si>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</si>
  <si>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</si>
  <si>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</si>
  <si>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</si>
  <si>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</si>
  <si>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</si>
  <si>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</si>
  <si>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</si>
  <si>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</si>
  <si>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</si>
  <si>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</si>
  <si>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</si>
  <si>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</si>
  <si>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</si>
  <si>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</si>
  <si>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</si>
  <si>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</si>
  <si>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</si>
  <si>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</si>
  <si>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</si>
  <si>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</si>
  <si>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</si>
  <si>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</si>
  <si>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</si>
  <si>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</si>
  <si>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</si>
  <si>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</si>
  <si>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</si>
  <si>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</si>
  <si>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</si>
  <si>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</si>
  <si>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</si>
  <si>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</si>
  <si>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</si>
  <si>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</si>
  <si>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</si>
  <si>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</si>
  <si>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</si>
  <si>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</si>
  <si>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</si>
  <si>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</si>
  <si>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</si>
  <si>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</si>
  <si>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</si>
  <si>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</si>
  <si>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</si>
  <si>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</si>
  <si>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</si>
  <si>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</si>
  <si>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</si>
  <si>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</si>
  <si>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</si>
  <si>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</si>
  <si>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</si>
  <si>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</si>
  <si>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</si>
  <si>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</si>
  <si>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</si>
  <si>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</si>
  <si>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</si>
  <si>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</si>
  <si>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</si>
  <si>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</si>
  <si>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</si>
  <si>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</si>
  <si>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</si>
  <si>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</si>
  <si>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</si>
  <si>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</si>
  <si>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</si>
  <si>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</si>
  <si>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</si>
  <si>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</si>
  <si>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</si>
  <si>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</si>
  <si>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</si>
  <si>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</si>
  <si>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I8-4</t>
  </si>
  <si>
    <t>Rifampicin</t>
  </si>
  <si>
    <t>R4-1</t>
  </si>
  <si>
    <t>Pyrazinamide</t>
  </si>
  <si>
    <t>P19-1</t>
  </si>
  <si>
    <t>ETHAMBUTOL HCl</t>
  </si>
  <si>
    <t>E12-3</t>
  </si>
  <si>
    <t>RIFAMPICIN</t>
  </si>
  <si>
    <t xml:space="preserve"> ISONIAZID, </t>
  </si>
  <si>
    <t xml:space="preserve"> PYRAZINAMIDE </t>
  </si>
  <si>
    <t>PYRAZINAMIDE</t>
  </si>
  <si>
    <t>ETHAMBUTOL</t>
  </si>
  <si>
    <t>Ethambutol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</si>
</sst>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55" sqref="B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70" t="s">
        <v>0</v>
      </c>
      <c r="B15" s="670"/>
      <c r="C15" s="670"/>
      <c r="D15" s="670"/>
      <c r="E15" s="6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B20/20*10/50</f>
        <v>0.20590000000000003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65116833</v>
      </c>
      <c r="C24" s="18">
        <v>94561.600000000006</v>
      </c>
      <c r="D24" s="19">
        <v>0.8</v>
      </c>
      <c r="E24" s="20">
        <v>12.4</v>
      </c>
    </row>
    <row r="25" spans="1:6" ht="16.5" customHeight="1" x14ac:dyDescent="0.3">
      <c r="A25" s="17">
        <v>2</v>
      </c>
      <c r="B25" s="18">
        <v>64863039</v>
      </c>
      <c r="C25" s="18">
        <v>94662</v>
      </c>
      <c r="D25" s="19">
        <v>0.8</v>
      </c>
      <c r="E25" s="19">
        <v>12.4</v>
      </c>
    </row>
    <row r="26" spans="1:6" ht="16.5" customHeight="1" x14ac:dyDescent="0.3">
      <c r="A26" s="17">
        <v>3</v>
      </c>
      <c r="B26" s="18">
        <v>64933079</v>
      </c>
      <c r="C26" s="18">
        <v>94385.4</v>
      </c>
      <c r="D26" s="19">
        <v>0.8</v>
      </c>
      <c r="E26" s="19">
        <v>12.4</v>
      </c>
    </row>
    <row r="27" spans="1:6" ht="16.5" customHeight="1" x14ac:dyDescent="0.3">
      <c r="A27" s="17">
        <v>4</v>
      </c>
      <c r="B27" s="18">
        <v>65234865</v>
      </c>
      <c r="C27" s="18">
        <v>94472.2</v>
      </c>
      <c r="D27" s="19">
        <v>0.8</v>
      </c>
      <c r="E27" s="19">
        <v>12.4</v>
      </c>
    </row>
    <row r="28" spans="1:6" ht="16.5" customHeight="1" x14ac:dyDescent="0.3">
      <c r="A28" s="17">
        <v>5</v>
      </c>
      <c r="B28" s="18">
        <v>64846148</v>
      </c>
      <c r="C28" s="18">
        <v>94131.199999999997</v>
      </c>
      <c r="D28" s="19">
        <v>0.8</v>
      </c>
      <c r="E28" s="19">
        <v>12.4</v>
      </c>
    </row>
    <row r="29" spans="1:6" ht="16.5" customHeight="1" x14ac:dyDescent="0.3">
      <c r="A29" s="17">
        <v>6</v>
      </c>
      <c r="B29" s="21">
        <v>64794365</v>
      </c>
      <c r="C29" s="21">
        <v>94226</v>
      </c>
      <c r="D29" s="22">
        <v>0.8</v>
      </c>
      <c r="E29" s="22">
        <v>12.4</v>
      </c>
    </row>
    <row r="30" spans="1:6" ht="16.5" customHeight="1" x14ac:dyDescent="0.3">
      <c r="A30" s="23" t="s">
        <v>18</v>
      </c>
      <c r="B30" s="24">
        <f>AVERAGE(B24:B29)</f>
        <v>64964721.5</v>
      </c>
      <c r="C30" s="25">
        <f>AVERAGE(C24:C29)</f>
        <v>94406.400000000009</v>
      </c>
      <c r="D30" s="26">
        <f>AVERAGE(D24:D29)</f>
        <v>0.79999999999999993</v>
      </c>
      <c r="E30" s="26">
        <f>AVERAGE(E24:E29)</f>
        <v>12.4</v>
      </c>
    </row>
    <row r="31" spans="1:6" ht="16.5" customHeight="1" x14ac:dyDescent="0.3">
      <c r="A31" s="27" t="s">
        <v>19</v>
      </c>
      <c r="B31" s="28">
        <f>(STDEV(B24:B29)/B30)</f>
        <v>2.670908801089084E-3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98.5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0.20590000000000003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65116833</v>
      </c>
      <c r="C45" s="18">
        <v>94561.600000000006</v>
      </c>
      <c r="D45" s="19">
        <v>0.8</v>
      </c>
      <c r="E45" s="20">
        <v>12.4</v>
      </c>
    </row>
    <row r="46" spans="1:6" ht="16.5" customHeight="1" x14ac:dyDescent="0.3">
      <c r="A46" s="17">
        <v>2</v>
      </c>
      <c r="B46" s="18">
        <v>64863039</v>
      </c>
      <c r="C46" s="18">
        <v>94662</v>
      </c>
      <c r="D46" s="19">
        <v>0.8</v>
      </c>
      <c r="E46" s="19">
        <v>12.4</v>
      </c>
    </row>
    <row r="47" spans="1:6" ht="16.5" customHeight="1" x14ac:dyDescent="0.3">
      <c r="A47" s="17">
        <v>3</v>
      </c>
      <c r="B47" s="18">
        <v>64933079</v>
      </c>
      <c r="C47" s="18">
        <v>94385.4</v>
      </c>
      <c r="D47" s="19">
        <v>0.8</v>
      </c>
      <c r="E47" s="19">
        <v>12.4</v>
      </c>
    </row>
    <row r="48" spans="1:6" ht="16.5" customHeight="1" x14ac:dyDescent="0.3">
      <c r="A48" s="17">
        <v>4</v>
      </c>
      <c r="B48" s="18">
        <v>65234865</v>
      </c>
      <c r="C48" s="18">
        <v>94472.2</v>
      </c>
      <c r="D48" s="19">
        <v>0.8</v>
      </c>
      <c r="E48" s="19">
        <v>12.4</v>
      </c>
    </row>
    <row r="49" spans="1:7" ht="16.5" customHeight="1" x14ac:dyDescent="0.3">
      <c r="A49" s="17">
        <v>5</v>
      </c>
      <c r="B49" s="18">
        <v>64846148</v>
      </c>
      <c r="C49" s="18">
        <v>94131.199999999997</v>
      </c>
      <c r="D49" s="19">
        <v>0.8</v>
      </c>
      <c r="E49" s="19">
        <v>12.4</v>
      </c>
    </row>
    <row r="50" spans="1:7" ht="16.5" customHeight="1" x14ac:dyDescent="0.3">
      <c r="A50" s="17">
        <v>6</v>
      </c>
      <c r="B50" s="21">
        <v>64794365</v>
      </c>
      <c r="C50" s="21">
        <v>94226</v>
      </c>
      <c r="D50" s="22">
        <v>0.8</v>
      </c>
      <c r="E50" s="22">
        <v>12.4</v>
      </c>
    </row>
    <row r="51" spans="1:7" ht="16.5" customHeight="1" x14ac:dyDescent="0.3">
      <c r="A51" s="23" t="s">
        <v>18</v>
      </c>
      <c r="B51" s="24">
        <f>AVERAGE(B45:B50)</f>
        <v>64964721.5</v>
      </c>
      <c r="C51" s="25">
        <f>AVERAGE(C45:C50)</f>
        <v>94406.400000000009</v>
      </c>
      <c r="D51" s="26">
        <f>AVERAGE(D45:D50)</f>
        <v>0.79999999999999993</v>
      </c>
      <c r="E51" s="26">
        <f>AVERAGE(E45:E50)</f>
        <v>12.4</v>
      </c>
    </row>
    <row r="52" spans="1:7" ht="16.5" customHeight="1" x14ac:dyDescent="0.3">
      <c r="A52" s="27" t="s">
        <v>19</v>
      </c>
      <c r="B52" s="28">
        <f>(STDEV(B45:B50)/B51)</f>
        <v>2.670908801089084E-3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71" t="s">
        <v>26</v>
      </c>
      <c r="C59" s="6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3"/>
  <sheetViews>
    <sheetView workbookViewId="0">
      <selection activeCell="C3" sqref="C3"/>
    </sheetView>
  </sheetViews>
  <sheetFormatPr defaultRowHeight="12.75" x14ac:dyDescent="0.2"/>
  <sheetData>
    <row r="2" spans="3:3" x14ac:dyDescent="0.2">
      <c r="C2">
        <f>0.0213936714520777*100</f>
        <v>2.1393671452077703</v>
      </c>
    </row>
    <row r="3" spans="3:3" x14ac:dyDescent="0.2">
      <c r="C3">
        <v>2.5120174669868982E-2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5" t="s">
        <v>31</v>
      </c>
      <c r="B11" s="676"/>
      <c r="C11" s="676"/>
      <c r="D11" s="676"/>
      <c r="E11" s="676"/>
      <c r="F11" s="677"/>
      <c r="G11" s="91"/>
    </row>
    <row r="12" spans="1:7" ht="16.5" customHeight="1" x14ac:dyDescent="0.3">
      <c r="A12" s="674" t="s">
        <v>32</v>
      </c>
      <c r="B12" s="674"/>
      <c r="C12" s="674"/>
      <c r="D12" s="674"/>
      <c r="E12" s="674"/>
      <c r="F12" s="674"/>
      <c r="G12" s="90"/>
    </row>
    <row r="14" spans="1:7" ht="16.5" customHeight="1" x14ac:dyDescent="0.3">
      <c r="A14" s="679" t="s">
        <v>33</v>
      </c>
      <c r="B14" s="679"/>
      <c r="C14" s="60" t="s">
        <v>5</v>
      </c>
    </row>
    <row r="15" spans="1:7" ht="16.5" customHeight="1" x14ac:dyDescent="0.3">
      <c r="A15" s="679" t="s">
        <v>34</v>
      </c>
      <c r="B15" s="679"/>
      <c r="C15" s="60" t="s">
        <v>7</v>
      </c>
    </row>
    <row r="16" spans="1:7" ht="16.5" customHeight="1" x14ac:dyDescent="0.3">
      <c r="A16" s="679" t="s">
        <v>35</v>
      </c>
      <c r="B16" s="679"/>
      <c r="C16" s="60" t="s">
        <v>9</v>
      </c>
    </row>
    <row r="17" spans="1:5" ht="16.5" customHeight="1" x14ac:dyDescent="0.3">
      <c r="A17" s="679" t="s">
        <v>36</v>
      </c>
      <c r="B17" s="679"/>
      <c r="C17" s="60" t="s">
        <v>11</v>
      </c>
    </row>
    <row r="18" spans="1:5" ht="16.5" customHeight="1" x14ac:dyDescent="0.3">
      <c r="A18" s="679" t="s">
        <v>37</v>
      </c>
      <c r="B18" s="679"/>
      <c r="C18" s="97" t="s">
        <v>12</v>
      </c>
    </row>
    <row r="19" spans="1:5" ht="16.5" customHeight="1" x14ac:dyDescent="0.3">
      <c r="A19" s="679" t="s">
        <v>38</v>
      </c>
      <c r="B19" s="67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74" t="s">
        <v>1</v>
      </c>
      <c r="B21" s="674"/>
      <c r="C21" s="59" t="s">
        <v>39</v>
      </c>
      <c r="D21" s="66"/>
    </row>
    <row r="22" spans="1:5" ht="15.75" customHeight="1" x14ac:dyDescent="0.3">
      <c r="A22" s="678"/>
      <c r="B22" s="678"/>
      <c r="C22" s="57"/>
      <c r="D22" s="678"/>
      <c r="E22" s="67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1138</v>
      </c>
      <c r="D24" s="87">
        <f t="shared" ref="D24:D43" si="0">(C24-$C$46)/$C$46</f>
        <v>-2.7031302239226875E-3</v>
      </c>
      <c r="E24" s="53"/>
    </row>
    <row r="25" spans="1:5" ht="15.75" customHeight="1" x14ac:dyDescent="0.3">
      <c r="C25" s="95">
        <v>1156.95</v>
      </c>
      <c r="D25" s="88">
        <f t="shared" si="0"/>
        <v>1.3903878284211505E-2</v>
      </c>
      <c r="E25" s="53"/>
    </row>
    <row r="26" spans="1:5" ht="15.75" customHeight="1" x14ac:dyDescent="0.3">
      <c r="C26" s="95">
        <v>1138.21</v>
      </c>
      <c r="D26" s="88">
        <f t="shared" si="0"/>
        <v>-2.5190947734367365E-3</v>
      </c>
      <c r="E26" s="53"/>
    </row>
    <row r="27" spans="1:5" ht="15.75" customHeight="1" x14ac:dyDescent="0.3">
      <c r="C27" s="95">
        <v>1122.5999999999999</v>
      </c>
      <c r="D27" s="88">
        <f t="shared" si="0"/>
        <v>-1.6199063259556855E-2</v>
      </c>
      <c r="E27" s="53"/>
    </row>
    <row r="28" spans="1:5" ht="15.75" customHeight="1" x14ac:dyDescent="0.3">
      <c r="C28" s="95">
        <v>1148.69</v>
      </c>
      <c r="D28" s="88">
        <f t="shared" si="0"/>
        <v>6.6651505650986839E-3</v>
      </c>
      <c r="E28" s="53"/>
    </row>
    <row r="29" spans="1:5" ht="15.75" customHeight="1" x14ac:dyDescent="0.3">
      <c r="C29" s="95">
        <v>1114.6199999999999</v>
      </c>
      <c r="D29" s="88">
        <f t="shared" si="0"/>
        <v>-2.3192410378021805E-2</v>
      </c>
      <c r="E29" s="53"/>
    </row>
    <row r="30" spans="1:5" ht="15.75" customHeight="1" x14ac:dyDescent="0.3">
      <c r="C30" s="95">
        <v>1128.51</v>
      </c>
      <c r="D30" s="88">
        <f t="shared" si="0"/>
        <v>-1.1019779867310195E-2</v>
      </c>
      <c r="E30" s="53"/>
    </row>
    <row r="31" spans="1:5" ht="15.75" customHeight="1" x14ac:dyDescent="0.3">
      <c r="C31" s="95">
        <v>1159.1099999999999</v>
      </c>
      <c r="D31" s="88">
        <f t="shared" si="0"/>
        <v>1.5796814346352262E-2</v>
      </c>
      <c r="E31" s="53"/>
    </row>
    <row r="32" spans="1:5" ht="15.75" customHeight="1" x14ac:dyDescent="0.3">
      <c r="C32" s="95">
        <v>1140.19</v>
      </c>
      <c r="D32" s="88">
        <f t="shared" si="0"/>
        <v>-7.8390338314090916E-4</v>
      </c>
      <c r="E32" s="53"/>
    </row>
    <row r="33" spans="1:7" ht="15.75" customHeight="1" x14ac:dyDescent="0.3">
      <c r="C33" s="95">
        <v>1137.8</v>
      </c>
      <c r="D33" s="88">
        <f t="shared" si="0"/>
        <v>-2.8784020815283647E-3</v>
      </c>
      <c r="E33" s="53"/>
    </row>
    <row r="34" spans="1:7" ht="15.75" customHeight="1" x14ac:dyDescent="0.3">
      <c r="C34" s="95">
        <v>1139.76</v>
      </c>
      <c r="D34" s="88">
        <f t="shared" si="0"/>
        <v>-1.1607378769930856E-3</v>
      </c>
      <c r="E34" s="53"/>
    </row>
    <row r="35" spans="1:7" ht="15.75" customHeight="1" x14ac:dyDescent="0.3">
      <c r="C35" s="95">
        <v>1142.1500000000001</v>
      </c>
      <c r="D35" s="88">
        <f t="shared" si="0"/>
        <v>9.3376082139437011E-4</v>
      </c>
      <c r="E35" s="53"/>
    </row>
    <row r="36" spans="1:7" ht="15.75" customHeight="1" x14ac:dyDescent="0.3">
      <c r="C36" s="95">
        <v>1147.6600000000001</v>
      </c>
      <c r="D36" s="88">
        <f t="shared" si="0"/>
        <v>5.7625004984296745E-3</v>
      </c>
      <c r="E36" s="53"/>
    </row>
    <row r="37" spans="1:7" ht="15.75" customHeight="1" x14ac:dyDescent="0.3">
      <c r="C37" s="95">
        <v>1146.06</v>
      </c>
      <c r="D37" s="88">
        <f t="shared" si="0"/>
        <v>4.3603256375844557E-3</v>
      </c>
      <c r="E37" s="53"/>
    </row>
    <row r="38" spans="1:7" ht="15.75" customHeight="1" x14ac:dyDescent="0.3">
      <c r="C38" s="95">
        <v>1146.5999999999999</v>
      </c>
      <c r="D38" s="88">
        <f t="shared" si="0"/>
        <v>4.8335596531196446E-3</v>
      </c>
      <c r="E38" s="53"/>
    </row>
    <row r="39" spans="1:7" ht="15.75" customHeight="1" x14ac:dyDescent="0.3">
      <c r="C39" s="95">
        <v>1154.46</v>
      </c>
      <c r="D39" s="88">
        <f t="shared" si="0"/>
        <v>1.172174365702131E-2</v>
      </c>
      <c r="E39" s="53"/>
    </row>
    <row r="40" spans="1:7" ht="15.75" customHeight="1" x14ac:dyDescent="0.3">
      <c r="C40" s="95">
        <v>1147.19</v>
      </c>
      <c r="D40" s="88">
        <f t="shared" si="0"/>
        <v>5.3506116330564032E-3</v>
      </c>
      <c r="E40" s="53"/>
    </row>
    <row r="41" spans="1:7" ht="15.75" customHeight="1" x14ac:dyDescent="0.3">
      <c r="C41" s="95">
        <v>1122.07</v>
      </c>
      <c r="D41" s="88">
        <f t="shared" si="0"/>
        <v>-1.6663533682211771E-2</v>
      </c>
      <c r="E41" s="53"/>
    </row>
    <row r="42" spans="1:7" ht="15.75" customHeight="1" x14ac:dyDescent="0.3">
      <c r="C42" s="95">
        <v>1157.76</v>
      </c>
      <c r="D42" s="88">
        <f t="shared" si="0"/>
        <v>1.4613729307514289E-2</v>
      </c>
      <c r="E42" s="53"/>
    </row>
    <row r="43" spans="1:7" ht="16.5" customHeight="1" x14ac:dyDescent="0.3">
      <c r="C43" s="96">
        <v>1133.3</v>
      </c>
      <c r="D43" s="89">
        <f t="shared" si="0"/>
        <v>-6.8220188776552081E-3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22821.689999999995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1141.0844999999997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72">
        <f>C46</f>
        <v>1141.0844999999997</v>
      </c>
      <c r="C49" s="93">
        <f>-IF(C46&lt;=80,10%,IF(C46&lt;250,7.5%,5%))</f>
        <v>-0.05</v>
      </c>
      <c r="D49" s="81">
        <f>IF(C46&lt;=80,C46*0.9,IF(C46&lt;250,C46*0.925,C46*0.95))</f>
        <v>1084.0302749999996</v>
      </c>
    </row>
    <row r="50" spans="1:6" ht="17.25" customHeight="1" x14ac:dyDescent="0.3">
      <c r="B50" s="673"/>
      <c r="C50" s="94">
        <f>IF(C46&lt;=80, 10%, IF(C46&lt;250, 7.5%, 5%))</f>
        <v>0.05</v>
      </c>
      <c r="D50" s="81">
        <f>IF(C46&lt;=80, C46*1.1, IF(C46&lt;250, C46*1.075, C46*1.05))</f>
        <v>1198.1387249999998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10" zoomScaleNormal="40" zoomScaleSheetLayoutView="10" zoomScalePageLayoutView="70" workbookViewId="0">
      <selection activeCell="D97" sqref="D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0" t="s">
        <v>45</v>
      </c>
      <c r="B1" s="680"/>
      <c r="C1" s="680"/>
      <c r="D1" s="680"/>
      <c r="E1" s="680"/>
      <c r="F1" s="680"/>
      <c r="G1" s="680"/>
      <c r="H1" s="680"/>
      <c r="I1" s="680"/>
    </row>
    <row r="2" spans="1:9" ht="18.7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</row>
    <row r="3" spans="1:9" ht="18.75" customHeight="1" x14ac:dyDescent="0.25">
      <c r="A3" s="680"/>
      <c r="B3" s="680"/>
      <c r="C3" s="680"/>
      <c r="D3" s="680"/>
      <c r="E3" s="680"/>
      <c r="F3" s="680"/>
      <c r="G3" s="680"/>
      <c r="H3" s="680"/>
      <c r="I3" s="680"/>
    </row>
    <row r="4" spans="1:9" ht="18.75" customHeight="1" x14ac:dyDescent="0.25">
      <c r="A4" s="680"/>
      <c r="B4" s="680"/>
      <c r="C4" s="680"/>
      <c r="D4" s="680"/>
      <c r="E4" s="680"/>
      <c r="F4" s="680"/>
      <c r="G4" s="680"/>
      <c r="H4" s="680"/>
      <c r="I4" s="680"/>
    </row>
    <row r="5" spans="1:9" ht="18.75" customHeight="1" x14ac:dyDescent="0.25">
      <c r="A5" s="680"/>
      <c r="B5" s="680"/>
      <c r="C5" s="680"/>
      <c r="D5" s="680"/>
      <c r="E5" s="680"/>
      <c r="F5" s="680"/>
      <c r="G5" s="680"/>
      <c r="H5" s="680"/>
      <c r="I5" s="680"/>
    </row>
    <row r="6" spans="1:9" ht="18.75" customHeight="1" x14ac:dyDescent="0.25">
      <c r="A6" s="680"/>
      <c r="B6" s="680"/>
      <c r="C6" s="680"/>
      <c r="D6" s="680"/>
      <c r="E6" s="680"/>
      <c r="F6" s="680"/>
      <c r="G6" s="680"/>
      <c r="H6" s="680"/>
      <c r="I6" s="680"/>
    </row>
    <row r="7" spans="1:9" ht="18.75" customHeight="1" x14ac:dyDescent="0.25">
      <c r="A7" s="680"/>
      <c r="B7" s="680"/>
      <c r="C7" s="680"/>
      <c r="D7" s="680"/>
      <c r="E7" s="680"/>
      <c r="F7" s="680"/>
      <c r="G7" s="680"/>
      <c r="H7" s="680"/>
      <c r="I7" s="680"/>
    </row>
    <row r="8" spans="1:9" x14ac:dyDescent="0.25">
      <c r="A8" s="681" t="s">
        <v>46</v>
      </c>
      <c r="B8" s="681"/>
      <c r="C8" s="681"/>
      <c r="D8" s="681"/>
      <c r="E8" s="681"/>
      <c r="F8" s="681"/>
      <c r="G8" s="681"/>
      <c r="H8" s="681"/>
      <c r="I8" s="681"/>
    </row>
    <row r="9" spans="1:9" x14ac:dyDescent="0.25">
      <c r="A9" s="681"/>
      <c r="B9" s="681"/>
      <c r="C9" s="681"/>
      <c r="D9" s="681"/>
      <c r="E9" s="681"/>
      <c r="F9" s="681"/>
      <c r="G9" s="681"/>
      <c r="H9" s="681"/>
      <c r="I9" s="681"/>
    </row>
    <row r="10" spans="1:9" x14ac:dyDescent="0.25">
      <c r="A10" s="681"/>
      <c r="B10" s="681"/>
      <c r="C10" s="681"/>
      <c r="D10" s="681"/>
      <c r="E10" s="681"/>
      <c r="F10" s="681"/>
      <c r="G10" s="681"/>
      <c r="H10" s="681"/>
      <c r="I10" s="681"/>
    </row>
    <row r="11" spans="1:9" x14ac:dyDescent="0.25">
      <c r="A11" s="681"/>
      <c r="B11" s="681"/>
      <c r="C11" s="681"/>
      <c r="D11" s="681"/>
      <c r="E11" s="681"/>
      <c r="F11" s="681"/>
      <c r="G11" s="681"/>
      <c r="H11" s="681"/>
      <c r="I11" s="681"/>
    </row>
    <row r="12" spans="1:9" x14ac:dyDescent="0.25">
      <c r="A12" s="681"/>
      <c r="B12" s="681"/>
      <c r="C12" s="681"/>
      <c r="D12" s="681"/>
      <c r="E12" s="681"/>
      <c r="F12" s="681"/>
      <c r="G12" s="681"/>
      <c r="H12" s="681"/>
      <c r="I12" s="681"/>
    </row>
    <row r="13" spans="1:9" x14ac:dyDescent="0.25">
      <c r="A13" s="681"/>
      <c r="B13" s="681"/>
      <c r="C13" s="681"/>
      <c r="D13" s="681"/>
      <c r="E13" s="681"/>
      <c r="F13" s="681"/>
      <c r="G13" s="681"/>
      <c r="H13" s="681"/>
      <c r="I13" s="681"/>
    </row>
    <row r="14" spans="1:9" x14ac:dyDescent="0.25">
      <c r="A14" s="681"/>
      <c r="B14" s="681"/>
      <c r="C14" s="681"/>
      <c r="D14" s="681"/>
      <c r="E14" s="681"/>
      <c r="F14" s="681"/>
      <c r="G14" s="681"/>
      <c r="H14" s="681"/>
      <c r="I14" s="681"/>
    </row>
    <row r="15" spans="1:9" ht="19.5" customHeight="1" x14ac:dyDescent="0.3">
      <c r="A15" s="98"/>
    </row>
    <row r="16" spans="1:9" ht="19.5" customHeight="1" x14ac:dyDescent="0.3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25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4">
      <c r="A18" s="100" t="s">
        <v>33</v>
      </c>
      <c r="B18" s="712" t="s">
        <v>5</v>
      </c>
      <c r="C18" s="712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17" t="s">
        <v>139</v>
      </c>
      <c r="C20" s="71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12" t="s">
        <v>133</v>
      </c>
      <c r="C26" s="712"/>
    </row>
    <row r="27" spans="1:14" ht="26.25" customHeight="1" x14ac:dyDescent="0.4">
      <c r="A27" s="109" t="s">
        <v>48</v>
      </c>
      <c r="B27" s="718" t="s">
        <v>134</v>
      </c>
      <c r="C27" s="718"/>
    </row>
    <row r="28" spans="1:14" ht="27" customHeight="1" x14ac:dyDescent="0.4">
      <c r="A28" s="109" t="s">
        <v>6</v>
      </c>
      <c r="B28" s="110">
        <v>98.5</v>
      </c>
    </row>
    <row r="29" spans="1:14" s="14" customFormat="1" ht="27" customHeight="1" x14ac:dyDescent="0.4">
      <c r="A29" s="109" t="s">
        <v>49</v>
      </c>
      <c r="B29" s="111">
        <v>0</v>
      </c>
      <c r="C29" s="688" t="s">
        <v>50</v>
      </c>
      <c r="D29" s="689"/>
      <c r="E29" s="689"/>
      <c r="F29" s="689"/>
      <c r="G29" s="69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91" t="s">
        <v>53</v>
      </c>
      <c r="D31" s="692"/>
      <c r="E31" s="692"/>
      <c r="F31" s="692"/>
      <c r="G31" s="692"/>
      <c r="H31" s="69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91" t="s">
        <v>55</v>
      </c>
      <c r="D32" s="692"/>
      <c r="E32" s="692"/>
      <c r="F32" s="692"/>
      <c r="G32" s="692"/>
      <c r="H32" s="69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94" t="s">
        <v>59</v>
      </c>
      <c r="E36" s="719"/>
      <c r="F36" s="694" t="s">
        <v>60</v>
      </c>
      <c r="G36" s="69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65159594</v>
      </c>
      <c r="E38" s="133">
        <f>IF(ISBLANK(D38),"-",$D$48/$D$45*D38)</f>
        <v>51405048.727512985</v>
      </c>
      <c r="F38" s="132">
        <v>55555664</v>
      </c>
      <c r="G38" s="134">
        <f>IF(ISBLANK(F38),"-",$D$48/$F$45*F38)</f>
        <v>49802816.194350123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64810642</v>
      </c>
      <c r="E39" s="138">
        <f>IF(ISBLANK(D39),"-",$D$48/$D$45*D39)</f>
        <v>51129757.040404513</v>
      </c>
      <c r="F39" s="137">
        <v>55513470</v>
      </c>
      <c r="G39" s="139">
        <f>IF(ISBLANK(F39),"-",$D$48/$F$45*F39)</f>
        <v>49764991.427706987</v>
      </c>
      <c r="I39" s="696">
        <f>ABS((F43/D43*D42)-F42)/D42</f>
        <v>2.691236194098081E-2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65189411</v>
      </c>
      <c r="E40" s="138">
        <f>IF(ISBLANK(D40),"-",$D$48/$D$45*D40)</f>
        <v>51428571.653974257</v>
      </c>
      <c r="F40" s="137">
        <v>55426731</v>
      </c>
      <c r="G40" s="139">
        <f>IF(ISBLANK(F40),"-",$D$48/$F$45*F40)</f>
        <v>49687234.342958942</v>
      </c>
      <c r="I40" s="69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65053215.666666664</v>
      </c>
      <c r="E42" s="148">
        <f>AVERAGE(E38:E41)</f>
        <v>51321125.807297252</v>
      </c>
      <c r="F42" s="147">
        <f>AVERAGE(F38:F41)</f>
        <v>55498621.666666664</v>
      </c>
      <c r="G42" s="149">
        <f>AVERAGE(G38:G41)</f>
        <v>49751680.655005358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20.59</v>
      </c>
      <c r="E43" s="140"/>
      <c r="F43" s="152">
        <v>18.12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20.59</v>
      </c>
      <c r="E44" s="155"/>
      <c r="F44" s="154">
        <f>F43*$B$34</f>
        <v>18.12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20.28115</v>
      </c>
      <c r="E45" s="158"/>
      <c r="F45" s="157">
        <f>F44*$B$30/100</f>
        <v>17.848200000000002</v>
      </c>
      <c r="H45" s="150"/>
    </row>
    <row r="46" spans="1:14" ht="19.5" customHeight="1" x14ac:dyDescent="0.3">
      <c r="A46" s="682" t="s">
        <v>78</v>
      </c>
      <c r="B46" s="683"/>
      <c r="C46" s="153" t="s">
        <v>79</v>
      </c>
      <c r="D46" s="159">
        <f>D45/$B$45</f>
        <v>0.20281150000000001</v>
      </c>
      <c r="E46" s="160"/>
      <c r="F46" s="161">
        <f>F45/$B$45</f>
        <v>0.17848200000000003</v>
      </c>
      <c r="H46" s="150"/>
    </row>
    <row r="47" spans="1:14" ht="27" customHeight="1" x14ac:dyDescent="0.4">
      <c r="A47" s="684"/>
      <c r="B47" s="685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50536403.231151305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1.715240538894227E-2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RIFAMPICIN 150mg, ISONIAZID 75mg, PYRAZINAMIDE 400mg &amp; ETHAMBUTOL HCl 275mg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47">
        <f>Uniformity!C46</f>
        <v>1141.0844999999997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99" t="s">
        <v>94</v>
      </c>
      <c r="D60" s="702">
        <v>1101.26</v>
      </c>
      <c r="E60" s="182">
        <v>1</v>
      </c>
      <c r="F60" s="183">
        <v>49287221</v>
      </c>
      <c r="G60" s="248">
        <f>IF(ISBLANK(F60),"-",(F60/$D$50*$D$47*$B$68)*($B$57/$D$60))</f>
        <v>161.68805108425835</v>
      </c>
      <c r="H60" s="266">
        <f t="shared" ref="H60:H71" si="0">IF(ISBLANK(F60),"-",(G60/$B$56)*100)</f>
        <v>107.79203405617224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700"/>
      <c r="D61" s="703"/>
      <c r="E61" s="184">
        <v>2</v>
      </c>
      <c r="F61" s="137">
        <v>48473287</v>
      </c>
      <c r="G61" s="249">
        <f>IF(ISBLANK(F61),"-",(F61/$D$50*$D$47*$B$68)*($B$57/$D$60))</f>
        <v>159.01791875581537</v>
      </c>
      <c r="H61" s="267">
        <f t="shared" si="0"/>
        <v>106.01194583721025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700"/>
      <c r="D62" s="703"/>
      <c r="E62" s="184">
        <v>3</v>
      </c>
      <c r="F62" s="185">
        <v>49370298</v>
      </c>
      <c r="G62" s="249">
        <f>IF(ISBLANK(F62),"-",(F62/$D$50*$D$47*$B$68)*($B$57/$D$60))</f>
        <v>161.96058741208108</v>
      </c>
      <c r="H62" s="267">
        <f t="shared" si="0"/>
        <v>107.97372494138739</v>
      </c>
      <c r="L62" s="112"/>
    </row>
    <row r="63" spans="1:12" ht="27" customHeight="1" x14ac:dyDescent="0.4">
      <c r="A63" s="124" t="s">
        <v>97</v>
      </c>
      <c r="B63" s="125">
        <v>1</v>
      </c>
      <c r="C63" s="709"/>
      <c r="D63" s="70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9" t="s">
        <v>99</v>
      </c>
      <c r="D64" s="702">
        <v>1139.8599999999999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700"/>
      <c r="D65" s="703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700"/>
      <c r="D66" s="703"/>
      <c r="E66" s="184">
        <v>3</v>
      </c>
      <c r="F66" s="137"/>
      <c r="G66" s="249" t="str">
        <f>IF(ISBLANK(F66),"-",(F66/$D$50*$D$47*$B$68)*($B$57/$D$64))</f>
        <v>-</v>
      </c>
      <c r="H66" s="267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709"/>
      <c r="D67" s="70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thickBot="1" x14ac:dyDescent="0.45">
      <c r="A68" s="124" t="s">
        <v>103</v>
      </c>
      <c r="B68" s="188">
        <f>(B67/B66)*(B65/B64)*(B63/B62)*(B61/B60)*B59</f>
        <v>1000</v>
      </c>
      <c r="C68" s="699" t="s">
        <v>104</v>
      </c>
      <c r="D68" s="702">
        <v>1137.67</v>
      </c>
      <c r="E68" s="182">
        <v>1</v>
      </c>
      <c r="F68" s="183">
        <v>52058765</v>
      </c>
      <c r="G68" s="248">
        <f>IF(ISBLANK(F68),"-",(F68/$D$50*$D$47*$B$68)*($B$57/$D$68))</f>
        <v>165.31452541168795</v>
      </c>
      <c r="H68" s="267">
        <f t="shared" si="0"/>
        <v>110.20968360779197</v>
      </c>
    </row>
    <row r="69" spans="1:8" ht="27" customHeight="1" thickBot="1" x14ac:dyDescent="0.45">
      <c r="A69" s="172" t="s">
        <v>105</v>
      </c>
      <c r="B69" s="189">
        <f>(D47*B68)/B56*B57</f>
        <v>1217.1567999999997</v>
      </c>
      <c r="C69" s="700"/>
      <c r="D69" s="703"/>
      <c r="E69" s="184">
        <v>2</v>
      </c>
      <c r="F69" s="559">
        <v>52482565</v>
      </c>
      <c r="G69" s="249">
        <f>IF(ISBLANK(F69),"-",(F69/$D$50*$D$47*$B$68)*($B$57/$D$68))</f>
        <v>166.660317918857</v>
      </c>
      <c r="H69" s="267">
        <f t="shared" si="0"/>
        <v>111.10687861257134</v>
      </c>
    </row>
    <row r="70" spans="1:8" ht="26.25" customHeight="1" x14ac:dyDescent="0.4">
      <c r="A70" s="705" t="s">
        <v>78</v>
      </c>
      <c r="B70" s="706"/>
      <c r="C70" s="700"/>
      <c r="D70" s="703"/>
      <c r="E70" s="184">
        <v>3</v>
      </c>
      <c r="F70" s="559">
        <v>52492604</v>
      </c>
      <c r="G70" s="249">
        <f>IF(ISBLANK(F70),"-",(F70/$D$50*$D$47*$B$68)*($B$57/$D$68))</f>
        <v>166.69219713306055</v>
      </c>
      <c r="H70" s="267">
        <f t="shared" si="0"/>
        <v>111.12813142204037</v>
      </c>
    </row>
    <row r="71" spans="1:8" ht="27" customHeight="1" thickBot="1" x14ac:dyDescent="0.45">
      <c r="A71" s="707"/>
      <c r="B71" s="708"/>
      <c r="C71" s="701"/>
      <c r="D71" s="70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163.55559961929336</v>
      </c>
      <c r="H72" s="269">
        <f>AVERAGE(H60:H71)</f>
        <v>109.03706641286227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1.9178042407355857E-2</v>
      </c>
      <c r="H73" s="253">
        <f>STDEV(H60:H71)/H72</f>
        <v>1.9178042407355853E-2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686" t="str">
        <f>B26</f>
        <v>Rifampicin</v>
      </c>
      <c r="D76" s="686"/>
      <c r="E76" s="198" t="s">
        <v>108</v>
      </c>
      <c r="F76" s="198"/>
      <c r="G76" s="285">
        <f>H72</f>
        <v>109.03706641286227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20" t="str">
        <f>B26</f>
        <v>Rifampicin</v>
      </c>
      <c r="C79" s="720"/>
    </row>
    <row r="80" spans="1:8" ht="26.25" customHeight="1" x14ac:dyDescent="0.4">
      <c r="A80" s="109" t="s">
        <v>48</v>
      </c>
      <c r="B80" s="720" t="str">
        <f>B27</f>
        <v>R4-1</v>
      </c>
      <c r="C80" s="720"/>
    </row>
    <row r="81" spans="1:12" ht="27" customHeight="1" x14ac:dyDescent="0.4">
      <c r="A81" s="109" t="s">
        <v>6</v>
      </c>
      <c r="B81" s="201">
        <f>B28</f>
        <v>98.5</v>
      </c>
    </row>
    <row r="82" spans="1:12" s="14" customFormat="1" ht="27" customHeight="1" x14ac:dyDescent="0.4">
      <c r="A82" s="109" t="s">
        <v>49</v>
      </c>
      <c r="B82" s="111">
        <v>0</v>
      </c>
      <c r="C82" s="688" t="s">
        <v>50</v>
      </c>
      <c r="D82" s="689"/>
      <c r="E82" s="689"/>
      <c r="F82" s="689"/>
      <c r="G82" s="69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91" t="s">
        <v>111</v>
      </c>
      <c r="D84" s="692"/>
      <c r="E84" s="692"/>
      <c r="F84" s="692"/>
      <c r="G84" s="692"/>
      <c r="H84" s="69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91" t="s">
        <v>112</v>
      </c>
      <c r="D85" s="692"/>
      <c r="E85" s="692"/>
      <c r="F85" s="692"/>
      <c r="G85" s="692"/>
      <c r="H85" s="69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2" t="s">
        <v>59</v>
      </c>
      <c r="E89" s="203"/>
      <c r="F89" s="694" t="s">
        <v>60</v>
      </c>
      <c r="G89" s="695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65159594</v>
      </c>
      <c r="E91" s="133">
        <f>IF(ISBLANK(D91),"-",$D$101/$D$98*D91)</f>
        <v>53546925.757826015</v>
      </c>
      <c r="F91" s="132">
        <v>55555664</v>
      </c>
      <c r="G91" s="134">
        <f>IF(ISBLANK(F91),"-",$D$101/$F$98*F91)</f>
        <v>51877933.535781376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64810642</v>
      </c>
      <c r="E92" s="138">
        <f>IF(ISBLANK(D92),"-",$D$101/$D$98*D92)</f>
        <v>53260163.583754696</v>
      </c>
      <c r="F92" s="137">
        <v>55513470</v>
      </c>
      <c r="G92" s="139">
        <f>IF(ISBLANK(F92),"-",$D$101/$F$98*F92)</f>
        <v>51838532.737194777</v>
      </c>
      <c r="I92" s="696">
        <f>ABS((F96/D96*D95)-F95)/D95</f>
        <v>2.691236194098081E-2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65189411</v>
      </c>
      <c r="E93" s="138">
        <f>IF(ISBLANK(D93),"-",$D$101/$D$98*D93)</f>
        <v>53571428.806223176</v>
      </c>
      <c r="F93" s="137">
        <v>55426731</v>
      </c>
      <c r="G93" s="139">
        <f>IF(ISBLANK(F93),"-",$D$101/$F$98*F93)</f>
        <v>51757535.773915567</v>
      </c>
      <c r="I93" s="69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65053215.666666664</v>
      </c>
      <c r="E95" s="148">
        <f>AVERAGE(E91:E94)</f>
        <v>53459506.04926797</v>
      </c>
      <c r="F95" s="211">
        <f>AVERAGE(F91:F94)</f>
        <v>55498621.666666664</v>
      </c>
      <c r="G95" s="212">
        <f>AVERAGE(G91:G94)</f>
        <v>51824667.348963909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20.59</v>
      </c>
      <c r="E96" s="140"/>
      <c r="F96" s="669">
        <v>18.12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20.59</v>
      </c>
      <c r="E97" s="155"/>
      <c r="F97" s="154">
        <f>F96*$B$87</f>
        <v>18.12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20.28115</v>
      </c>
      <c r="E98" s="158"/>
      <c r="F98" s="157">
        <f>F97*$B$83/100</f>
        <v>17.848200000000002</v>
      </c>
    </row>
    <row r="99" spans="1:10" ht="19.5" customHeight="1" x14ac:dyDescent="0.3">
      <c r="A99" s="682" t="s">
        <v>78</v>
      </c>
      <c r="B99" s="697"/>
      <c r="C99" s="215" t="s">
        <v>116</v>
      </c>
      <c r="D99" s="219">
        <f>D98/$B$98</f>
        <v>0.20281150000000001</v>
      </c>
      <c r="E99" s="158"/>
      <c r="F99" s="161">
        <f>F98/$B$98</f>
        <v>0.17848200000000003</v>
      </c>
      <c r="G99" s="220"/>
      <c r="H99" s="150"/>
    </row>
    <row r="100" spans="1:10" ht="19.5" customHeight="1" x14ac:dyDescent="0.3">
      <c r="A100" s="684"/>
      <c r="B100" s="698"/>
      <c r="C100" s="215" t="s">
        <v>80</v>
      </c>
      <c r="D100" s="221">
        <f>$B$56/$B$116</f>
        <v>0.16666666666666666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52642086.699115939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1.7152405388942187E-2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49710163</v>
      </c>
      <c r="E108" s="250">
        <f t="shared" ref="E108:E113" si="1">IF(ISBLANK(D108),"-",D108/$D$103*$D$100*$B$116)</f>
        <v>141.64568537373773</v>
      </c>
      <c r="F108" s="277">
        <f t="shared" ref="F108:F113" si="2">IF(ISBLANK(D108), "-", (E108/$B$56)*100)</f>
        <v>94.430456915825161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46643657</v>
      </c>
      <c r="E109" s="251">
        <f t="shared" si="1"/>
        <v>132.90788775129423</v>
      </c>
      <c r="F109" s="278">
        <f t="shared" si="2"/>
        <v>88.605258500862817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46086979</v>
      </c>
      <c r="E110" s="251">
        <f t="shared" si="1"/>
        <v>131.32167213493261</v>
      </c>
      <c r="F110" s="278">
        <f t="shared" si="2"/>
        <v>87.547781423288413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50497983</v>
      </c>
      <c r="E111" s="251">
        <f t="shared" si="1"/>
        <v>143.89052419776527</v>
      </c>
      <c r="F111" s="278">
        <f t="shared" si="2"/>
        <v>95.927016131843516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54296334</v>
      </c>
      <c r="E112" s="251">
        <f t="shared" si="1"/>
        <v>154.71366373736046</v>
      </c>
      <c r="F112" s="278">
        <f t="shared" si="2"/>
        <v>103.14244249157365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50784321</v>
      </c>
      <c r="E113" s="252">
        <f t="shared" si="1"/>
        <v>144.70642460546551</v>
      </c>
      <c r="F113" s="279">
        <f t="shared" si="2"/>
        <v>96.470949736977005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141.53097630009265</v>
      </c>
      <c r="F115" s="281">
        <f>AVERAGE(F108:F113)</f>
        <v>94.35398420006176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6.0618891805975093E-2</v>
      </c>
      <c r="F116" s="235">
        <f>STDEV(F108:F113)/F115</f>
        <v>6.0618891805975093E-2</v>
      </c>
      <c r="I116" s="98"/>
    </row>
    <row r="117" spans="1:10" ht="27" customHeight="1" x14ac:dyDescent="0.4">
      <c r="A117" s="682" t="s">
        <v>78</v>
      </c>
      <c r="B117" s="683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84"/>
      <c r="B118" s="685"/>
      <c r="C118" s="98"/>
      <c r="D118" s="260"/>
      <c r="E118" s="710" t="s">
        <v>123</v>
      </c>
      <c r="F118" s="711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131.32167213493261</v>
      </c>
      <c r="F119" s="282">
        <f>MIN(F108:F113)</f>
        <v>87.547781423288413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154.71366373736046</v>
      </c>
      <c r="F120" s="283">
        <f>MAX(F108:F113)</f>
        <v>103.14244249157365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686" t="str">
        <f>B26</f>
        <v>Rifampicin</v>
      </c>
      <c r="D124" s="686"/>
      <c r="E124" s="198" t="s">
        <v>127</v>
      </c>
      <c r="F124" s="198"/>
      <c r="G124" s="284">
        <f>F115</f>
        <v>94.35398420006176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87.547781423288413</v>
      </c>
      <c r="E125" s="209" t="s">
        <v>130</v>
      </c>
      <c r="F125" s="284">
        <f>MAX(F108:F113)</f>
        <v>103.14244249157365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87" t="s">
        <v>26</v>
      </c>
      <c r="C127" s="687"/>
      <c r="E127" s="204" t="s">
        <v>27</v>
      </c>
      <c r="F127" s="239"/>
      <c r="G127" s="687" t="s">
        <v>28</v>
      </c>
      <c r="H127" s="687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6" zoomScale="46" zoomScaleNormal="40" zoomScalePageLayoutView="46" workbookViewId="0">
      <selection activeCell="K73" sqref="K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0" t="s">
        <v>45</v>
      </c>
      <c r="B1" s="680"/>
      <c r="C1" s="680"/>
      <c r="D1" s="680"/>
      <c r="E1" s="680"/>
      <c r="F1" s="680"/>
      <c r="G1" s="680"/>
      <c r="H1" s="680"/>
      <c r="I1" s="680"/>
    </row>
    <row r="2" spans="1:9" ht="18.7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</row>
    <row r="3" spans="1:9" ht="18.75" customHeight="1" x14ac:dyDescent="0.25">
      <c r="A3" s="680"/>
      <c r="B3" s="680"/>
      <c r="C3" s="680"/>
      <c r="D3" s="680"/>
      <c r="E3" s="680"/>
      <c r="F3" s="680"/>
      <c r="G3" s="680"/>
      <c r="H3" s="680"/>
      <c r="I3" s="680"/>
    </row>
    <row r="4" spans="1:9" ht="18.75" customHeight="1" x14ac:dyDescent="0.25">
      <c r="A4" s="680"/>
      <c r="B4" s="680"/>
      <c r="C4" s="680"/>
      <c r="D4" s="680"/>
      <c r="E4" s="680"/>
      <c r="F4" s="680"/>
      <c r="G4" s="680"/>
      <c r="H4" s="680"/>
      <c r="I4" s="680"/>
    </row>
    <row r="5" spans="1:9" ht="18.75" customHeight="1" x14ac:dyDescent="0.25">
      <c r="A5" s="680"/>
      <c r="B5" s="680"/>
      <c r="C5" s="680"/>
      <c r="D5" s="680"/>
      <c r="E5" s="680"/>
      <c r="F5" s="680"/>
      <c r="G5" s="680"/>
      <c r="H5" s="680"/>
      <c r="I5" s="680"/>
    </row>
    <row r="6" spans="1:9" ht="18.75" customHeight="1" x14ac:dyDescent="0.25">
      <c r="A6" s="680"/>
      <c r="B6" s="680"/>
      <c r="C6" s="680"/>
      <c r="D6" s="680"/>
      <c r="E6" s="680"/>
      <c r="F6" s="680"/>
      <c r="G6" s="680"/>
      <c r="H6" s="680"/>
      <c r="I6" s="680"/>
    </row>
    <row r="7" spans="1:9" ht="18.75" customHeight="1" x14ac:dyDescent="0.25">
      <c r="A7" s="680"/>
      <c r="B7" s="680"/>
      <c r="C7" s="680"/>
      <c r="D7" s="680"/>
      <c r="E7" s="680"/>
      <c r="F7" s="680"/>
      <c r="G7" s="680"/>
      <c r="H7" s="680"/>
      <c r="I7" s="680"/>
    </row>
    <row r="8" spans="1:9" x14ac:dyDescent="0.25">
      <c r="A8" s="681" t="s">
        <v>46</v>
      </c>
      <c r="B8" s="681"/>
      <c r="C8" s="681"/>
      <c r="D8" s="681"/>
      <c r="E8" s="681"/>
      <c r="F8" s="681"/>
      <c r="G8" s="681"/>
      <c r="H8" s="681"/>
      <c r="I8" s="681"/>
    </row>
    <row r="9" spans="1:9" x14ac:dyDescent="0.25">
      <c r="A9" s="681"/>
      <c r="B9" s="681"/>
      <c r="C9" s="681"/>
      <c r="D9" s="681"/>
      <c r="E9" s="681"/>
      <c r="F9" s="681"/>
      <c r="G9" s="681"/>
      <c r="H9" s="681"/>
      <c r="I9" s="681"/>
    </row>
    <row r="10" spans="1:9" x14ac:dyDescent="0.25">
      <c r="A10" s="681"/>
      <c r="B10" s="681"/>
      <c r="C10" s="681"/>
      <c r="D10" s="681"/>
      <c r="E10" s="681"/>
      <c r="F10" s="681"/>
      <c r="G10" s="681"/>
      <c r="H10" s="681"/>
      <c r="I10" s="681"/>
    </row>
    <row r="11" spans="1:9" x14ac:dyDescent="0.25">
      <c r="A11" s="681"/>
      <c r="B11" s="681"/>
      <c r="C11" s="681"/>
      <c r="D11" s="681"/>
      <c r="E11" s="681"/>
      <c r="F11" s="681"/>
      <c r="G11" s="681"/>
      <c r="H11" s="681"/>
      <c r="I11" s="681"/>
    </row>
    <row r="12" spans="1:9" x14ac:dyDescent="0.25">
      <c r="A12" s="681"/>
      <c r="B12" s="681"/>
      <c r="C12" s="681"/>
      <c r="D12" s="681"/>
      <c r="E12" s="681"/>
      <c r="F12" s="681"/>
      <c r="G12" s="681"/>
      <c r="H12" s="681"/>
      <c r="I12" s="681"/>
    </row>
    <row r="13" spans="1:9" x14ac:dyDescent="0.25">
      <c r="A13" s="681"/>
      <c r="B13" s="681"/>
      <c r="C13" s="681"/>
      <c r="D13" s="681"/>
      <c r="E13" s="681"/>
      <c r="F13" s="681"/>
      <c r="G13" s="681"/>
      <c r="H13" s="681"/>
      <c r="I13" s="681"/>
    </row>
    <row r="14" spans="1:9" x14ac:dyDescent="0.25">
      <c r="A14" s="681"/>
      <c r="B14" s="681"/>
      <c r="C14" s="681"/>
      <c r="D14" s="681"/>
      <c r="E14" s="681"/>
      <c r="F14" s="681"/>
      <c r="G14" s="681"/>
      <c r="H14" s="681"/>
      <c r="I14" s="681"/>
    </row>
    <row r="15" spans="1:9" ht="19.5" customHeight="1" x14ac:dyDescent="0.3">
      <c r="A15" s="286"/>
    </row>
    <row r="16" spans="1:9" ht="19.5" customHeight="1" x14ac:dyDescent="0.3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25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4">
      <c r="A18" s="288" t="s">
        <v>33</v>
      </c>
      <c r="B18" s="712" t="s">
        <v>5</v>
      </c>
      <c r="C18" s="712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717" t="s">
        <v>140</v>
      </c>
      <c r="C20" s="717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12" t="s">
        <v>131</v>
      </c>
      <c r="C26" s="712"/>
    </row>
    <row r="27" spans="1:14" ht="26.25" customHeight="1" x14ac:dyDescent="0.4">
      <c r="A27" s="297" t="s">
        <v>48</v>
      </c>
      <c r="B27" s="718" t="s">
        <v>132</v>
      </c>
      <c r="C27" s="718"/>
    </row>
    <row r="28" spans="1:14" ht="27" customHeight="1" x14ac:dyDescent="0.4">
      <c r="A28" s="297" t="s">
        <v>6</v>
      </c>
      <c r="B28" s="298">
        <v>100.33</v>
      </c>
    </row>
    <row r="29" spans="1:14" s="14" customFormat="1" ht="27" customHeight="1" x14ac:dyDescent="0.4">
      <c r="A29" s="297" t="s">
        <v>49</v>
      </c>
      <c r="B29" s="299">
        <v>0</v>
      </c>
      <c r="C29" s="688" t="s">
        <v>50</v>
      </c>
      <c r="D29" s="689"/>
      <c r="E29" s="689"/>
      <c r="F29" s="689"/>
      <c r="G29" s="690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100.33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91" t="s">
        <v>53</v>
      </c>
      <c r="D31" s="692"/>
      <c r="E31" s="692"/>
      <c r="F31" s="692"/>
      <c r="G31" s="692"/>
      <c r="H31" s="693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91" t="s">
        <v>55</v>
      </c>
      <c r="D32" s="692"/>
      <c r="E32" s="692"/>
      <c r="F32" s="692"/>
      <c r="G32" s="692"/>
      <c r="H32" s="693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694" t="s">
        <v>59</v>
      </c>
      <c r="E36" s="719"/>
      <c r="F36" s="694" t="s">
        <v>60</v>
      </c>
      <c r="G36" s="695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5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50</v>
      </c>
      <c r="C38" s="319">
        <v>1</v>
      </c>
      <c r="D38" s="320">
        <v>17641828</v>
      </c>
      <c r="E38" s="321">
        <f>IF(ISBLANK(D38),"-",$D$48/$D$45*D38)</f>
        <v>19081716.174929842</v>
      </c>
      <c r="F38" s="320">
        <v>21027536</v>
      </c>
      <c r="G38" s="322">
        <f>IF(ISBLANK(F38),"-",$D$48/$F$45*F38)</f>
        <v>19219049.397419512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17555063</v>
      </c>
      <c r="E39" s="326">
        <f>IF(ISBLANK(D39),"-",$D$48/$D$45*D39)</f>
        <v>18987869.601665564</v>
      </c>
      <c r="F39" s="325">
        <v>21052120</v>
      </c>
      <c r="G39" s="327">
        <f>IF(ISBLANK(F39),"-",$D$48/$F$45*F39)</f>
        <v>19241519.034869481</v>
      </c>
      <c r="I39" s="696">
        <f>ABS((F43/D43*D42)-F42)/D42</f>
        <v>1.2325777600475591E-2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17652023</v>
      </c>
      <c r="E40" s="326">
        <f>IF(ISBLANK(D40),"-",$D$48/$D$45*D40)</f>
        <v>19092743.268970404</v>
      </c>
      <c r="F40" s="325">
        <v>21112975</v>
      </c>
      <c r="G40" s="327">
        <f>IF(ISBLANK(F40),"-",$D$48/$F$45*F40)</f>
        <v>19297140.161904048</v>
      </c>
      <c r="I40" s="696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17616304.666666668</v>
      </c>
      <c r="E42" s="336">
        <f>AVERAGE(E38:E41)</f>
        <v>19054109.681855273</v>
      </c>
      <c r="F42" s="335">
        <f>AVERAGE(F38:F41)</f>
        <v>21064210.333333332</v>
      </c>
      <c r="G42" s="337">
        <f>AVERAGE(G38:G41)</f>
        <v>19252569.531397682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18.43</v>
      </c>
      <c r="E43" s="328"/>
      <c r="F43" s="340">
        <v>21.81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18.43</v>
      </c>
      <c r="E44" s="343"/>
      <c r="F44" s="342">
        <f>F43*$B$34</f>
        <v>21.81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250</v>
      </c>
      <c r="C45" s="341" t="s">
        <v>77</v>
      </c>
      <c r="D45" s="345">
        <f>D44*$B$30/100</f>
        <v>18.490818999999998</v>
      </c>
      <c r="E45" s="346"/>
      <c r="F45" s="345">
        <f>F44*$B$30/100</f>
        <v>21.881972999999999</v>
      </c>
      <c r="H45" s="338"/>
    </row>
    <row r="46" spans="1:14" ht="19.5" customHeight="1" x14ac:dyDescent="0.3">
      <c r="A46" s="682" t="s">
        <v>78</v>
      </c>
      <c r="B46" s="683"/>
      <c r="C46" s="341" t="s">
        <v>79</v>
      </c>
      <c r="D46" s="347">
        <f>D45/$B$45</f>
        <v>7.3963275999999994E-2</v>
      </c>
      <c r="E46" s="348"/>
      <c r="F46" s="349">
        <f>F45/$B$45</f>
        <v>8.7527891999999996E-2</v>
      </c>
      <c r="H46" s="338"/>
    </row>
    <row r="47" spans="1:14" ht="27" customHeight="1" x14ac:dyDescent="0.4">
      <c r="A47" s="684"/>
      <c r="B47" s="685"/>
      <c r="C47" s="350" t="s">
        <v>80</v>
      </c>
      <c r="D47" s="351">
        <v>0.08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19153339.606626477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6.1312732236908528E-3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RIFAMPICIN 150mg, ISONIAZID 75mg, PYRAZINAMIDE 400mg &amp; ETHAMBUTOL HCl 275mg</v>
      </c>
    </row>
    <row r="56" spans="1:12" ht="26.25" customHeight="1" x14ac:dyDescent="0.4">
      <c r="A56" s="365" t="s">
        <v>87</v>
      </c>
      <c r="B56" s="366">
        <v>75</v>
      </c>
      <c r="C56" s="287" t="str">
        <f>B20</f>
        <v xml:space="preserve"> ISONIAZID, </v>
      </c>
      <c r="H56" s="367"/>
    </row>
    <row r="57" spans="1:12" ht="18.75" x14ac:dyDescent="0.3">
      <c r="A57" s="364" t="s">
        <v>88</v>
      </c>
      <c r="B57" s="435">
        <f>Uniformity!C46</f>
        <v>1141.0844999999997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250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5</v>
      </c>
      <c r="C60" s="699" t="s">
        <v>94</v>
      </c>
      <c r="D60" s="702">
        <v>1101.26</v>
      </c>
      <c r="E60" s="370">
        <v>1</v>
      </c>
      <c r="F60" s="371">
        <v>16431039</v>
      </c>
      <c r="G60" s="436">
        <f>IF(ISBLANK(F60),"-",(F60/$D$50*$D$47*$B$68)*($B$57/$D$60))</f>
        <v>71.111271711248179</v>
      </c>
      <c r="H60" s="454">
        <f t="shared" ref="H60:H71" si="0">IF(ISBLANK(F60),"-",(G60/$B$56)*100)</f>
        <v>94.815028948330905</v>
      </c>
      <c r="L60" s="300"/>
    </row>
    <row r="61" spans="1:12" s="14" customFormat="1" ht="26.25" customHeight="1" x14ac:dyDescent="0.4">
      <c r="A61" s="312" t="s">
        <v>95</v>
      </c>
      <c r="B61" s="313">
        <v>20</v>
      </c>
      <c r="C61" s="700"/>
      <c r="D61" s="703"/>
      <c r="E61" s="372">
        <v>2</v>
      </c>
      <c r="F61" s="325">
        <v>16418107</v>
      </c>
      <c r="G61" s="437">
        <f>IF(ISBLANK(F61),"-",(F61/$D$50*$D$47*$B$68)*($B$57/$D$60))</f>
        <v>71.055303797973195</v>
      </c>
      <c r="H61" s="455">
        <f t="shared" si="0"/>
        <v>94.740405063964261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700"/>
      <c r="D62" s="703"/>
      <c r="E62" s="372">
        <v>3</v>
      </c>
      <c r="F62" s="373">
        <v>16436574</v>
      </c>
      <c r="G62" s="437">
        <f>IF(ISBLANK(F62),"-",(F62/$D$50*$D$47*$B$68)*($B$57/$D$60))</f>
        <v>71.135226428227554</v>
      </c>
      <c r="H62" s="455">
        <f t="shared" si="0"/>
        <v>94.846968570970063</v>
      </c>
      <c r="L62" s="300"/>
    </row>
    <row r="63" spans="1:12" ht="27" customHeight="1" x14ac:dyDescent="0.4">
      <c r="A63" s="312" t="s">
        <v>97</v>
      </c>
      <c r="B63" s="313">
        <v>1</v>
      </c>
      <c r="C63" s="709"/>
      <c r="D63" s="704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thickBot="1" x14ac:dyDescent="0.45">
      <c r="A64" s="312" t="s">
        <v>98</v>
      </c>
      <c r="B64" s="313">
        <v>1</v>
      </c>
      <c r="C64" s="699" t="s">
        <v>99</v>
      </c>
      <c r="D64" s="702">
        <v>1139.8599999999999</v>
      </c>
      <c r="E64" s="370">
        <v>1</v>
      </c>
      <c r="F64" s="371">
        <v>16894400</v>
      </c>
      <c r="G64" s="436">
        <f>IF(ISBLANK(F64),"-",(F64/$D$50*$D$47*$B$68)*($B$57/$D$64))</f>
        <v>70.640626591555204</v>
      </c>
      <c r="H64" s="454">
        <f t="shared" si="0"/>
        <v>94.18750212207361</v>
      </c>
    </row>
    <row r="65" spans="1:8" ht="26.25" customHeight="1" thickBot="1" x14ac:dyDescent="0.45">
      <c r="A65" s="312" t="s">
        <v>100</v>
      </c>
      <c r="B65" s="313">
        <v>1</v>
      </c>
      <c r="C65" s="700"/>
      <c r="D65" s="703"/>
      <c r="E65" s="372">
        <v>2</v>
      </c>
      <c r="F65" s="559">
        <v>16918080</v>
      </c>
      <c r="G65" s="437">
        <f>IF(ISBLANK(F65),"-",(F65/$D$50*$D$47*$B$68)*($B$57/$D$64))</f>
        <v>70.739639876293822</v>
      </c>
      <c r="H65" s="455">
        <f t="shared" si="0"/>
        <v>94.319519835058429</v>
      </c>
    </row>
    <row r="66" spans="1:8" ht="26.25" customHeight="1" x14ac:dyDescent="0.4">
      <c r="A66" s="312" t="s">
        <v>101</v>
      </c>
      <c r="B66" s="313">
        <v>1</v>
      </c>
      <c r="C66" s="700"/>
      <c r="D66" s="703"/>
      <c r="E66" s="372">
        <v>3</v>
      </c>
      <c r="F66" s="559">
        <v>16806713</v>
      </c>
      <c r="G66" s="437">
        <f>IF(ISBLANK(F66),"-",(F66/$D$50*$D$47*$B$68)*($B$57/$D$64))</f>
        <v>70.273980565420288</v>
      </c>
      <c r="H66" s="455">
        <f t="shared" si="0"/>
        <v>93.698640753893713</v>
      </c>
    </row>
    <row r="67" spans="1:8" ht="27" customHeight="1" thickBot="1" x14ac:dyDescent="0.45">
      <c r="A67" s="312" t="s">
        <v>102</v>
      </c>
      <c r="B67" s="313">
        <v>1</v>
      </c>
      <c r="C67" s="709"/>
      <c r="D67" s="704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1000</v>
      </c>
      <c r="C68" s="699" t="s">
        <v>104</v>
      </c>
      <c r="D68" s="702">
        <v>1137.67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x14ac:dyDescent="0.4">
      <c r="A69" s="360" t="s">
        <v>105</v>
      </c>
      <c r="B69" s="377">
        <f>(D47*B68)/B56*B57</f>
        <v>1217.1567999999997</v>
      </c>
      <c r="C69" s="700"/>
      <c r="D69" s="703"/>
      <c r="E69" s="372">
        <v>2</v>
      </c>
      <c r="F69" s="325"/>
      <c r="G69" s="437" t="str">
        <f>IF(ISBLANK(F69),"-",(F69/$D$50*$D$47*$B$68)*($B$57/$D$68))</f>
        <v>-</v>
      </c>
      <c r="H69" s="455" t="str">
        <f t="shared" si="0"/>
        <v>-</v>
      </c>
    </row>
    <row r="70" spans="1:8" ht="26.25" customHeight="1" x14ac:dyDescent="0.4">
      <c r="A70" s="705" t="s">
        <v>78</v>
      </c>
      <c r="B70" s="706"/>
      <c r="C70" s="700"/>
      <c r="D70" s="703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x14ac:dyDescent="0.4">
      <c r="A71" s="707"/>
      <c r="B71" s="708"/>
      <c r="C71" s="701"/>
      <c r="D71" s="704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70.826008161786376</v>
      </c>
      <c r="H72" s="457">
        <f>AVERAGE(H60:H71)</f>
        <v>94.434677549048502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4.7927162880917751E-3</v>
      </c>
      <c r="H73" s="441">
        <f>STDEV(H60:H71)/H72</f>
        <v>4.7927162880917673E-3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686" t="str">
        <f>B26</f>
        <v>ISONIAZID</v>
      </c>
      <c r="D76" s="686"/>
      <c r="E76" s="386" t="s">
        <v>108</v>
      </c>
      <c r="F76" s="386"/>
      <c r="G76" s="473">
        <f>H72</f>
        <v>94.434677549048502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720" t="str">
        <f>B26</f>
        <v>ISONIAZID</v>
      </c>
      <c r="C79" s="720"/>
    </row>
    <row r="80" spans="1:8" ht="26.25" customHeight="1" x14ac:dyDescent="0.4">
      <c r="A80" s="297" t="s">
        <v>48</v>
      </c>
      <c r="B80" s="720" t="str">
        <f>B27</f>
        <v>I8-4</v>
      </c>
      <c r="C80" s="720"/>
    </row>
    <row r="81" spans="1:12" ht="27" customHeight="1" x14ac:dyDescent="0.4">
      <c r="A81" s="297" t="s">
        <v>6</v>
      </c>
      <c r="B81" s="389">
        <f>B28</f>
        <v>100.33</v>
      </c>
    </row>
    <row r="82" spans="1:12" s="14" customFormat="1" ht="27" customHeight="1" x14ac:dyDescent="0.4">
      <c r="A82" s="297" t="s">
        <v>49</v>
      </c>
      <c r="B82" s="299">
        <v>0</v>
      </c>
      <c r="C82" s="688" t="s">
        <v>50</v>
      </c>
      <c r="D82" s="689"/>
      <c r="E82" s="689"/>
      <c r="F82" s="689"/>
      <c r="G82" s="690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100.33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91" t="s">
        <v>111</v>
      </c>
      <c r="D84" s="692"/>
      <c r="E84" s="692"/>
      <c r="F84" s="692"/>
      <c r="G84" s="692"/>
      <c r="H84" s="693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91" t="s">
        <v>112</v>
      </c>
      <c r="D85" s="692"/>
      <c r="E85" s="692"/>
      <c r="F85" s="692"/>
      <c r="G85" s="692"/>
      <c r="H85" s="693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694" t="s">
        <v>60</v>
      </c>
      <c r="G89" s="695"/>
    </row>
    <row r="90" spans="1:12" ht="27" customHeight="1" x14ac:dyDescent="0.4">
      <c r="A90" s="312" t="s">
        <v>61</v>
      </c>
      <c r="B90" s="313">
        <v>5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50</v>
      </c>
      <c r="C91" s="394">
        <v>1</v>
      </c>
      <c r="D91" s="320">
        <v>17641828</v>
      </c>
      <c r="E91" s="321">
        <f>IF(ISBLANK(D91),"-",$D$101/$D$98*D91)</f>
        <v>19876787.682218585</v>
      </c>
      <c r="F91" s="320">
        <v>21027536</v>
      </c>
      <c r="G91" s="322">
        <f>IF(ISBLANK(F91),"-",$D$101/$F$98*F91)</f>
        <v>20019843.122311991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17555063</v>
      </c>
      <c r="E92" s="326">
        <f>IF(ISBLANK(D92),"-",$D$101/$D$98*D92)</f>
        <v>19779030.835068293</v>
      </c>
      <c r="F92" s="325">
        <v>21052120</v>
      </c>
      <c r="G92" s="327">
        <f>IF(ISBLANK(F92),"-",$D$101/$F$98*F92)</f>
        <v>20043248.994655706</v>
      </c>
      <c r="I92" s="696">
        <f>ABS((F96/D96*D95)-F95)/D95</f>
        <v>1.2325777600475591E-2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17652023</v>
      </c>
      <c r="E93" s="326">
        <f>IF(ISBLANK(D93),"-",$D$101/$D$98*D93)</f>
        <v>19888274.238510836</v>
      </c>
      <c r="F93" s="325">
        <v>21112975</v>
      </c>
      <c r="G93" s="327">
        <f>IF(ISBLANK(F93),"-",$D$101/$F$98*F93)</f>
        <v>20101187.66865005</v>
      </c>
      <c r="I93" s="696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17616304.666666668</v>
      </c>
      <c r="E95" s="336">
        <f>AVERAGE(E91:E94)</f>
        <v>19848030.918599237</v>
      </c>
      <c r="F95" s="399">
        <f>AVERAGE(F91:F94)</f>
        <v>21064210.333333332</v>
      </c>
      <c r="G95" s="400">
        <f>AVERAGE(G91:G94)</f>
        <v>20054759.928539246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18.43</v>
      </c>
      <c r="E96" s="328"/>
      <c r="F96" s="340">
        <v>21.81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18.43</v>
      </c>
      <c r="E97" s="343"/>
      <c r="F97" s="342">
        <f>F96*$B$87</f>
        <v>21.81</v>
      </c>
    </row>
    <row r="98" spans="1:10" ht="19.5" customHeight="1" x14ac:dyDescent="0.3">
      <c r="A98" s="312" t="s">
        <v>76</v>
      </c>
      <c r="B98" s="405">
        <f>(B97/B96)*(B95/B94)*(B93/B92)*(B91/B90)*B89</f>
        <v>250</v>
      </c>
      <c r="C98" s="403" t="s">
        <v>115</v>
      </c>
      <c r="D98" s="406">
        <f>D97*$B$83/100</f>
        <v>18.490818999999998</v>
      </c>
      <c r="E98" s="346"/>
      <c r="F98" s="345">
        <f>F97*$B$83/100</f>
        <v>21.881972999999999</v>
      </c>
    </row>
    <row r="99" spans="1:10" ht="19.5" customHeight="1" x14ac:dyDescent="0.3">
      <c r="A99" s="682" t="s">
        <v>78</v>
      </c>
      <c r="B99" s="697"/>
      <c r="C99" s="403" t="s">
        <v>116</v>
      </c>
      <c r="D99" s="407">
        <f>D98/$B$98</f>
        <v>7.3963275999999994E-2</v>
      </c>
      <c r="E99" s="346"/>
      <c r="F99" s="349">
        <f>F98/$B$98</f>
        <v>8.7527891999999996E-2</v>
      </c>
      <c r="G99" s="408"/>
      <c r="H99" s="338"/>
    </row>
    <row r="100" spans="1:10" ht="19.5" customHeight="1" x14ac:dyDescent="0.3">
      <c r="A100" s="684"/>
      <c r="B100" s="698"/>
      <c r="C100" s="403" t="s">
        <v>80</v>
      </c>
      <c r="D100" s="409">
        <f>$B$56/$B$116</f>
        <v>8.3333333333333329E-2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20.833333333333332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20.833333333333332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19951395.423569243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6.1312732236908675E-3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17420897</v>
      </c>
      <c r="E108" s="438">
        <f t="shared" ref="E108:E113" si="1">IF(ISBLANK(D108),"-",D108/$D$103*$D$100*$B$116)</f>
        <v>65.487513392497291</v>
      </c>
      <c r="F108" s="465">
        <f t="shared" ref="F108:F113" si="2">IF(ISBLANK(D108), "-", (E108/$B$56)*100)</f>
        <v>87.316684523329727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17410616</v>
      </c>
      <c r="E109" s="439">
        <f t="shared" si="1"/>
        <v>65.448865719809234</v>
      </c>
      <c r="F109" s="466">
        <f t="shared" si="2"/>
        <v>87.265154293078979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17432743</v>
      </c>
      <c r="E110" s="439">
        <f t="shared" si="1"/>
        <v>65.532044112336095</v>
      </c>
      <c r="F110" s="466">
        <f t="shared" si="2"/>
        <v>87.376058816448136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17402754</v>
      </c>
      <c r="E111" s="439">
        <f t="shared" si="1"/>
        <v>65.419311396039802</v>
      </c>
      <c r="F111" s="466">
        <f t="shared" si="2"/>
        <v>87.225748528053074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17429504</v>
      </c>
      <c r="E112" s="439">
        <f t="shared" si="1"/>
        <v>65.519868272258606</v>
      </c>
      <c r="F112" s="466">
        <f t="shared" si="2"/>
        <v>87.359824363011469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17437361</v>
      </c>
      <c r="E113" s="440">
        <f t="shared" si="1"/>
        <v>65.54940380035022</v>
      </c>
      <c r="F113" s="467">
        <f t="shared" si="2"/>
        <v>87.399205067133622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65.492834448881865</v>
      </c>
      <c r="F115" s="469">
        <f>AVERAGE(F108:F113)</f>
        <v>87.323779265175844</v>
      </c>
    </row>
    <row r="116" spans="1:10" ht="27" customHeight="1" x14ac:dyDescent="0.4">
      <c r="A116" s="312" t="s">
        <v>103</v>
      </c>
      <c r="B116" s="344">
        <f>(B115/B114)*(B113/B112)*(B111/B110)*(B109/B108)*B107</f>
        <v>900</v>
      </c>
      <c r="C116" s="422"/>
      <c r="D116" s="446" t="s">
        <v>84</v>
      </c>
      <c r="E116" s="444">
        <f>STDEV(E108:E113)/E115</f>
        <v>7.7362042396415321E-4</v>
      </c>
      <c r="F116" s="423">
        <f>STDEV(F108:F113)/F115</f>
        <v>7.736204239641351E-4</v>
      </c>
      <c r="I116" s="286"/>
    </row>
    <row r="117" spans="1:10" ht="27" customHeight="1" x14ac:dyDescent="0.4">
      <c r="A117" s="682" t="s">
        <v>78</v>
      </c>
      <c r="B117" s="683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84"/>
      <c r="B118" s="685"/>
      <c r="C118" s="286"/>
      <c r="D118" s="448"/>
      <c r="E118" s="710" t="s">
        <v>123</v>
      </c>
      <c r="F118" s="711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65.419311396039802</v>
      </c>
      <c r="F119" s="470">
        <f>MIN(F108:F113)</f>
        <v>87.225748528053074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65.54940380035022</v>
      </c>
      <c r="F120" s="471">
        <f>MAX(F108:F113)</f>
        <v>87.399205067133622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686" t="str">
        <f>B26</f>
        <v>ISONIAZID</v>
      </c>
      <c r="D124" s="686"/>
      <c r="E124" s="386" t="s">
        <v>127</v>
      </c>
      <c r="F124" s="386"/>
      <c r="G124" s="472">
        <f>F115</f>
        <v>87.323779265175844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87.225748528053074</v>
      </c>
      <c r="E125" s="397" t="s">
        <v>130</v>
      </c>
      <c r="F125" s="472">
        <f>MAX(F108:F113)</f>
        <v>87.399205067133622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687" t="s">
        <v>26</v>
      </c>
      <c r="C127" s="687"/>
      <c r="E127" s="392" t="s">
        <v>27</v>
      </c>
      <c r="F127" s="427"/>
      <c r="G127" s="687" t="s">
        <v>28</v>
      </c>
      <c r="H127" s="687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9" zoomScale="10" zoomScaleNormal="40" zoomScaleSheetLayoutView="10" zoomScalePageLayoutView="85" workbookViewId="0">
      <selection activeCell="G109" sqref="G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0" t="s">
        <v>45</v>
      </c>
      <c r="B1" s="680"/>
      <c r="C1" s="680"/>
      <c r="D1" s="680"/>
      <c r="E1" s="680"/>
      <c r="F1" s="680"/>
      <c r="G1" s="680"/>
      <c r="H1" s="680"/>
      <c r="I1" s="680"/>
    </row>
    <row r="2" spans="1:9" ht="18.7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</row>
    <row r="3" spans="1:9" ht="18.75" customHeight="1" x14ac:dyDescent="0.25">
      <c r="A3" s="680"/>
      <c r="B3" s="680"/>
      <c r="C3" s="680"/>
      <c r="D3" s="680"/>
      <c r="E3" s="680"/>
      <c r="F3" s="680"/>
      <c r="G3" s="680"/>
      <c r="H3" s="680"/>
      <c r="I3" s="680"/>
    </row>
    <row r="4" spans="1:9" ht="18.75" customHeight="1" x14ac:dyDescent="0.25">
      <c r="A4" s="680"/>
      <c r="B4" s="680"/>
      <c r="C4" s="680"/>
      <c r="D4" s="680"/>
      <c r="E4" s="680"/>
      <c r="F4" s="680"/>
      <c r="G4" s="680"/>
      <c r="H4" s="680"/>
      <c r="I4" s="680"/>
    </row>
    <row r="5" spans="1:9" ht="18.75" customHeight="1" x14ac:dyDescent="0.25">
      <c r="A5" s="680"/>
      <c r="B5" s="680"/>
      <c r="C5" s="680"/>
      <c r="D5" s="680"/>
      <c r="E5" s="680"/>
      <c r="F5" s="680"/>
      <c r="G5" s="680"/>
      <c r="H5" s="680"/>
      <c r="I5" s="680"/>
    </row>
    <row r="6" spans="1:9" ht="18.75" customHeight="1" x14ac:dyDescent="0.25">
      <c r="A6" s="680"/>
      <c r="B6" s="680"/>
      <c r="C6" s="680"/>
      <c r="D6" s="680"/>
      <c r="E6" s="680"/>
      <c r="F6" s="680"/>
      <c r="G6" s="680"/>
      <c r="H6" s="680"/>
      <c r="I6" s="680"/>
    </row>
    <row r="7" spans="1:9" ht="18.75" customHeight="1" x14ac:dyDescent="0.25">
      <c r="A7" s="680"/>
      <c r="B7" s="680"/>
      <c r="C7" s="680"/>
      <c r="D7" s="680"/>
      <c r="E7" s="680"/>
      <c r="F7" s="680"/>
      <c r="G7" s="680"/>
      <c r="H7" s="680"/>
      <c r="I7" s="680"/>
    </row>
    <row r="8" spans="1:9" x14ac:dyDescent="0.25">
      <c r="A8" s="681" t="s">
        <v>46</v>
      </c>
      <c r="B8" s="681"/>
      <c r="C8" s="681"/>
      <c r="D8" s="681"/>
      <c r="E8" s="681"/>
      <c r="F8" s="681"/>
      <c r="G8" s="681"/>
      <c r="H8" s="681"/>
      <c r="I8" s="681"/>
    </row>
    <row r="9" spans="1:9" x14ac:dyDescent="0.25">
      <c r="A9" s="681"/>
      <c r="B9" s="681"/>
      <c r="C9" s="681"/>
      <c r="D9" s="681"/>
      <c r="E9" s="681"/>
      <c r="F9" s="681"/>
      <c r="G9" s="681"/>
      <c r="H9" s="681"/>
      <c r="I9" s="681"/>
    </row>
    <row r="10" spans="1:9" x14ac:dyDescent="0.25">
      <c r="A10" s="681"/>
      <c r="B10" s="681"/>
      <c r="C10" s="681"/>
      <c r="D10" s="681"/>
      <c r="E10" s="681"/>
      <c r="F10" s="681"/>
      <c r="G10" s="681"/>
      <c r="H10" s="681"/>
      <c r="I10" s="681"/>
    </row>
    <row r="11" spans="1:9" x14ac:dyDescent="0.25">
      <c r="A11" s="681"/>
      <c r="B11" s="681"/>
      <c r="C11" s="681"/>
      <c r="D11" s="681"/>
      <c r="E11" s="681"/>
      <c r="F11" s="681"/>
      <c r="G11" s="681"/>
      <c r="H11" s="681"/>
      <c r="I11" s="681"/>
    </row>
    <row r="12" spans="1:9" x14ac:dyDescent="0.25">
      <c r="A12" s="681"/>
      <c r="B12" s="681"/>
      <c r="C12" s="681"/>
      <c r="D12" s="681"/>
      <c r="E12" s="681"/>
      <c r="F12" s="681"/>
      <c r="G12" s="681"/>
      <c r="H12" s="681"/>
      <c r="I12" s="681"/>
    </row>
    <row r="13" spans="1:9" x14ac:dyDescent="0.25">
      <c r="A13" s="681"/>
      <c r="B13" s="681"/>
      <c r="C13" s="681"/>
      <c r="D13" s="681"/>
      <c r="E13" s="681"/>
      <c r="F13" s="681"/>
      <c r="G13" s="681"/>
      <c r="H13" s="681"/>
      <c r="I13" s="681"/>
    </row>
    <row r="14" spans="1:9" x14ac:dyDescent="0.25">
      <c r="A14" s="681"/>
      <c r="B14" s="681"/>
      <c r="C14" s="681"/>
      <c r="D14" s="681"/>
      <c r="E14" s="681"/>
      <c r="F14" s="681"/>
      <c r="G14" s="681"/>
      <c r="H14" s="681"/>
      <c r="I14" s="681"/>
    </row>
    <row r="15" spans="1:9" ht="19.5" customHeight="1" x14ac:dyDescent="0.3">
      <c r="A15" s="474"/>
    </row>
    <row r="16" spans="1:9" ht="19.5" customHeight="1" x14ac:dyDescent="0.3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25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4">
      <c r="A18" s="476" t="s">
        <v>33</v>
      </c>
      <c r="B18" s="712" t="s">
        <v>5</v>
      </c>
      <c r="C18" s="712"/>
      <c r="D18" s="622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717" t="s">
        <v>141</v>
      </c>
      <c r="C20" s="717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480"/>
    </row>
    <row r="22" spans="1:14" ht="26.25" customHeight="1" x14ac:dyDescent="0.4">
      <c r="A22" s="476" t="s">
        <v>37</v>
      </c>
      <c r="B22" s="481" t="s">
        <v>12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/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12" t="s">
        <v>135</v>
      </c>
      <c r="C26" s="712"/>
    </row>
    <row r="27" spans="1:14" ht="26.25" customHeight="1" x14ac:dyDescent="0.4">
      <c r="A27" s="485" t="s">
        <v>48</v>
      </c>
      <c r="B27" s="718" t="s">
        <v>136</v>
      </c>
      <c r="C27" s="718"/>
    </row>
    <row r="28" spans="1:14" ht="27" customHeight="1" x14ac:dyDescent="0.4">
      <c r="A28" s="485" t="s">
        <v>6</v>
      </c>
      <c r="B28" s="486">
        <v>99.5</v>
      </c>
    </row>
    <row r="29" spans="1:14" s="14" customFormat="1" ht="27" customHeight="1" x14ac:dyDescent="0.4">
      <c r="A29" s="485" t="s">
        <v>49</v>
      </c>
      <c r="B29" s="487">
        <v>0</v>
      </c>
      <c r="C29" s="688" t="s">
        <v>50</v>
      </c>
      <c r="D29" s="689"/>
      <c r="E29" s="689"/>
      <c r="F29" s="689"/>
      <c r="G29" s="690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99.5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1</v>
      </c>
      <c r="C31" s="691" t="s">
        <v>53</v>
      </c>
      <c r="D31" s="692"/>
      <c r="E31" s="692"/>
      <c r="F31" s="692"/>
      <c r="G31" s="692"/>
      <c r="H31" s="693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1</v>
      </c>
      <c r="C32" s="691" t="s">
        <v>55</v>
      </c>
      <c r="D32" s="692"/>
      <c r="E32" s="692"/>
      <c r="F32" s="692"/>
      <c r="G32" s="692"/>
      <c r="H32" s="693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1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50</v>
      </c>
      <c r="C36" s="475"/>
      <c r="D36" s="694" t="s">
        <v>59</v>
      </c>
      <c r="E36" s="719"/>
      <c r="F36" s="694" t="s">
        <v>60</v>
      </c>
      <c r="G36" s="695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1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1</v>
      </c>
      <c r="C38" s="507">
        <v>1</v>
      </c>
      <c r="D38" s="508">
        <v>70053996</v>
      </c>
      <c r="E38" s="509">
        <f>IF(ISBLANK(D38),"-",$D$48/$D$45*D38)</f>
        <v>71537313.885115549</v>
      </c>
      <c r="F38" s="508">
        <v>79144968</v>
      </c>
      <c r="G38" s="510">
        <f>IF(ISBLANK(F38),"-",$D$48/$F$45*F38)</f>
        <v>70931880.972677574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69714973</v>
      </c>
      <c r="E39" s="514">
        <f>IF(ISBLANK(D39),"-",$D$48/$D$45*D39)</f>
        <v>71191112.438373342</v>
      </c>
      <c r="F39" s="513">
        <v>79286281</v>
      </c>
      <c r="G39" s="515">
        <f>IF(ISBLANK(F39),"-",$D$48/$F$45*F39)</f>
        <v>71058529.541110784</v>
      </c>
      <c r="I39" s="696">
        <f>ABS((F43/D43*D42)-F42)/D42</f>
        <v>5.5852760459729573E-3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70132019</v>
      </c>
      <c r="E40" s="514">
        <f>IF(ISBLANK(D40),"-",$D$48/$D$45*D40)</f>
        <v>71616988.938074112</v>
      </c>
      <c r="F40" s="513">
        <v>79560518</v>
      </c>
      <c r="G40" s="515">
        <f>IF(ISBLANK(F40),"-",$D$48/$F$45*F40)</f>
        <v>71304308.227158189</v>
      </c>
      <c r="I40" s="696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69966996</v>
      </c>
      <c r="E42" s="524">
        <f>AVERAGE(E38:E41)</f>
        <v>71448471.753854334</v>
      </c>
      <c r="F42" s="523">
        <f>AVERAGE(F38:F41)</f>
        <v>79330589</v>
      </c>
      <c r="G42" s="525">
        <f>AVERAGE(G38:G41)</f>
        <v>71098239.580315515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21.16</v>
      </c>
      <c r="E43" s="516"/>
      <c r="F43" s="528">
        <v>24.11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21.16</v>
      </c>
      <c r="E44" s="531"/>
      <c r="F44" s="530">
        <f>F43*$B$34</f>
        <v>24.11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50</v>
      </c>
      <c r="C45" s="529" t="s">
        <v>77</v>
      </c>
      <c r="D45" s="533">
        <f>D44*$B$30/100</f>
        <v>21.054200000000002</v>
      </c>
      <c r="E45" s="534"/>
      <c r="F45" s="533">
        <f>F44*$B$30/100</f>
        <v>23.989450000000001</v>
      </c>
      <c r="H45" s="526"/>
    </row>
    <row r="46" spans="1:14" ht="19.5" customHeight="1" x14ac:dyDescent="0.3">
      <c r="A46" s="682" t="s">
        <v>78</v>
      </c>
      <c r="B46" s="683"/>
      <c r="C46" s="529" t="s">
        <v>79</v>
      </c>
      <c r="D46" s="535">
        <f>D45/$B$45</f>
        <v>0.42108400000000001</v>
      </c>
      <c r="E46" s="536"/>
      <c r="F46" s="537">
        <f>F45/$B$45</f>
        <v>0.47978900000000002</v>
      </c>
      <c r="H46" s="526"/>
    </row>
    <row r="47" spans="1:14" ht="27" customHeight="1" x14ac:dyDescent="0.4">
      <c r="A47" s="684"/>
      <c r="B47" s="685"/>
      <c r="C47" s="538" t="s">
        <v>80</v>
      </c>
      <c r="D47" s="539">
        <v>0.43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21.5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21.5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71273355.667084932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3.7555349042010886E-3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RIFAMPICIN 150mg, ISONIAZID 75mg, PYRAZINAMIDE 400mg &amp; ETHAMBUTOL HCl 275mg</v>
      </c>
    </row>
    <row r="56" spans="1:12" ht="26.25" customHeight="1" x14ac:dyDescent="0.4">
      <c r="A56" s="553" t="s">
        <v>87</v>
      </c>
      <c r="B56" s="554">
        <v>400</v>
      </c>
      <c r="C56" s="475" t="str">
        <f>B20</f>
        <v xml:space="preserve"> PYRAZINAMIDE </v>
      </c>
      <c r="H56" s="555"/>
    </row>
    <row r="57" spans="1:12" ht="18.75" x14ac:dyDescent="0.3">
      <c r="A57" s="552" t="s">
        <v>88</v>
      </c>
      <c r="B57" s="623">
        <f>Uniformity!C46</f>
        <v>1141.0844999999997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250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5</v>
      </c>
      <c r="C60" s="699" t="s">
        <v>94</v>
      </c>
      <c r="D60" s="702">
        <f>Rifampicin!D60</f>
        <v>1101.26</v>
      </c>
      <c r="E60" s="558">
        <v>1</v>
      </c>
      <c r="F60" s="559">
        <v>64631279</v>
      </c>
      <c r="G60" s="624">
        <f>IF(ISBLANK(F60),"-",(F60/$D$50*$D$47*$B$68)*($B$57/$D$60))</f>
        <v>404.02844351857271</v>
      </c>
      <c r="H60" s="642">
        <f t="shared" ref="H60:H71" si="0">IF(ISBLANK(F60),"-",(G60/$B$56)*100)</f>
        <v>101.00711087964318</v>
      </c>
      <c r="L60" s="488"/>
    </row>
    <row r="61" spans="1:12" s="14" customFormat="1" ht="26.25" customHeight="1" x14ac:dyDescent="0.4">
      <c r="A61" s="500" t="s">
        <v>95</v>
      </c>
      <c r="B61" s="501">
        <v>20</v>
      </c>
      <c r="C61" s="700"/>
      <c r="D61" s="703"/>
      <c r="E61" s="560">
        <v>2</v>
      </c>
      <c r="F61" s="513">
        <v>64695828</v>
      </c>
      <c r="G61" s="625">
        <f>IF(ISBLANK(F61),"-",(F61/$D$50*$D$47*$B$68)*($B$57/$D$60))</f>
        <v>404.43195761274188</v>
      </c>
      <c r="H61" s="643">
        <f t="shared" si="0"/>
        <v>101.10798940318546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700"/>
      <c r="D62" s="703"/>
      <c r="E62" s="560">
        <v>3</v>
      </c>
      <c r="F62" s="561">
        <v>64894832</v>
      </c>
      <c r="G62" s="625">
        <f>IF(ISBLANK(F62),"-",(F62/$D$50*$D$47*$B$68)*($B$57/$D$60))</f>
        <v>405.67598802058774</v>
      </c>
      <c r="H62" s="643">
        <f t="shared" si="0"/>
        <v>101.41899700514693</v>
      </c>
      <c r="L62" s="488"/>
    </row>
    <row r="63" spans="1:12" ht="27" customHeight="1" x14ac:dyDescent="0.4">
      <c r="A63" s="500" t="s">
        <v>97</v>
      </c>
      <c r="B63" s="501">
        <v>1</v>
      </c>
      <c r="C63" s="709"/>
      <c r="D63" s="704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9" t="s">
        <v>99</v>
      </c>
      <c r="D64" s="702">
        <f>Rifampicin!D64</f>
        <v>1139.8599999999999</v>
      </c>
      <c r="E64" s="558">
        <v>1</v>
      </c>
      <c r="F64" s="559">
        <v>65404247</v>
      </c>
      <c r="G64" s="624">
        <f>IF(ISBLANK(F64),"-",(F64/$D$50*$D$47*$B$68)*($B$57/$D$64))</f>
        <v>395.01491265436721</v>
      </c>
      <c r="H64" s="642">
        <f t="shared" si="0"/>
        <v>98.753728163591802</v>
      </c>
    </row>
    <row r="65" spans="1:8" ht="26.25" customHeight="1" x14ac:dyDescent="0.4">
      <c r="A65" s="500" t="s">
        <v>100</v>
      </c>
      <c r="B65" s="501">
        <v>1</v>
      </c>
      <c r="C65" s="700"/>
      <c r="D65" s="703"/>
      <c r="E65" s="560">
        <v>2</v>
      </c>
      <c r="F65" s="513">
        <v>65503377</v>
      </c>
      <c r="G65" s="625">
        <f>IF(ISBLANK(F65),"-",(F65/$D$50*$D$47*$B$68)*($B$57/$D$64))</f>
        <v>395.61361732703818</v>
      </c>
      <c r="H65" s="643">
        <f t="shared" si="0"/>
        <v>98.903404331759546</v>
      </c>
    </row>
    <row r="66" spans="1:8" ht="26.25" customHeight="1" x14ac:dyDescent="0.4">
      <c r="A66" s="500" t="s">
        <v>101</v>
      </c>
      <c r="B66" s="501">
        <v>1</v>
      </c>
      <c r="C66" s="700"/>
      <c r="D66" s="703"/>
      <c r="E66" s="560">
        <v>3</v>
      </c>
      <c r="F66" s="513">
        <v>65099080</v>
      </c>
      <c r="G66" s="625">
        <f>IF(ISBLANK(F66),"-",(F66/$D$50*$D$47*$B$68)*($B$57/$D$64))</f>
        <v>393.17182873582607</v>
      </c>
      <c r="H66" s="643">
        <f t="shared" si="0"/>
        <v>98.292957183956517</v>
      </c>
    </row>
    <row r="67" spans="1:8" ht="27" customHeight="1" x14ac:dyDescent="0.4">
      <c r="A67" s="500" t="s">
        <v>102</v>
      </c>
      <c r="B67" s="501">
        <v>1</v>
      </c>
      <c r="C67" s="709"/>
      <c r="D67" s="704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1000</v>
      </c>
      <c r="C68" s="699" t="s">
        <v>104</v>
      </c>
      <c r="D68" s="702">
        <f>Rifampicin!D68</f>
        <v>1137.67</v>
      </c>
      <c r="E68" s="558">
        <v>1</v>
      </c>
      <c r="F68" s="559">
        <v>65156017</v>
      </c>
      <c r="G68" s="624">
        <f>IF(ISBLANK(F68),"-",(F68/$D$50*$D$47*$B$68)*($B$57/$D$68))</f>
        <v>394.27321756830355</v>
      </c>
      <c r="H68" s="643">
        <f t="shared" si="0"/>
        <v>98.568304392075888</v>
      </c>
    </row>
    <row r="69" spans="1:8" ht="27" customHeight="1" x14ac:dyDescent="0.4">
      <c r="A69" s="548" t="s">
        <v>105</v>
      </c>
      <c r="B69" s="565">
        <f>(D47*B68)/B56*B57</f>
        <v>1226.6658374999997</v>
      </c>
      <c r="C69" s="700"/>
      <c r="D69" s="703"/>
      <c r="E69" s="560">
        <v>2</v>
      </c>
      <c r="F69" s="513">
        <v>65358256</v>
      </c>
      <c r="G69" s="625">
        <f>IF(ISBLANK(F69),"-",(F69/$D$50*$D$47*$B$68)*($B$57/$D$68))</f>
        <v>395.49700970476567</v>
      </c>
      <c r="H69" s="643">
        <f t="shared" si="0"/>
        <v>98.874252426191418</v>
      </c>
    </row>
    <row r="70" spans="1:8" ht="26.25" customHeight="1" x14ac:dyDescent="0.4">
      <c r="A70" s="705" t="s">
        <v>78</v>
      </c>
      <c r="B70" s="706"/>
      <c r="C70" s="700"/>
      <c r="D70" s="703"/>
      <c r="E70" s="560">
        <v>3</v>
      </c>
      <c r="F70" s="513">
        <v>65347075</v>
      </c>
      <c r="G70" s="625">
        <f>IF(ISBLANK(F70),"-",(F70/$D$50*$D$47*$B$68)*($B$57/$D$68))</f>
        <v>395.42935104408309</v>
      </c>
      <c r="H70" s="643">
        <f t="shared" si="0"/>
        <v>98.857337761020773</v>
      </c>
    </row>
    <row r="71" spans="1:8" ht="27" customHeight="1" x14ac:dyDescent="0.4">
      <c r="A71" s="707"/>
      <c r="B71" s="708"/>
      <c r="C71" s="701"/>
      <c r="D71" s="704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30">
        <f>AVERAGE(G60:G71)</f>
        <v>398.12625846514288</v>
      </c>
      <c r="H72" s="645">
        <f>AVERAGE(H60:H71)</f>
        <v>99.531564616285721</v>
      </c>
    </row>
    <row r="73" spans="1:8" ht="26.25" customHeight="1" x14ac:dyDescent="0.4">
      <c r="C73" s="566"/>
      <c r="D73" s="566"/>
      <c r="E73" s="566"/>
      <c r="F73" s="569" t="s">
        <v>84</v>
      </c>
      <c r="G73" s="629">
        <f>STDEV(G60:G71)/G72</f>
        <v>1.2595462224396859E-2</v>
      </c>
      <c r="H73" s="629">
        <f>STDEV(H60:H71)/H72</f>
        <v>1.2595462224396836E-2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9</v>
      </c>
      <c r="H74" s="572">
        <f>COUNT(H60:H71)</f>
        <v>9</v>
      </c>
    </row>
    <row r="76" spans="1:8" ht="26.25" customHeight="1" x14ac:dyDescent="0.4">
      <c r="A76" s="484" t="s">
        <v>106</v>
      </c>
      <c r="B76" s="573" t="s">
        <v>107</v>
      </c>
      <c r="C76" s="686" t="str">
        <f>B26</f>
        <v>Pyrazinamide</v>
      </c>
      <c r="D76" s="686"/>
      <c r="E76" s="574" t="s">
        <v>108</v>
      </c>
      <c r="F76" s="574"/>
      <c r="G76" s="661">
        <f>H72</f>
        <v>99.531564616285721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720" t="str">
        <f>B26</f>
        <v>Pyrazinamide</v>
      </c>
      <c r="C79" s="720"/>
    </row>
    <row r="80" spans="1:8" ht="26.25" customHeight="1" x14ac:dyDescent="0.4">
      <c r="A80" s="485" t="s">
        <v>48</v>
      </c>
      <c r="B80" s="720" t="str">
        <f>B27</f>
        <v>P19-1</v>
      </c>
      <c r="C80" s="720"/>
    </row>
    <row r="81" spans="1:12" ht="27" customHeight="1" x14ac:dyDescent="0.4">
      <c r="A81" s="485" t="s">
        <v>6</v>
      </c>
      <c r="B81" s="577">
        <f>B28</f>
        <v>99.5</v>
      </c>
    </row>
    <row r="82" spans="1:12" s="14" customFormat="1" ht="27" customHeight="1" x14ac:dyDescent="0.4">
      <c r="A82" s="485" t="s">
        <v>49</v>
      </c>
      <c r="B82" s="487">
        <v>0</v>
      </c>
      <c r="C82" s="688" t="s">
        <v>50</v>
      </c>
      <c r="D82" s="689"/>
      <c r="E82" s="689"/>
      <c r="F82" s="689"/>
      <c r="G82" s="690"/>
      <c r="I82" s="488"/>
      <c r="J82" s="488"/>
      <c r="K82" s="488"/>
      <c r="L82" s="488"/>
    </row>
    <row r="83" spans="1:12" s="14" customFormat="1" ht="19.5" customHeight="1" x14ac:dyDescent="0.3">
      <c r="A83" s="485" t="s">
        <v>51</v>
      </c>
      <c r="B83" s="489">
        <f>B81-B82</f>
        <v>99.5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52</v>
      </c>
      <c r="B84" s="492">
        <v>1</v>
      </c>
      <c r="C84" s="691" t="s">
        <v>111</v>
      </c>
      <c r="D84" s="692"/>
      <c r="E84" s="692"/>
      <c r="F84" s="692"/>
      <c r="G84" s="692"/>
      <c r="H84" s="693"/>
      <c r="I84" s="488"/>
      <c r="J84" s="488"/>
      <c r="K84" s="488"/>
      <c r="L84" s="488"/>
    </row>
    <row r="85" spans="1:12" s="14" customFormat="1" ht="27" customHeight="1" x14ac:dyDescent="0.4">
      <c r="A85" s="485" t="s">
        <v>54</v>
      </c>
      <c r="B85" s="492">
        <v>1</v>
      </c>
      <c r="C85" s="691" t="s">
        <v>112</v>
      </c>
      <c r="D85" s="692"/>
      <c r="E85" s="692"/>
      <c r="F85" s="692"/>
      <c r="G85" s="692"/>
      <c r="H85" s="693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56</v>
      </c>
      <c r="B87" s="497">
        <f>B84/B85</f>
        <v>1</v>
      </c>
      <c r="C87" s="475" t="s">
        <v>57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58</v>
      </c>
      <c r="B89" s="499">
        <v>50</v>
      </c>
      <c r="D89" s="578" t="s">
        <v>59</v>
      </c>
      <c r="E89" s="579"/>
      <c r="F89" s="694" t="s">
        <v>60</v>
      </c>
      <c r="G89" s="695"/>
    </row>
    <row r="90" spans="1:12" ht="27" customHeight="1" x14ac:dyDescent="0.4">
      <c r="A90" s="500" t="s">
        <v>61</v>
      </c>
      <c r="B90" s="501">
        <v>1</v>
      </c>
      <c r="C90" s="580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70053996</v>
      </c>
      <c r="E91" s="509">
        <f>IF(ISBLANK(D91),"-",$D$101/$D$98*D91)</f>
        <v>73940376.108646557</v>
      </c>
      <c r="F91" s="508">
        <v>79144968</v>
      </c>
      <c r="G91" s="510">
        <f>IF(ISBLANK(F91),"-",$D$101/$F$98*F91)</f>
        <v>73314605.656514287</v>
      </c>
      <c r="I91" s="511"/>
    </row>
    <row r="92" spans="1:12" ht="26.25" customHeight="1" x14ac:dyDescent="0.4">
      <c r="A92" s="500" t="s">
        <v>67</v>
      </c>
      <c r="B92" s="501">
        <v>1</v>
      </c>
      <c r="C92" s="567">
        <v>2</v>
      </c>
      <c r="D92" s="513">
        <v>69714973</v>
      </c>
      <c r="E92" s="514">
        <f>IF(ISBLANK(D92),"-",$D$101/$D$98*D92)</f>
        <v>73582545.155941427</v>
      </c>
      <c r="F92" s="513">
        <v>79286281</v>
      </c>
      <c r="G92" s="515">
        <f>IF(ISBLANK(F92),"-",$D$101/$F$98*F92)</f>
        <v>73445508.569623545</v>
      </c>
      <c r="I92" s="696">
        <f>ABS((F96/D96*D95)-F95)/D95</f>
        <v>5.5852760459729573E-3</v>
      </c>
    </row>
    <row r="93" spans="1:12" ht="26.25" customHeight="1" x14ac:dyDescent="0.4">
      <c r="A93" s="500" t="s">
        <v>68</v>
      </c>
      <c r="B93" s="501">
        <v>1</v>
      </c>
      <c r="C93" s="567">
        <v>3</v>
      </c>
      <c r="D93" s="513">
        <v>70132019</v>
      </c>
      <c r="E93" s="514">
        <f>IF(ISBLANK(D93),"-",$D$101/$D$98*D93)</f>
        <v>74022727.584572718</v>
      </c>
      <c r="F93" s="513">
        <v>79560518</v>
      </c>
      <c r="G93" s="515">
        <f>IF(ISBLANK(F93),"-",$D$101/$F$98*F93)</f>
        <v>73699543.387243599</v>
      </c>
      <c r="I93" s="696"/>
    </row>
    <row r="94" spans="1:12" ht="27" customHeight="1" x14ac:dyDescent="0.4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70</v>
      </c>
      <c r="B95" s="501">
        <v>1</v>
      </c>
      <c r="C95" s="585" t="s">
        <v>71</v>
      </c>
      <c r="D95" s="586">
        <f>AVERAGE(D91:D94)</f>
        <v>69966996</v>
      </c>
      <c r="E95" s="524">
        <f>AVERAGE(E91:E94)</f>
        <v>73848549.616386905</v>
      </c>
      <c r="F95" s="587">
        <f>AVERAGE(F91:F94)</f>
        <v>79330589</v>
      </c>
      <c r="G95" s="588">
        <f>AVERAGE(G91:G94)</f>
        <v>73486552.5377938</v>
      </c>
    </row>
    <row r="96" spans="1:12" ht="26.25" customHeight="1" x14ac:dyDescent="0.4">
      <c r="A96" s="500" t="s">
        <v>72</v>
      </c>
      <c r="B96" s="486">
        <v>1</v>
      </c>
      <c r="C96" s="589" t="s">
        <v>113</v>
      </c>
      <c r="D96" s="590">
        <v>21.16</v>
      </c>
      <c r="E96" s="516"/>
      <c r="F96" s="528">
        <v>24.11</v>
      </c>
    </row>
    <row r="97" spans="1:10" ht="26.25" customHeight="1" x14ac:dyDescent="0.4">
      <c r="A97" s="500" t="s">
        <v>74</v>
      </c>
      <c r="B97" s="486">
        <v>1</v>
      </c>
      <c r="C97" s="591" t="s">
        <v>114</v>
      </c>
      <c r="D97" s="592">
        <f>D96*$B$87</f>
        <v>21.16</v>
      </c>
      <c r="E97" s="531"/>
      <c r="F97" s="530">
        <f>F96*$B$87</f>
        <v>24.11</v>
      </c>
    </row>
    <row r="98" spans="1:10" ht="19.5" customHeight="1" x14ac:dyDescent="0.3">
      <c r="A98" s="500" t="s">
        <v>76</v>
      </c>
      <c r="B98" s="593">
        <f>(B97/B96)*(B95/B94)*(B93/B92)*(B91/B90)*B89</f>
        <v>50</v>
      </c>
      <c r="C98" s="591" t="s">
        <v>115</v>
      </c>
      <c r="D98" s="594">
        <f>D97*$B$83/100</f>
        <v>21.054200000000002</v>
      </c>
      <c r="E98" s="534"/>
      <c r="F98" s="533">
        <f>F97*$B$83/100</f>
        <v>23.989450000000001</v>
      </c>
    </row>
    <row r="99" spans="1:10" ht="19.5" customHeight="1" x14ac:dyDescent="0.3">
      <c r="A99" s="682" t="s">
        <v>78</v>
      </c>
      <c r="B99" s="697"/>
      <c r="C99" s="591" t="s">
        <v>116</v>
      </c>
      <c r="D99" s="595">
        <f>D98/$B$98</f>
        <v>0.42108400000000001</v>
      </c>
      <c r="E99" s="534"/>
      <c r="F99" s="537">
        <f>F98/$B$98</f>
        <v>0.47978900000000002</v>
      </c>
      <c r="G99" s="596"/>
      <c r="H99" s="526"/>
    </row>
    <row r="100" spans="1:10" ht="19.5" customHeight="1" x14ac:dyDescent="0.3">
      <c r="A100" s="684"/>
      <c r="B100" s="698"/>
      <c r="C100" s="591" t="s">
        <v>80</v>
      </c>
      <c r="D100" s="597">
        <f>$B$56/$B$116</f>
        <v>0.44444444444444442</v>
      </c>
      <c r="F100" s="542"/>
      <c r="G100" s="598"/>
      <c r="H100" s="526"/>
    </row>
    <row r="101" spans="1:10" ht="18.75" x14ac:dyDescent="0.3">
      <c r="C101" s="591" t="s">
        <v>81</v>
      </c>
      <c r="D101" s="592">
        <f>D100*$B$98</f>
        <v>22.222222222222221</v>
      </c>
      <c r="F101" s="542"/>
      <c r="G101" s="596"/>
      <c r="H101" s="526"/>
    </row>
    <row r="102" spans="1:10" ht="19.5" customHeight="1" x14ac:dyDescent="0.3">
      <c r="C102" s="599" t="s">
        <v>82</v>
      </c>
      <c r="D102" s="600">
        <f>D101/B34</f>
        <v>22.222222222222221</v>
      </c>
      <c r="F102" s="546"/>
      <c r="G102" s="596"/>
      <c r="H102" s="526"/>
      <c r="J102" s="601"/>
    </row>
    <row r="103" spans="1:10" ht="18.75" x14ac:dyDescent="0.3">
      <c r="C103" s="602" t="s">
        <v>117</v>
      </c>
      <c r="D103" s="603">
        <f>AVERAGE(E91:E94,G91:G94)</f>
        <v>73667551.077090368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3.7555349042010665E-3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118</v>
      </c>
      <c r="B107" s="499">
        <v>900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66513532</v>
      </c>
      <c r="E108" s="626">
        <f t="shared" ref="E108:E113" si="1">IF(ISBLANK(D108),"-",D108/$D$103*$D$100*$B$116)</f>
        <v>361.15511390026279</v>
      </c>
      <c r="F108" s="653">
        <f t="shared" ref="F108:F113" si="2">IF(ISBLANK(D108), "-", (E108/$B$56)*100)</f>
        <v>90.288778475065698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66418709</v>
      </c>
      <c r="E109" s="627">
        <f t="shared" si="1"/>
        <v>360.64024406346982</v>
      </c>
      <c r="F109" s="654">
        <f t="shared" si="2"/>
        <v>90.160061015867456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66491570</v>
      </c>
      <c r="E110" s="627">
        <f t="shared" si="1"/>
        <v>361.03586465318512</v>
      </c>
      <c r="F110" s="654">
        <f t="shared" si="2"/>
        <v>90.258966163296279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66500596</v>
      </c>
      <c r="E111" s="627">
        <f t="shared" si="1"/>
        <v>361.0848740195508</v>
      </c>
      <c r="F111" s="654">
        <f t="shared" si="2"/>
        <v>90.271218504887699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66574914</v>
      </c>
      <c r="E112" s="627">
        <f t="shared" si="1"/>
        <v>361.48840582650456</v>
      </c>
      <c r="F112" s="654">
        <f t="shared" si="2"/>
        <v>90.37210145662614</v>
      </c>
    </row>
    <row r="113" spans="1:10" ht="27" customHeight="1" x14ac:dyDescent="0.4">
      <c r="A113" s="500" t="s">
        <v>100</v>
      </c>
      <c r="B113" s="501">
        <v>1</v>
      </c>
      <c r="C113" s="648">
        <v>6</v>
      </c>
      <c r="D113" s="650">
        <v>66558350</v>
      </c>
      <c r="E113" s="628">
        <f t="shared" si="1"/>
        <v>361.39846663478278</v>
      </c>
      <c r="F113" s="655">
        <f t="shared" si="2"/>
        <v>90.349616658695695</v>
      </c>
    </row>
    <row r="114" spans="1:10" ht="27" customHeight="1" x14ac:dyDescent="0.4">
      <c r="A114" s="500" t="s">
        <v>101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361.13382818295935</v>
      </c>
      <c r="F115" s="657">
        <f>AVERAGE(F108:F113)</f>
        <v>90.283457045739837</v>
      </c>
    </row>
    <row r="116" spans="1:10" ht="27" customHeight="1" x14ac:dyDescent="0.4">
      <c r="A116" s="500" t="s">
        <v>103</v>
      </c>
      <c r="B116" s="532">
        <f>(B115/B114)*(B113/B112)*(B111/B110)*(B109/B108)*B107</f>
        <v>900</v>
      </c>
      <c r="C116" s="610"/>
      <c r="D116" s="634" t="s">
        <v>84</v>
      </c>
      <c r="E116" s="632">
        <f>STDEV(E108:E113)/E115</f>
        <v>8.3240488274460172E-4</v>
      </c>
      <c r="F116" s="611">
        <f>STDEV(F108:F113)/F115</f>
        <v>8.3240488274460172E-4</v>
      </c>
      <c r="I116" s="474"/>
    </row>
    <row r="117" spans="1:10" ht="27" customHeight="1" x14ac:dyDescent="0.4">
      <c r="A117" s="682" t="s">
        <v>78</v>
      </c>
      <c r="B117" s="683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84"/>
      <c r="B118" s="685"/>
      <c r="C118" s="474"/>
      <c r="D118" s="636"/>
      <c r="E118" s="710" t="s">
        <v>123</v>
      </c>
      <c r="F118" s="711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124</v>
      </c>
      <c r="E119" s="639">
        <f>MIN(E108:E113)</f>
        <v>360.64024406346982</v>
      </c>
      <c r="F119" s="658">
        <f>MIN(F108:F113)</f>
        <v>90.160061015867456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125</v>
      </c>
      <c r="E120" s="640">
        <f>MAX(E108:E113)</f>
        <v>361.48840582650456</v>
      </c>
      <c r="F120" s="659">
        <f>MAX(F108:F113)</f>
        <v>90.37210145662614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686" t="str">
        <f>B26</f>
        <v>Pyrazinamide</v>
      </c>
      <c r="D124" s="686"/>
      <c r="E124" s="574" t="s">
        <v>127</v>
      </c>
      <c r="F124" s="574"/>
      <c r="G124" s="660">
        <f>F115</f>
        <v>90.283457045739837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60">
        <f>MIN(F108:F113)</f>
        <v>90.160061015867456</v>
      </c>
      <c r="E125" s="585" t="s">
        <v>130</v>
      </c>
      <c r="F125" s="660">
        <f>MAX(F108:F113)</f>
        <v>90.37210145662614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687" t="s">
        <v>26</v>
      </c>
      <c r="C127" s="687"/>
      <c r="E127" s="580" t="s">
        <v>27</v>
      </c>
      <c r="F127" s="615"/>
      <c r="G127" s="687" t="s">
        <v>28</v>
      </c>
      <c r="H127" s="687"/>
    </row>
    <row r="128" spans="1:10" ht="69.95" customHeight="1" x14ac:dyDescent="0.3">
      <c r="A128" s="616" t="s">
        <v>29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98" zoomScale="55" zoomScaleNormal="40" zoomScalePageLayoutView="55" workbookViewId="0">
      <selection activeCell="F60" sqref="F60:F63"/>
    </sheetView>
  </sheetViews>
  <sheetFormatPr defaultColWidth="9.140625" defaultRowHeight="13.5" x14ac:dyDescent="0.25"/>
  <cols>
    <col min="1" max="1" width="55.42578125" style="596" customWidth="1"/>
    <col min="2" max="2" width="33.7109375" style="596" customWidth="1"/>
    <col min="3" max="3" width="42.28515625" style="596" customWidth="1"/>
    <col min="4" max="4" width="30.5703125" style="596" customWidth="1"/>
    <col min="5" max="5" width="39.85546875" style="596" customWidth="1"/>
    <col min="6" max="6" width="30.7109375" style="596" customWidth="1"/>
    <col min="7" max="7" width="39.85546875" style="596" customWidth="1"/>
    <col min="8" max="8" width="30" style="596" customWidth="1"/>
    <col min="9" max="9" width="30.28515625" style="596" hidden="1" customWidth="1"/>
    <col min="10" max="10" width="30.42578125" style="596" customWidth="1"/>
    <col min="11" max="11" width="21.28515625" style="596" customWidth="1"/>
    <col min="12" max="12" width="9.140625" style="596"/>
    <col min="13" max="16384" width="9.140625" style="44"/>
  </cols>
  <sheetData>
    <row r="1" spans="1:9" ht="18.75" customHeight="1" x14ac:dyDescent="0.25">
      <c r="A1" s="680" t="s">
        <v>45</v>
      </c>
      <c r="B1" s="680"/>
      <c r="C1" s="680"/>
      <c r="D1" s="680"/>
      <c r="E1" s="680"/>
      <c r="F1" s="680"/>
      <c r="G1" s="680"/>
      <c r="H1" s="680"/>
      <c r="I1" s="680"/>
    </row>
    <row r="2" spans="1:9" ht="18.75" customHeight="1" x14ac:dyDescent="0.25">
      <c r="A2" s="680"/>
      <c r="B2" s="680"/>
      <c r="C2" s="680"/>
      <c r="D2" s="680"/>
      <c r="E2" s="680"/>
      <c r="F2" s="680"/>
      <c r="G2" s="680"/>
      <c r="H2" s="680"/>
      <c r="I2" s="680"/>
    </row>
    <row r="3" spans="1:9" ht="18.75" customHeight="1" x14ac:dyDescent="0.25">
      <c r="A3" s="680"/>
      <c r="B3" s="680"/>
      <c r="C3" s="680"/>
      <c r="D3" s="680"/>
      <c r="E3" s="680"/>
      <c r="F3" s="680"/>
      <c r="G3" s="680"/>
      <c r="H3" s="680"/>
      <c r="I3" s="680"/>
    </row>
    <row r="4" spans="1:9" ht="18.75" customHeight="1" x14ac:dyDescent="0.25">
      <c r="A4" s="680"/>
      <c r="B4" s="680"/>
      <c r="C4" s="680"/>
      <c r="D4" s="680"/>
      <c r="E4" s="680"/>
      <c r="F4" s="680"/>
      <c r="G4" s="680"/>
      <c r="H4" s="680"/>
      <c r="I4" s="680"/>
    </row>
    <row r="5" spans="1:9" ht="18.75" customHeight="1" x14ac:dyDescent="0.25">
      <c r="A5" s="680"/>
      <c r="B5" s="680"/>
      <c r="C5" s="680"/>
      <c r="D5" s="680"/>
      <c r="E5" s="680"/>
      <c r="F5" s="680"/>
      <c r="G5" s="680"/>
      <c r="H5" s="680"/>
      <c r="I5" s="680"/>
    </row>
    <row r="6" spans="1:9" ht="18.75" customHeight="1" x14ac:dyDescent="0.25">
      <c r="A6" s="680"/>
      <c r="B6" s="680"/>
      <c r="C6" s="680"/>
      <c r="D6" s="680"/>
      <c r="E6" s="680"/>
      <c r="F6" s="680"/>
      <c r="G6" s="680"/>
      <c r="H6" s="680"/>
      <c r="I6" s="680"/>
    </row>
    <row r="7" spans="1:9" ht="18.75" customHeight="1" x14ac:dyDescent="0.25">
      <c r="A7" s="680"/>
      <c r="B7" s="680"/>
      <c r="C7" s="680"/>
      <c r="D7" s="680"/>
      <c r="E7" s="680"/>
      <c r="F7" s="680"/>
      <c r="G7" s="680"/>
      <c r="H7" s="680"/>
      <c r="I7" s="680"/>
    </row>
    <row r="8" spans="1:9" x14ac:dyDescent="0.25">
      <c r="A8" s="681" t="s">
        <v>46</v>
      </c>
      <c r="B8" s="681"/>
      <c r="C8" s="681"/>
      <c r="D8" s="681"/>
      <c r="E8" s="681"/>
      <c r="F8" s="681"/>
      <c r="G8" s="681"/>
      <c r="H8" s="681"/>
      <c r="I8" s="681"/>
    </row>
    <row r="9" spans="1:9" x14ac:dyDescent="0.25">
      <c r="A9" s="681"/>
      <c r="B9" s="681"/>
      <c r="C9" s="681"/>
      <c r="D9" s="681"/>
      <c r="E9" s="681"/>
      <c r="F9" s="681"/>
      <c r="G9" s="681"/>
      <c r="H9" s="681"/>
      <c r="I9" s="681"/>
    </row>
    <row r="10" spans="1:9" x14ac:dyDescent="0.25">
      <c r="A10" s="681"/>
      <c r="B10" s="681"/>
      <c r="C10" s="681"/>
      <c r="D10" s="681"/>
      <c r="E10" s="681"/>
      <c r="F10" s="681"/>
      <c r="G10" s="681"/>
      <c r="H10" s="681"/>
      <c r="I10" s="681"/>
    </row>
    <row r="11" spans="1:9" x14ac:dyDescent="0.25">
      <c r="A11" s="681"/>
      <c r="B11" s="681"/>
      <c r="C11" s="681"/>
      <c r="D11" s="681"/>
      <c r="E11" s="681"/>
      <c r="F11" s="681"/>
      <c r="G11" s="681"/>
      <c r="H11" s="681"/>
      <c r="I11" s="681"/>
    </row>
    <row r="12" spans="1:9" x14ac:dyDescent="0.25">
      <c r="A12" s="681"/>
      <c r="B12" s="681"/>
      <c r="C12" s="681"/>
      <c r="D12" s="681"/>
      <c r="E12" s="681"/>
      <c r="F12" s="681"/>
      <c r="G12" s="681"/>
      <c r="H12" s="681"/>
      <c r="I12" s="681"/>
    </row>
    <row r="13" spans="1:9" x14ac:dyDescent="0.25">
      <c r="A13" s="681"/>
      <c r="B13" s="681"/>
      <c r="C13" s="681"/>
      <c r="D13" s="681"/>
      <c r="E13" s="681"/>
      <c r="F13" s="681"/>
      <c r="G13" s="681"/>
      <c r="H13" s="681"/>
      <c r="I13" s="681"/>
    </row>
    <row r="14" spans="1:9" x14ac:dyDescent="0.25">
      <c r="A14" s="681"/>
      <c r="B14" s="681"/>
      <c r="C14" s="681"/>
      <c r="D14" s="681"/>
      <c r="E14" s="681"/>
      <c r="F14" s="681"/>
      <c r="G14" s="681"/>
      <c r="H14" s="681"/>
      <c r="I14" s="681"/>
    </row>
    <row r="15" spans="1:9" ht="19.5" customHeight="1" thickBot="1" x14ac:dyDescent="0.35">
      <c r="A15" s="574"/>
    </row>
    <row r="16" spans="1:9" ht="19.5" customHeight="1" thickBot="1" x14ac:dyDescent="0.35">
      <c r="A16" s="713" t="s">
        <v>31</v>
      </c>
      <c r="B16" s="714"/>
      <c r="C16" s="714"/>
      <c r="D16" s="714"/>
      <c r="E16" s="714"/>
      <c r="F16" s="714"/>
      <c r="G16" s="714"/>
      <c r="H16" s="715"/>
    </row>
    <row r="17" spans="1:14" ht="20.25" customHeight="1" x14ac:dyDescent="0.25">
      <c r="A17" s="716" t="s">
        <v>47</v>
      </c>
      <c r="B17" s="716"/>
      <c r="C17" s="716"/>
      <c r="D17" s="716"/>
      <c r="E17" s="716"/>
      <c r="F17" s="716"/>
      <c r="G17" s="716"/>
      <c r="H17" s="716"/>
    </row>
    <row r="18" spans="1:14" ht="26.25" customHeight="1" x14ac:dyDescent="0.4">
      <c r="A18" s="476" t="s">
        <v>33</v>
      </c>
      <c r="B18" s="712" t="s">
        <v>5</v>
      </c>
      <c r="C18" s="712"/>
      <c r="D18" s="622"/>
      <c r="E18" s="477"/>
      <c r="F18" s="631"/>
      <c r="G18" s="631"/>
      <c r="H18" s="631"/>
    </row>
    <row r="19" spans="1:14" ht="26.25" customHeight="1" x14ac:dyDescent="0.4">
      <c r="A19" s="476" t="s">
        <v>34</v>
      </c>
      <c r="B19" s="663" t="s">
        <v>7</v>
      </c>
      <c r="C19" s="631">
        <v>1</v>
      </c>
      <c r="D19" s="631"/>
      <c r="E19" s="631"/>
      <c r="F19" s="631"/>
      <c r="G19" s="631"/>
      <c r="H19" s="631"/>
    </row>
    <row r="20" spans="1:14" ht="26.25" customHeight="1" x14ac:dyDescent="0.4">
      <c r="A20" s="476" t="s">
        <v>35</v>
      </c>
      <c r="B20" s="717" t="s">
        <v>137</v>
      </c>
      <c r="C20" s="717"/>
      <c r="D20" s="631"/>
      <c r="E20" s="631"/>
      <c r="F20" s="631"/>
      <c r="G20" s="631"/>
      <c r="H20" s="631"/>
    </row>
    <row r="21" spans="1:14" ht="26.25" customHeight="1" x14ac:dyDescent="0.4">
      <c r="A21" s="476" t="s">
        <v>36</v>
      </c>
      <c r="B21" s="717" t="s">
        <v>11</v>
      </c>
      <c r="C21" s="717"/>
      <c r="D21" s="717"/>
      <c r="E21" s="717"/>
      <c r="F21" s="717"/>
      <c r="G21" s="717"/>
      <c r="H21" s="717"/>
      <c r="I21" s="480"/>
    </row>
    <row r="22" spans="1:14" ht="26.25" customHeight="1" x14ac:dyDescent="0.4">
      <c r="A22" s="476" t="s">
        <v>37</v>
      </c>
      <c r="B22" s="481" t="s">
        <v>12</v>
      </c>
      <c r="C22" s="631"/>
      <c r="D22" s="631"/>
      <c r="E22" s="631"/>
      <c r="F22" s="631"/>
      <c r="G22" s="631"/>
      <c r="H22" s="631"/>
    </row>
    <row r="23" spans="1:14" ht="26.25" customHeight="1" x14ac:dyDescent="0.4">
      <c r="A23" s="476" t="s">
        <v>38</v>
      </c>
      <c r="B23" s="481"/>
      <c r="C23" s="631"/>
      <c r="D23" s="631"/>
      <c r="E23" s="631"/>
      <c r="F23" s="631"/>
      <c r="G23" s="631"/>
      <c r="H23" s="631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616" t="s">
        <v>4</v>
      </c>
      <c r="B26" s="712" t="s">
        <v>144</v>
      </c>
      <c r="C26" s="712"/>
    </row>
    <row r="27" spans="1:14" ht="26.25" customHeight="1" x14ac:dyDescent="0.4">
      <c r="A27" s="585" t="s">
        <v>48</v>
      </c>
      <c r="B27" s="718" t="s">
        <v>138</v>
      </c>
      <c r="C27" s="718"/>
    </row>
    <row r="28" spans="1:14" ht="27" customHeight="1" thickBot="1" x14ac:dyDescent="0.45">
      <c r="A28" s="585" t="s">
        <v>6</v>
      </c>
      <c r="B28" s="577">
        <v>100</v>
      </c>
    </row>
    <row r="29" spans="1:14" s="16" customFormat="1" ht="27" customHeight="1" thickBot="1" x14ac:dyDescent="0.45">
      <c r="A29" s="585" t="s">
        <v>49</v>
      </c>
      <c r="B29" s="487">
        <v>0</v>
      </c>
      <c r="C29" s="688" t="s">
        <v>50</v>
      </c>
      <c r="D29" s="689"/>
      <c r="E29" s="689"/>
      <c r="F29" s="689"/>
      <c r="G29" s="690"/>
      <c r="I29" s="488"/>
      <c r="J29" s="488"/>
      <c r="K29" s="488"/>
      <c r="L29" s="488"/>
    </row>
    <row r="30" spans="1:14" s="16" customFormat="1" ht="19.5" customHeight="1" thickBot="1" x14ac:dyDescent="0.35">
      <c r="A30" s="585" t="s">
        <v>51</v>
      </c>
      <c r="B30" s="666">
        <f>B28-B29</f>
        <v>100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6" customFormat="1" ht="27" customHeight="1" thickBot="1" x14ac:dyDescent="0.45">
      <c r="A31" s="585" t="s">
        <v>52</v>
      </c>
      <c r="B31" s="492">
        <v>1</v>
      </c>
      <c r="C31" s="691" t="s">
        <v>53</v>
      </c>
      <c r="D31" s="692"/>
      <c r="E31" s="692"/>
      <c r="F31" s="692"/>
      <c r="G31" s="692"/>
      <c r="H31" s="693"/>
      <c r="I31" s="488"/>
      <c r="J31" s="488"/>
      <c r="K31" s="488"/>
      <c r="L31" s="488"/>
    </row>
    <row r="32" spans="1:14" s="16" customFormat="1" ht="27" customHeight="1" thickBot="1" x14ac:dyDescent="0.45">
      <c r="A32" s="585" t="s">
        <v>54</v>
      </c>
      <c r="B32" s="492">
        <v>1</v>
      </c>
      <c r="C32" s="691" t="s">
        <v>55</v>
      </c>
      <c r="D32" s="692"/>
      <c r="E32" s="692"/>
      <c r="F32" s="692"/>
      <c r="G32" s="692"/>
      <c r="H32" s="693"/>
      <c r="I32" s="488"/>
      <c r="J32" s="488"/>
      <c r="K32" s="488"/>
      <c r="L32" s="493"/>
      <c r="M32" s="493"/>
      <c r="N32" s="494"/>
    </row>
    <row r="33" spans="1:14" s="16" customFormat="1" ht="17.25" customHeight="1" x14ac:dyDescent="0.3">
      <c r="A33" s="5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6" customFormat="1" ht="18.75" x14ac:dyDescent="0.3">
      <c r="A34" s="585" t="s">
        <v>56</v>
      </c>
      <c r="B34" s="497">
        <f>B31/B32</f>
        <v>1</v>
      </c>
      <c r="C34" s="574" t="s">
        <v>57</v>
      </c>
      <c r="D34" s="574"/>
      <c r="E34" s="574"/>
      <c r="F34" s="574"/>
      <c r="G34" s="574"/>
      <c r="I34" s="488"/>
      <c r="J34" s="488"/>
      <c r="K34" s="488"/>
      <c r="L34" s="493"/>
      <c r="M34" s="493"/>
      <c r="N34" s="494"/>
    </row>
    <row r="35" spans="1:14" s="16" customFormat="1" ht="19.5" customHeight="1" thickBot="1" x14ac:dyDescent="0.35">
      <c r="A35" s="585"/>
      <c r="B35" s="666"/>
      <c r="G35" s="574"/>
      <c r="I35" s="488"/>
      <c r="J35" s="488"/>
      <c r="K35" s="488"/>
      <c r="L35" s="493"/>
      <c r="M35" s="493"/>
      <c r="N35" s="494"/>
    </row>
    <row r="36" spans="1:14" s="16" customFormat="1" ht="27" customHeight="1" thickBot="1" x14ac:dyDescent="0.45">
      <c r="A36" s="498" t="s">
        <v>58</v>
      </c>
      <c r="B36" s="499">
        <v>50</v>
      </c>
      <c r="C36" s="574"/>
      <c r="D36" s="694" t="s">
        <v>59</v>
      </c>
      <c r="E36" s="719"/>
      <c r="F36" s="694" t="s">
        <v>60</v>
      </c>
      <c r="G36" s="695"/>
      <c r="J36" s="488"/>
      <c r="K36" s="488"/>
      <c r="L36" s="493"/>
      <c r="M36" s="493"/>
      <c r="N36" s="494"/>
    </row>
    <row r="37" spans="1:14" s="16" customFormat="1" ht="27" customHeight="1" thickBot="1" x14ac:dyDescent="0.45">
      <c r="A37" s="500" t="s">
        <v>61</v>
      </c>
      <c r="B37" s="501">
        <v>1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6" customFormat="1" ht="26.25" customHeight="1" x14ac:dyDescent="0.4">
      <c r="A38" s="500" t="s">
        <v>66</v>
      </c>
      <c r="B38" s="501">
        <v>1</v>
      </c>
      <c r="C38" s="507">
        <v>1</v>
      </c>
      <c r="D38" s="508">
        <v>68562265</v>
      </c>
      <c r="E38" s="509">
        <f>IF(ISBLANK(D38),"-",$D$48/$D$45*D38)</f>
        <v>59619360.869565219</v>
      </c>
      <c r="F38" s="508">
        <v>53345032</v>
      </c>
      <c r="G38" s="510">
        <f>IF(ISBLANK(F38),"-",$D$48/$F$45*F38)</f>
        <v>61269179.173047468</v>
      </c>
      <c r="I38" s="511"/>
      <c r="J38" s="488"/>
      <c r="K38" s="488"/>
      <c r="L38" s="493"/>
      <c r="M38" s="493"/>
      <c r="N38" s="494"/>
    </row>
    <row r="39" spans="1:14" s="16" customFormat="1" ht="26.25" customHeight="1" x14ac:dyDescent="0.4">
      <c r="A39" s="500" t="s">
        <v>67</v>
      </c>
      <c r="B39" s="501">
        <v>1</v>
      </c>
      <c r="C39" s="532">
        <v>2</v>
      </c>
      <c r="D39" s="513">
        <v>68560001</v>
      </c>
      <c r="E39" s="514">
        <f>IF(ISBLANK(D39),"-",$D$48/$D$45*D39)</f>
        <v>59617392.173913039</v>
      </c>
      <c r="F39" s="513">
        <v>52948062</v>
      </c>
      <c r="G39" s="515">
        <f>IF(ISBLANK(F39),"-",$D$48/$F$45*F39)</f>
        <v>60813241.194486983</v>
      </c>
      <c r="I39" s="696">
        <f>ABS((F43/D43*D42)-F42)/D42</f>
        <v>1.7233213589957431E-2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32">
        <v>3</v>
      </c>
      <c r="D40" s="513">
        <v>67832813</v>
      </c>
      <c r="E40" s="514">
        <f>IF(ISBLANK(D40),"-",$D$48/$D$45*D40)</f>
        <v>58985054.782608695</v>
      </c>
      <c r="F40" s="513">
        <v>52410728</v>
      </c>
      <c r="G40" s="515">
        <f>IF(ISBLANK(F40),"-",$D$48/$F$45*F40)</f>
        <v>60196088.820826948</v>
      </c>
      <c r="I40" s="696"/>
      <c r="L40" s="493"/>
      <c r="M40" s="493"/>
      <c r="N40" s="574"/>
    </row>
    <row r="41" spans="1:14" ht="27" customHeight="1" thickBot="1" x14ac:dyDescent="0.45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74"/>
    </row>
    <row r="42" spans="1:14" ht="27" customHeight="1" thickBot="1" x14ac:dyDescent="0.45">
      <c r="A42" s="500" t="s">
        <v>70</v>
      </c>
      <c r="B42" s="501">
        <v>1</v>
      </c>
      <c r="C42" s="522" t="s">
        <v>71</v>
      </c>
      <c r="D42" s="523">
        <f>AVERAGE(D38:D41)</f>
        <v>68318359.666666672</v>
      </c>
      <c r="E42" s="524">
        <f>AVERAGE(E38:E41)</f>
        <v>59407269.275362313</v>
      </c>
      <c r="F42" s="523">
        <f>AVERAGE(F38:F41)</f>
        <v>52901274</v>
      </c>
      <c r="G42" s="525">
        <f>AVERAGE(G38:G41)</f>
        <v>60759503.062787138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17.25</v>
      </c>
      <c r="E43" s="574"/>
      <c r="F43" s="528">
        <v>13.06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17.25</v>
      </c>
      <c r="E44" s="593"/>
      <c r="F44" s="530">
        <f>F43*$B$34</f>
        <v>13.06</v>
      </c>
      <c r="H44" s="526"/>
    </row>
    <row r="45" spans="1:14" ht="19.5" customHeight="1" thickBot="1" x14ac:dyDescent="0.35">
      <c r="A45" s="500" t="s">
        <v>76</v>
      </c>
      <c r="B45" s="532">
        <f>(B44/B43)*(B42/B41)*(B40/B39)*(B38/B37)*B36</f>
        <v>50</v>
      </c>
      <c r="C45" s="529" t="s">
        <v>77</v>
      </c>
      <c r="D45" s="533">
        <f>D44*$B$30/100</f>
        <v>17.25</v>
      </c>
      <c r="E45" s="570"/>
      <c r="F45" s="533">
        <f>F44*$B$30/100</f>
        <v>13.06</v>
      </c>
      <c r="H45" s="526"/>
    </row>
    <row r="46" spans="1:14" ht="19.5" customHeight="1" thickBot="1" x14ac:dyDescent="0.35">
      <c r="A46" s="682" t="s">
        <v>78</v>
      </c>
      <c r="B46" s="683"/>
      <c r="C46" s="529" t="s">
        <v>79</v>
      </c>
      <c r="D46" s="535">
        <f>D45/$B$45</f>
        <v>0.34499999999999997</v>
      </c>
      <c r="E46" s="536"/>
      <c r="F46" s="537">
        <f>F45/$B$45</f>
        <v>0.26119999999999999</v>
      </c>
      <c r="H46" s="526"/>
    </row>
    <row r="47" spans="1:14" ht="27" customHeight="1" thickBot="1" x14ac:dyDescent="0.45">
      <c r="A47" s="684"/>
      <c r="B47" s="685"/>
      <c r="C47" s="538" t="s">
        <v>80</v>
      </c>
      <c r="D47" s="539">
        <v>0.3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15</v>
      </c>
      <c r="F48" s="542"/>
      <c r="H48" s="526"/>
    </row>
    <row r="49" spans="1:12" ht="19.5" customHeight="1" thickBot="1" x14ac:dyDescent="0.35">
      <c r="C49" s="543" t="s">
        <v>82</v>
      </c>
      <c r="D49" s="544">
        <f>D48/B34</f>
        <v>15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60083386.169074722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1.4103463730020917E-2</v>
      </c>
      <c r="F51" s="546"/>
      <c r="H51" s="526"/>
    </row>
    <row r="52" spans="1:12" ht="19.5" customHeight="1" thickBot="1" x14ac:dyDescent="0.35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574" t="s">
        <v>86</v>
      </c>
      <c r="B55" s="553" t="str">
        <f>B21</f>
        <v>RIFAMPICIN 150mg, ISONIAZID 75mg, PYRAZINAMIDE 400mg &amp; ETHAMBUTOL HCl 275mg</v>
      </c>
    </row>
    <row r="56" spans="1:12" ht="26.25" customHeight="1" x14ac:dyDescent="0.4">
      <c r="A56" s="553" t="s">
        <v>87</v>
      </c>
      <c r="B56" s="554">
        <v>275</v>
      </c>
      <c r="C56" s="574" t="str">
        <f>B20</f>
        <v>ETHAMBUTOL HCl</v>
      </c>
      <c r="H56" s="593"/>
    </row>
    <row r="57" spans="1:12" ht="18.75" x14ac:dyDescent="0.3">
      <c r="A57" s="553" t="s">
        <v>88</v>
      </c>
      <c r="B57" s="623">
        <f>Uniformity!C46</f>
        <v>1141.0844999999997</v>
      </c>
      <c r="H57" s="593"/>
    </row>
    <row r="58" spans="1:12" ht="19.5" customHeight="1" thickBot="1" x14ac:dyDescent="0.35">
      <c r="H58" s="593"/>
    </row>
    <row r="59" spans="1:12" s="16" customFormat="1" ht="27" customHeight="1" thickBot="1" x14ac:dyDescent="0.45">
      <c r="A59" s="498" t="s">
        <v>89</v>
      </c>
      <c r="B59" s="499">
        <v>250</v>
      </c>
      <c r="C59" s="574"/>
      <c r="D59" s="556" t="s">
        <v>90</v>
      </c>
      <c r="E59" s="646" t="s">
        <v>62</v>
      </c>
      <c r="F59" s="646" t="s">
        <v>63</v>
      </c>
      <c r="G59" s="646" t="s">
        <v>91</v>
      </c>
      <c r="H59" s="502" t="s">
        <v>92</v>
      </c>
      <c r="L59" s="488"/>
    </row>
    <row r="60" spans="1:12" s="16" customFormat="1" ht="26.25" customHeight="1" x14ac:dyDescent="0.4">
      <c r="A60" s="500" t="s">
        <v>93</v>
      </c>
      <c r="B60" s="501">
        <v>5</v>
      </c>
      <c r="C60" s="699" t="s">
        <v>94</v>
      </c>
      <c r="D60" s="702">
        <f>Rifampicin!D60</f>
        <v>1101.26</v>
      </c>
      <c r="E60" s="651">
        <v>1</v>
      </c>
      <c r="F60" s="559"/>
      <c r="G60" s="624" t="str">
        <f>IF(ISBLANK(F60),"-",(F60/$D$50*$D$47*$B$68)*($B$57/$D$60))</f>
        <v>-</v>
      </c>
      <c r="H60" s="642" t="str">
        <f t="shared" ref="H60:H71" si="0">IF(ISBLANK(F60),"-",(G60/$B$56)*100)</f>
        <v>-</v>
      </c>
      <c r="L60" s="488"/>
    </row>
    <row r="61" spans="1:12" s="16" customFormat="1" ht="26.25" customHeight="1" x14ac:dyDescent="0.4">
      <c r="A61" s="500" t="s">
        <v>95</v>
      </c>
      <c r="B61" s="501">
        <v>20</v>
      </c>
      <c r="C61" s="700"/>
      <c r="D61" s="703"/>
      <c r="E61" s="647">
        <v>2</v>
      </c>
      <c r="F61" s="513"/>
      <c r="G61" s="625" t="str">
        <f>IF(ISBLANK(F61),"-",(F61/$D$50*$D$47*$B$68)*($B$57/$D$60))</f>
        <v>-</v>
      </c>
      <c r="H61" s="643" t="str">
        <f t="shared" si="0"/>
        <v>-</v>
      </c>
      <c r="L61" s="488"/>
    </row>
    <row r="62" spans="1:12" s="16" customFormat="1" ht="26.25" customHeight="1" x14ac:dyDescent="0.4">
      <c r="A62" s="500" t="s">
        <v>96</v>
      </c>
      <c r="B62" s="501">
        <v>1</v>
      </c>
      <c r="C62" s="700"/>
      <c r="D62" s="703"/>
      <c r="E62" s="647">
        <v>3</v>
      </c>
      <c r="F62" s="561"/>
      <c r="G62" s="625" t="str">
        <f>IF(ISBLANK(F62),"-",(F62/$D$50*$D$47*$B$68)*($B$57/$D$60))</f>
        <v>-</v>
      </c>
      <c r="H62" s="643" t="str">
        <f t="shared" si="0"/>
        <v>-</v>
      </c>
      <c r="L62" s="488"/>
    </row>
    <row r="63" spans="1:12" ht="27" customHeight="1" thickBot="1" x14ac:dyDescent="0.45">
      <c r="A63" s="500" t="s">
        <v>97</v>
      </c>
      <c r="B63" s="501">
        <v>1</v>
      </c>
      <c r="C63" s="709"/>
      <c r="D63" s="704"/>
      <c r="E63" s="648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9" t="s">
        <v>99</v>
      </c>
      <c r="D64" s="702">
        <f>Rifampicin!D64</f>
        <v>1139.8599999999999</v>
      </c>
      <c r="E64" s="651">
        <v>1</v>
      </c>
      <c r="F64" s="559">
        <v>52220461</v>
      </c>
      <c r="G64" s="624">
        <f>IF(ISBLANK(F64),"-",(F64/$D$50*$D$47*$B$68)*($B$57/$D$64))</f>
        <v>261.02003770368901</v>
      </c>
      <c r="H64" s="642">
        <f t="shared" si="0"/>
        <v>94.916377346795997</v>
      </c>
    </row>
    <row r="65" spans="1:8" ht="26.25" customHeight="1" x14ac:dyDescent="0.4">
      <c r="A65" s="500" t="s">
        <v>100</v>
      </c>
      <c r="B65" s="501">
        <v>1</v>
      </c>
      <c r="C65" s="700"/>
      <c r="D65" s="703"/>
      <c r="E65" s="647">
        <v>2</v>
      </c>
      <c r="F65" s="513">
        <v>51821615</v>
      </c>
      <c r="G65" s="625">
        <f>IF(ISBLANK(F65),"-",(F65/$D$50*$D$47*$B$68)*($B$57/$D$64))</f>
        <v>259.02643603943005</v>
      </c>
      <c r="H65" s="643">
        <f t="shared" si="0"/>
        <v>94.19143128706547</v>
      </c>
    </row>
    <row r="66" spans="1:8" ht="26.25" customHeight="1" x14ac:dyDescent="0.4">
      <c r="A66" s="500" t="s">
        <v>101</v>
      </c>
      <c r="B66" s="501">
        <v>1</v>
      </c>
      <c r="C66" s="700"/>
      <c r="D66" s="703"/>
      <c r="E66" s="647">
        <v>3</v>
      </c>
      <c r="F66" s="513">
        <v>51356197</v>
      </c>
      <c r="G66" s="625">
        <f>IF(ISBLANK(F66),"-",(F66/$D$50*$D$47*$B$68)*($B$57/$D$64))</f>
        <v>256.70007925165731</v>
      </c>
      <c r="H66" s="643">
        <f t="shared" si="0"/>
        <v>93.34548336423903</v>
      </c>
    </row>
    <row r="67" spans="1:8" ht="27" customHeight="1" thickBot="1" x14ac:dyDescent="0.45">
      <c r="A67" s="500" t="s">
        <v>102</v>
      </c>
      <c r="B67" s="501">
        <v>1</v>
      </c>
      <c r="C67" s="709"/>
      <c r="D67" s="704"/>
      <c r="E67" s="648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1000</v>
      </c>
      <c r="C68" s="699" t="s">
        <v>104</v>
      </c>
      <c r="D68" s="702">
        <f>Rifampicin!D68</f>
        <v>1137.67</v>
      </c>
      <c r="E68" s="651">
        <v>1</v>
      </c>
      <c r="F68" s="559">
        <v>52064440</v>
      </c>
      <c r="G68" s="624">
        <f>IF(ISBLANK(F68),"-",(F68/$D$50*$D$47*$B$68)*($B$57/$D$68))</f>
        <v>260.74113746629604</v>
      </c>
      <c r="H68" s="643">
        <f t="shared" si="0"/>
        <v>94.814959078653104</v>
      </c>
    </row>
    <row r="69" spans="1:8" ht="27" customHeight="1" thickBot="1" x14ac:dyDescent="0.45">
      <c r="A69" s="548" t="s">
        <v>105</v>
      </c>
      <c r="B69" s="565">
        <f>(D47*B68)/B56*B57</f>
        <v>1244.8194545454542</v>
      </c>
      <c r="C69" s="700"/>
      <c r="D69" s="703"/>
      <c r="E69" s="647">
        <v>2</v>
      </c>
      <c r="F69" s="513">
        <v>51603279</v>
      </c>
      <c r="G69" s="625">
        <f>IF(ISBLANK(F69),"-",(F69/$D$50*$D$47*$B$68)*($B$57/$D$68))</f>
        <v>258.43162172589638</v>
      </c>
      <c r="H69" s="643">
        <f t="shared" si="0"/>
        <v>93.975135173053232</v>
      </c>
    </row>
    <row r="70" spans="1:8" ht="26.25" customHeight="1" x14ac:dyDescent="0.4">
      <c r="A70" s="705" t="s">
        <v>78</v>
      </c>
      <c r="B70" s="706"/>
      <c r="C70" s="700"/>
      <c r="D70" s="703"/>
      <c r="E70" s="647">
        <v>3</v>
      </c>
      <c r="F70" s="513">
        <v>51141160</v>
      </c>
      <c r="G70" s="625">
        <f>IF(ISBLANK(F70),"-",(F70/$D$50*$D$47*$B$68)*($B$57/$D$68))</f>
        <v>256.11730827693219</v>
      </c>
      <c r="H70" s="643">
        <f t="shared" si="0"/>
        <v>93.133566646157163</v>
      </c>
    </row>
    <row r="71" spans="1:8" ht="27" customHeight="1" thickBot="1" x14ac:dyDescent="0.45">
      <c r="A71" s="707"/>
      <c r="B71" s="708"/>
      <c r="C71" s="701"/>
      <c r="D71" s="704"/>
      <c r="E71" s="648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93"/>
      <c r="B72" s="593"/>
      <c r="C72" s="593"/>
      <c r="D72" s="593"/>
      <c r="E72" s="593"/>
      <c r="F72" s="568" t="s">
        <v>71</v>
      </c>
      <c r="G72" s="630">
        <f>AVERAGE(G60:G71)</f>
        <v>258.67277007731684</v>
      </c>
      <c r="H72" s="645">
        <f>AVERAGE(H60:H71)</f>
        <v>94.062825482660671</v>
      </c>
    </row>
    <row r="73" spans="1:8" ht="26.25" customHeight="1" x14ac:dyDescent="0.4">
      <c r="C73" s="593"/>
      <c r="D73" s="593"/>
      <c r="E73" s="593"/>
      <c r="F73" s="569" t="s">
        <v>84</v>
      </c>
      <c r="G73" s="632">
        <f>STDEV(G60:G71)/G72</f>
        <v>7.8073590725799983E-3</v>
      </c>
      <c r="H73" s="632">
        <f>STDEV(H60:H71)/H72</f>
        <v>7.8073590725799532E-3</v>
      </c>
    </row>
    <row r="74" spans="1:8" ht="27" customHeight="1" thickBot="1" x14ac:dyDescent="0.45">
      <c r="A74" s="593"/>
      <c r="B74" s="593"/>
      <c r="C74" s="593"/>
      <c r="D74" s="593"/>
      <c r="E74" s="570"/>
      <c r="F74" s="571" t="s">
        <v>20</v>
      </c>
      <c r="G74" s="572">
        <f>COUNT(G60:G71)</f>
        <v>6</v>
      </c>
      <c r="H74" s="572">
        <f>COUNT(H60:H71)</f>
        <v>6</v>
      </c>
    </row>
    <row r="76" spans="1:8" ht="26.25" customHeight="1" x14ac:dyDescent="0.4">
      <c r="A76" s="616" t="s">
        <v>106</v>
      </c>
      <c r="B76" s="585" t="s">
        <v>107</v>
      </c>
      <c r="C76" s="686" t="str">
        <f>B26</f>
        <v>Ethambutol HCl</v>
      </c>
      <c r="D76" s="686"/>
      <c r="E76" s="574" t="s">
        <v>108</v>
      </c>
      <c r="F76" s="574"/>
      <c r="G76" s="661">
        <f>H72</f>
        <v>94.062825482660671</v>
      </c>
      <c r="H76" s="66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616" t="s">
        <v>4</v>
      </c>
      <c r="B79" s="720" t="str">
        <f>B26</f>
        <v>Ethambutol HCl</v>
      </c>
      <c r="C79" s="720"/>
    </row>
    <row r="80" spans="1:8" ht="26.25" customHeight="1" x14ac:dyDescent="0.4">
      <c r="A80" s="585" t="s">
        <v>48</v>
      </c>
      <c r="B80" s="720" t="str">
        <f>B27</f>
        <v>E12-3</v>
      </c>
      <c r="C80" s="720"/>
    </row>
    <row r="81" spans="1:12" ht="27" customHeight="1" thickBot="1" x14ac:dyDescent="0.45">
      <c r="A81" s="585" t="s">
        <v>6</v>
      </c>
      <c r="B81" s="577">
        <f>B28</f>
        <v>100</v>
      </c>
    </row>
    <row r="82" spans="1:12" s="16" customFormat="1" ht="27" customHeight="1" thickBot="1" x14ac:dyDescent="0.45">
      <c r="A82" s="585" t="s">
        <v>49</v>
      </c>
      <c r="B82" s="487">
        <v>0</v>
      </c>
      <c r="C82" s="688" t="s">
        <v>50</v>
      </c>
      <c r="D82" s="689"/>
      <c r="E82" s="689"/>
      <c r="F82" s="689"/>
      <c r="G82" s="690"/>
      <c r="I82" s="488"/>
      <c r="J82" s="488"/>
      <c r="K82" s="488"/>
      <c r="L82" s="488"/>
    </row>
    <row r="83" spans="1:12" s="16" customFormat="1" ht="19.5" customHeight="1" thickBot="1" x14ac:dyDescent="0.35">
      <c r="A83" s="585" t="s">
        <v>51</v>
      </c>
      <c r="B83" s="666">
        <f>B81-B82</f>
        <v>100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6" customFormat="1" ht="27" customHeight="1" thickBot="1" x14ac:dyDescent="0.45">
      <c r="A84" s="585" t="s">
        <v>52</v>
      </c>
      <c r="B84" s="492">
        <v>1</v>
      </c>
      <c r="C84" s="691" t="s">
        <v>111</v>
      </c>
      <c r="D84" s="692"/>
      <c r="E84" s="692"/>
      <c r="F84" s="692"/>
      <c r="G84" s="692"/>
      <c r="H84" s="693"/>
      <c r="I84" s="488"/>
      <c r="J84" s="488"/>
      <c r="K84" s="488"/>
      <c r="L84" s="488"/>
    </row>
    <row r="85" spans="1:12" s="16" customFormat="1" ht="27" customHeight="1" thickBot="1" x14ac:dyDescent="0.45">
      <c r="A85" s="585" t="s">
        <v>54</v>
      </c>
      <c r="B85" s="492">
        <v>1</v>
      </c>
      <c r="C85" s="691" t="s">
        <v>112</v>
      </c>
      <c r="D85" s="692"/>
      <c r="E85" s="692"/>
      <c r="F85" s="692"/>
      <c r="G85" s="692"/>
      <c r="H85" s="693"/>
      <c r="I85" s="488"/>
      <c r="J85" s="488"/>
      <c r="K85" s="488"/>
      <c r="L85" s="488"/>
    </row>
    <row r="86" spans="1:12" s="16" customFormat="1" ht="18.75" x14ac:dyDescent="0.3">
      <c r="A86" s="5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6" customFormat="1" ht="18.75" x14ac:dyDescent="0.3">
      <c r="A87" s="585" t="s">
        <v>56</v>
      </c>
      <c r="B87" s="497">
        <f>B84/B85</f>
        <v>1</v>
      </c>
      <c r="C87" s="574" t="s">
        <v>57</v>
      </c>
      <c r="D87" s="574"/>
      <c r="E87" s="574"/>
      <c r="F87" s="574"/>
      <c r="G87" s="574"/>
      <c r="I87" s="488"/>
      <c r="J87" s="488"/>
      <c r="K87" s="488"/>
      <c r="L87" s="488"/>
    </row>
    <row r="88" spans="1:12" ht="19.5" customHeight="1" thickBot="1" x14ac:dyDescent="0.35">
      <c r="A88" s="483"/>
      <c r="B88" s="483"/>
    </row>
    <row r="89" spans="1:12" ht="27" customHeight="1" thickBot="1" x14ac:dyDescent="0.45">
      <c r="A89" s="498" t="s">
        <v>58</v>
      </c>
      <c r="B89" s="499">
        <v>50</v>
      </c>
      <c r="D89" s="664" t="s">
        <v>59</v>
      </c>
      <c r="E89" s="665"/>
      <c r="F89" s="694" t="s">
        <v>60</v>
      </c>
      <c r="G89" s="695"/>
    </row>
    <row r="90" spans="1:12" ht="27" customHeight="1" thickBot="1" x14ac:dyDescent="0.45">
      <c r="A90" s="500" t="s">
        <v>61</v>
      </c>
      <c r="B90" s="501">
        <v>1</v>
      </c>
      <c r="C90" s="667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68562265</v>
      </c>
      <c r="E91" s="509">
        <f>IF(ISBLANK(D91),"-",$D$101/$D$98*D91)</f>
        <v>60723423.107890502</v>
      </c>
      <c r="F91" s="508">
        <v>53345032</v>
      </c>
      <c r="G91" s="510">
        <f>IF(ISBLANK(F91),"-",$D$101/$F$98*F91)</f>
        <v>62403793.602177985</v>
      </c>
      <c r="I91" s="511"/>
    </row>
    <row r="92" spans="1:12" ht="26.25" customHeight="1" x14ac:dyDescent="0.4">
      <c r="A92" s="500" t="s">
        <v>67</v>
      </c>
      <c r="B92" s="501">
        <v>1</v>
      </c>
      <c r="C92" s="593">
        <v>2</v>
      </c>
      <c r="D92" s="513">
        <v>68560001</v>
      </c>
      <c r="E92" s="514">
        <f>IF(ISBLANK(D92),"-",$D$101/$D$98*D92)</f>
        <v>60721417.954911433</v>
      </c>
      <c r="F92" s="513">
        <v>52948062</v>
      </c>
      <c r="G92" s="515">
        <f>IF(ISBLANK(F92),"-",$D$101/$F$98*F92)</f>
        <v>61939412.327718228</v>
      </c>
      <c r="I92" s="696">
        <f>ABS((F96/D96*D95)-F95)/D95</f>
        <v>1.7233213589957431E-2</v>
      </c>
    </row>
    <row r="93" spans="1:12" ht="26.25" customHeight="1" x14ac:dyDescent="0.4">
      <c r="A93" s="500" t="s">
        <v>68</v>
      </c>
      <c r="B93" s="501">
        <v>1</v>
      </c>
      <c r="C93" s="593">
        <v>3</v>
      </c>
      <c r="D93" s="513">
        <v>67832813</v>
      </c>
      <c r="E93" s="514">
        <f>IF(ISBLANK(D93),"-",$D$101/$D$98*D93)</f>
        <v>60077370.611916266</v>
      </c>
      <c r="F93" s="513">
        <v>52410728</v>
      </c>
      <c r="G93" s="515">
        <f>IF(ISBLANK(F93),"-",$D$101/$F$98*F93)</f>
        <v>61310831.206397824</v>
      </c>
      <c r="I93" s="696"/>
    </row>
    <row r="94" spans="1:12" ht="27" customHeight="1" thickBot="1" x14ac:dyDescent="0.45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thickBot="1" x14ac:dyDescent="0.45">
      <c r="A95" s="500" t="s">
        <v>70</v>
      </c>
      <c r="B95" s="501">
        <v>1</v>
      </c>
      <c r="C95" s="585" t="s">
        <v>71</v>
      </c>
      <c r="D95" s="586">
        <f>AVERAGE(D91:D94)</f>
        <v>68318359.666666672</v>
      </c>
      <c r="E95" s="524">
        <f>AVERAGE(E91:E94)</f>
        <v>60507403.891572736</v>
      </c>
      <c r="F95" s="587">
        <f>AVERAGE(F91:F94)</f>
        <v>52901274</v>
      </c>
      <c r="G95" s="588">
        <f>AVERAGE(G91:G94)</f>
        <v>61884679.045431346</v>
      </c>
    </row>
    <row r="96" spans="1:12" ht="26.25" customHeight="1" x14ac:dyDescent="0.4">
      <c r="A96" s="500" t="s">
        <v>72</v>
      </c>
      <c r="B96" s="577">
        <v>1</v>
      </c>
      <c r="C96" s="589" t="s">
        <v>113</v>
      </c>
      <c r="D96" s="590">
        <v>17.25</v>
      </c>
      <c r="E96" s="574"/>
      <c r="F96" s="528">
        <v>13.06</v>
      </c>
    </row>
    <row r="97" spans="1:10" ht="26.25" customHeight="1" x14ac:dyDescent="0.4">
      <c r="A97" s="500" t="s">
        <v>74</v>
      </c>
      <c r="B97" s="577">
        <v>1</v>
      </c>
      <c r="C97" s="591" t="s">
        <v>114</v>
      </c>
      <c r="D97" s="592">
        <f>D96*$B$87</f>
        <v>17.25</v>
      </c>
      <c r="E97" s="593"/>
      <c r="F97" s="530">
        <f>F96*$B$87</f>
        <v>13.06</v>
      </c>
    </row>
    <row r="98" spans="1:10" ht="19.5" customHeight="1" thickBot="1" x14ac:dyDescent="0.35">
      <c r="A98" s="500" t="s">
        <v>76</v>
      </c>
      <c r="B98" s="593">
        <f>(B97/B96)*(B95/B94)*(B93/B92)*(B91/B90)*B89</f>
        <v>50</v>
      </c>
      <c r="C98" s="591" t="s">
        <v>115</v>
      </c>
      <c r="D98" s="594">
        <f>D97*$B$83/100</f>
        <v>17.25</v>
      </c>
      <c r="E98" s="570"/>
      <c r="F98" s="533">
        <f>F97*$B$83/100</f>
        <v>13.06</v>
      </c>
    </row>
    <row r="99" spans="1:10" ht="19.5" customHeight="1" thickBot="1" x14ac:dyDescent="0.35">
      <c r="A99" s="682" t="s">
        <v>78</v>
      </c>
      <c r="B99" s="697"/>
      <c r="C99" s="591" t="s">
        <v>116</v>
      </c>
      <c r="D99" s="595">
        <f>D98/$B$98</f>
        <v>0.34499999999999997</v>
      </c>
      <c r="E99" s="570"/>
      <c r="F99" s="537">
        <f>F98/$B$98</f>
        <v>0.26119999999999999</v>
      </c>
      <c r="H99" s="526"/>
    </row>
    <row r="100" spans="1:10" ht="19.5" customHeight="1" thickBot="1" x14ac:dyDescent="0.35">
      <c r="A100" s="684"/>
      <c r="B100" s="698"/>
      <c r="C100" s="591" t="s">
        <v>80</v>
      </c>
      <c r="D100" s="597">
        <f>$B$56/$B$116</f>
        <v>0.30555555555555558</v>
      </c>
      <c r="F100" s="542"/>
      <c r="G100" s="604"/>
      <c r="H100" s="526"/>
    </row>
    <row r="101" spans="1:10" ht="18.75" x14ac:dyDescent="0.3">
      <c r="C101" s="591" t="s">
        <v>81</v>
      </c>
      <c r="D101" s="592">
        <f>D100*$B$98</f>
        <v>15.277777777777779</v>
      </c>
      <c r="F101" s="542"/>
      <c r="H101" s="526"/>
    </row>
    <row r="102" spans="1:10" ht="19.5" customHeight="1" thickBot="1" x14ac:dyDescent="0.35">
      <c r="C102" s="599" t="s">
        <v>82</v>
      </c>
      <c r="D102" s="600">
        <f>D101/B34</f>
        <v>15.277777777777779</v>
      </c>
      <c r="F102" s="546"/>
      <c r="H102" s="526"/>
      <c r="J102" s="601"/>
    </row>
    <row r="103" spans="1:10" ht="18.75" x14ac:dyDescent="0.3">
      <c r="C103" s="602" t="s">
        <v>117</v>
      </c>
      <c r="D103" s="603">
        <f>AVERAGE(E91:E94,G91:G94)</f>
        <v>61196041.468502037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1.4103463730020947E-2</v>
      </c>
      <c r="F104" s="546"/>
      <c r="H104" s="526"/>
      <c r="J104" s="605"/>
    </row>
    <row r="105" spans="1:10" ht="19.5" customHeight="1" thickBot="1" x14ac:dyDescent="0.35">
      <c r="C105" s="571" t="s">
        <v>20</v>
      </c>
      <c r="D105" s="607">
        <f>COUNT(E91:E94,G91:G94)</f>
        <v>6</v>
      </c>
      <c r="F105" s="546"/>
      <c r="H105" s="526"/>
      <c r="J105" s="605"/>
    </row>
    <row r="106" spans="1:10" ht="19.5" customHeight="1" thickBot="1" x14ac:dyDescent="0.35">
      <c r="A106" s="550"/>
      <c r="B106" s="550"/>
      <c r="C106" s="550"/>
      <c r="D106" s="550"/>
      <c r="E106" s="550"/>
    </row>
    <row r="107" spans="1:10" ht="27" customHeight="1" thickBot="1" x14ac:dyDescent="0.45">
      <c r="A107" s="498" t="s">
        <v>118</v>
      </c>
      <c r="B107" s="499">
        <v>900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51067718</v>
      </c>
      <c r="E108" s="626">
        <f t="shared" ref="E108:E113" si="1">IF(ISBLANK(D108),"-",D108/$D$103*$D$100*$B$116)</f>
        <v>229.48579863990605</v>
      </c>
      <c r="F108" s="653">
        <f t="shared" ref="F108:F113" si="2">IF(ISBLANK(D108), "-", (E108/$B$56)*100)</f>
        <v>83.449381323602196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50801756</v>
      </c>
      <c r="E109" s="627">
        <f t="shared" si="1"/>
        <v>228.29063064791032</v>
      </c>
      <c r="F109" s="656">
        <f t="shared" si="2"/>
        <v>83.014774781058293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50941947</v>
      </c>
      <c r="E110" s="627">
        <f t="shared" si="1"/>
        <v>228.92061461541653</v>
      </c>
      <c r="F110" s="656">
        <f t="shared" si="2"/>
        <v>83.24385986015146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51152838</v>
      </c>
      <c r="E111" s="627">
        <f t="shared" si="1"/>
        <v>229.86830704140206</v>
      </c>
      <c r="F111" s="656">
        <f t="shared" si="2"/>
        <v>83.588475287782572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51782902</v>
      </c>
      <c r="E112" s="627">
        <f t="shared" si="1"/>
        <v>232.69966011330268</v>
      </c>
      <c r="F112" s="656">
        <f t="shared" si="2"/>
        <v>84.618058223019148</v>
      </c>
    </row>
    <row r="113" spans="1:10" ht="27" customHeight="1" thickBot="1" x14ac:dyDescent="0.45">
      <c r="A113" s="500" t="s">
        <v>100</v>
      </c>
      <c r="B113" s="501">
        <v>1</v>
      </c>
      <c r="C113" s="648">
        <v>6</v>
      </c>
      <c r="D113" s="650">
        <v>51236154</v>
      </c>
      <c r="E113" s="628">
        <f t="shared" si="1"/>
        <v>230.24270870938895</v>
      </c>
      <c r="F113" s="655">
        <f t="shared" si="2"/>
        <v>83.724621348868709</v>
      </c>
    </row>
    <row r="114" spans="1:10" ht="27" customHeight="1" thickBot="1" x14ac:dyDescent="0.45">
      <c r="A114" s="500" t="s">
        <v>101</v>
      </c>
      <c r="B114" s="501">
        <v>1</v>
      </c>
      <c r="C114" s="609"/>
      <c r="D114" s="593"/>
      <c r="E114" s="5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229.91795329455445</v>
      </c>
      <c r="F115" s="657">
        <f>AVERAGE(F108:F113)</f>
        <v>83.606528470747065</v>
      </c>
    </row>
    <row r="116" spans="1:10" ht="27" customHeight="1" thickBot="1" x14ac:dyDescent="0.45">
      <c r="A116" s="500" t="s">
        <v>103</v>
      </c>
      <c r="B116" s="532">
        <f>(B115/B114)*(B113/B112)*(B111/B110)*(B109/B108)*B107</f>
        <v>900</v>
      </c>
      <c r="C116" s="610"/>
      <c r="D116" s="634" t="s">
        <v>84</v>
      </c>
      <c r="E116" s="632">
        <f>STDEV(E108:E113)/E115</f>
        <v>6.6462829951757707E-3</v>
      </c>
      <c r="F116" s="611">
        <f>STDEV(F108:F113)/F115</f>
        <v>6.6462829951757472E-3</v>
      </c>
      <c r="I116" s="574"/>
    </row>
    <row r="117" spans="1:10" ht="27" customHeight="1" thickBot="1" x14ac:dyDescent="0.45">
      <c r="A117" s="682" t="s">
        <v>78</v>
      </c>
      <c r="B117" s="683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574"/>
      <c r="J117" s="605"/>
    </row>
    <row r="118" spans="1:10" ht="26.25" customHeight="1" thickBot="1" x14ac:dyDescent="0.35">
      <c r="A118" s="684"/>
      <c r="B118" s="685"/>
      <c r="C118" s="574"/>
      <c r="D118" s="636"/>
      <c r="E118" s="710" t="s">
        <v>123</v>
      </c>
      <c r="F118" s="711"/>
      <c r="G118" s="574"/>
      <c r="H118" s="574"/>
      <c r="I118" s="574"/>
    </row>
    <row r="119" spans="1:10" ht="25.5" customHeight="1" x14ac:dyDescent="0.4">
      <c r="A119" s="621"/>
      <c r="B119" s="496"/>
      <c r="C119" s="574"/>
      <c r="D119" s="634" t="s">
        <v>124</v>
      </c>
      <c r="E119" s="639">
        <f>MIN(E108:E113)</f>
        <v>228.29063064791032</v>
      </c>
      <c r="F119" s="658">
        <f>MIN(F108:F113)</f>
        <v>83.014774781058293</v>
      </c>
      <c r="G119" s="574"/>
      <c r="H119" s="574"/>
      <c r="I119" s="574"/>
    </row>
    <row r="120" spans="1:10" ht="24" customHeight="1" thickBot="1" x14ac:dyDescent="0.45">
      <c r="A120" s="621"/>
      <c r="B120" s="496"/>
      <c r="C120" s="574"/>
      <c r="D120" s="543" t="s">
        <v>125</v>
      </c>
      <c r="E120" s="640">
        <f>MAX(E108:E113)</f>
        <v>232.69966011330268</v>
      </c>
      <c r="F120" s="659">
        <f>MAX(F108:F113)</f>
        <v>84.618058223019148</v>
      </c>
      <c r="G120" s="574"/>
      <c r="H120" s="574"/>
      <c r="I120" s="574"/>
    </row>
    <row r="121" spans="1:10" ht="27" customHeight="1" x14ac:dyDescent="0.3">
      <c r="A121" s="621"/>
      <c r="B121" s="496"/>
      <c r="C121" s="574"/>
      <c r="D121" s="574"/>
      <c r="E121" s="574"/>
      <c r="F121" s="593"/>
      <c r="G121" s="574"/>
      <c r="H121" s="574"/>
      <c r="I121" s="574"/>
    </row>
    <row r="122" spans="1:10" ht="25.5" customHeight="1" x14ac:dyDescent="0.3">
      <c r="A122" s="621"/>
      <c r="B122" s="496"/>
      <c r="C122" s="574"/>
      <c r="D122" s="574"/>
      <c r="E122" s="574"/>
      <c r="F122" s="593"/>
      <c r="G122" s="574"/>
      <c r="H122" s="574"/>
      <c r="I122" s="574"/>
    </row>
    <row r="123" spans="1:10" ht="18.75" x14ac:dyDescent="0.3">
      <c r="A123" s="621"/>
      <c r="B123" s="496"/>
      <c r="C123" s="574"/>
      <c r="D123" s="574"/>
      <c r="E123" s="574"/>
      <c r="F123" s="593"/>
      <c r="G123" s="574"/>
      <c r="H123" s="574"/>
      <c r="I123" s="574"/>
    </row>
    <row r="124" spans="1:10" ht="45.75" customHeight="1" x14ac:dyDescent="0.65">
      <c r="A124" s="616" t="s">
        <v>106</v>
      </c>
      <c r="B124" s="585" t="s">
        <v>126</v>
      </c>
      <c r="C124" s="686" t="str">
        <f>B26</f>
        <v>Ethambutol HCl</v>
      </c>
      <c r="D124" s="686"/>
      <c r="E124" s="574" t="s">
        <v>127</v>
      </c>
      <c r="F124" s="574"/>
      <c r="G124" s="660">
        <f>F115</f>
        <v>83.606528470747065</v>
      </c>
      <c r="H124" s="574"/>
      <c r="I124" s="574"/>
    </row>
    <row r="125" spans="1:10" ht="45.75" customHeight="1" x14ac:dyDescent="0.65">
      <c r="A125" s="616"/>
      <c r="B125" s="585" t="s">
        <v>128</v>
      </c>
      <c r="C125" s="585" t="s">
        <v>129</v>
      </c>
      <c r="D125" s="660">
        <f>MIN(F108:F113)</f>
        <v>83.014774781058293</v>
      </c>
      <c r="E125" s="585" t="s">
        <v>130</v>
      </c>
      <c r="F125" s="660">
        <f>MAX(F108:F113)</f>
        <v>84.618058223019148</v>
      </c>
      <c r="G125" s="575"/>
      <c r="H125" s="574"/>
      <c r="I125" s="574"/>
    </row>
    <row r="126" spans="1:10" ht="19.5" customHeight="1" thickBot="1" x14ac:dyDescent="0.35">
      <c r="A126" s="668"/>
      <c r="B126" s="668"/>
      <c r="C126" s="614"/>
      <c r="D126" s="614"/>
      <c r="E126" s="614"/>
      <c r="F126" s="614"/>
      <c r="G126" s="614"/>
      <c r="H126" s="614"/>
    </row>
    <row r="127" spans="1:10" ht="18.75" x14ac:dyDescent="0.3">
      <c r="B127" s="687" t="s">
        <v>26</v>
      </c>
      <c r="C127" s="687"/>
      <c r="E127" s="667" t="s">
        <v>27</v>
      </c>
      <c r="F127" s="615"/>
      <c r="G127" s="687" t="s">
        <v>28</v>
      </c>
      <c r="H127" s="687"/>
    </row>
    <row r="128" spans="1:10" ht="69.95" customHeight="1" x14ac:dyDescent="0.3">
      <c r="A128" s="616" t="s">
        <v>29</v>
      </c>
      <c r="B128" s="618"/>
      <c r="C128" s="618"/>
      <c r="E128" s="618"/>
      <c r="F128" s="5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574"/>
      <c r="G129" s="620"/>
      <c r="H129" s="620"/>
    </row>
    <row r="130" spans="1:9" ht="18.75" x14ac:dyDescent="0.3">
      <c r="A130" s="593"/>
      <c r="B130" s="593"/>
      <c r="C130" s="593"/>
      <c r="D130" s="593"/>
      <c r="E130" s="593"/>
      <c r="F130" s="570"/>
      <c r="G130" s="593"/>
      <c r="H130" s="593"/>
      <c r="I130" s="574"/>
    </row>
    <row r="131" spans="1:9" ht="18.75" x14ac:dyDescent="0.3">
      <c r="A131" s="593"/>
      <c r="B131" s="593"/>
      <c r="C131" s="593"/>
      <c r="D131" s="593"/>
      <c r="E131" s="593"/>
      <c r="F131" s="570"/>
      <c r="G131" s="593"/>
      <c r="H131" s="593"/>
      <c r="I131" s="574"/>
    </row>
    <row r="132" spans="1:9" ht="18.75" x14ac:dyDescent="0.3">
      <c r="A132" s="593"/>
      <c r="B132" s="593"/>
      <c r="C132" s="593"/>
      <c r="D132" s="593"/>
      <c r="E132" s="593"/>
      <c r="F132" s="570"/>
      <c r="G132" s="593"/>
      <c r="H132" s="593"/>
      <c r="I132" s="574"/>
    </row>
    <row r="133" spans="1:9" ht="18.75" x14ac:dyDescent="0.3">
      <c r="A133" s="593"/>
      <c r="B133" s="593"/>
      <c r="C133" s="593"/>
      <c r="D133" s="593"/>
      <c r="E133" s="593"/>
      <c r="F133" s="570"/>
      <c r="G133" s="593"/>
      <c r="H133" s="593"/>
      <c r="I133" s="574"/>
    </row>
    <row r="134" spans="1:9" ht="18.75" x14ac:dyDescent="0.3">
      <c r="A134" s="593"/>
      <c r="B134" s="593"/>
      <c r="C134" s="593"/>
      <c r="D134" s="593"/>
      <c r="E134" s="593"/>
      <c r="F134" s="570"/>
      <c r="G134" s="593"/>
      <c r="H134" s="593"/>
      <c r="I134" s="574"/>
    </row>
    <row r="135" spans="1:9" ht="18.75" x14ac:dyDescent="0.3">
      <c r="A135" s="593"/>
      <c r="B135" s="593"/>
      <c r="C135" s="593"/>
      <c r="D135" s="593"/>
      <c r="E135" s="593"/>
      <c r="F135" s="570"/>
      <c r="G135" s="593"/>
      <c r="H135" s="593"/>
      <c r="I135" s="574"/>
    </row>
    <row r="136" spans="1:9" ht="18.75" x14ac:dyDescent="0.3">
      <c r="A136" s="593"/>
      <c r="B136" s="593"/>
      <c r="C136" s="593"/>
      <c r="D136" s="593"/>
      <c r="E136" s="593"/>
      <c r="F136" s="570"/>
      <c r="G136" s="593"/>
      <c r="H136" s="593"/>
      <c r="I136" s="574"/>
    </row>
    <row r="137" spans="1:9" ht="18.75" x14ac:dyDescent="0.3">
      <c r="A137" s="593"/>
      <c r="B137" s="593"/>
      <c r="C137" s="593"/>
      <c r="D137" s="593"/>
      <c r="E137" s="593"/>
      <c r="F137" s="570"/>
      <c r="G137" s="593"/>
      <c r="H137" s="593"/>
      <c r="I137" s="574"/>
    </row>
    <row r="138" spans="1:9" ht="18.75" x14ac:dyDescent="0.3">
      <c r="A138" s="593"/>
      <c r="B138" s="593"/>
      <c r="C138" s="593"/>
      <c r="D138" s="593"/>
      <c r="E138" s="593"/>
      <c r="F138" s="570"/>
      <c r="G138" s="593"/>
      <c r="H138" s="593"/>
      <c r="I138" s="574"/>
    </row>
    <row r="250" spans="1:1" x14ac:dyDescent="0.25">
      <c r="A250" s="59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C50" sqref="C50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70" t="s">
        <v>0</v>
      </c>
      <c r="B15" s="670"/>
      <c r="C15" s="670"/>
      <c r="D15" s="670"/>
      <c r="E15" s="67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6" t="s">
        <v>142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</v>
      </c>
      <c r="C19" s="72"/>
      <c r="D19" s="72"/>
      <c r="E19" s="72"/>
    </row>
    <row r="20" spans="1:5" ht="16.5" customHeight="1" x14ac:dyDescent="0.3">
      <c r="A20" s="8" t="s">
        <v>8</v>
      </c>
      <c r="B20" s="12">
        <v>21.16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</f>
        <v>0.42320000000000002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69897520</v>
      </c>
      <c r="C24" s="18">
        <v>12688.3</v>
      </c>
      <c r="D24" s="19">
        <v>0.9</v>
      </c>
      <c r="E24" s="20">
        <v>6.5</v>
      </c>
    </row>
    <row r="25" spans="1:5" ht="16.5" customHeight="1" x14ac:dyDescent="0.3">
      <c r="A25" s="17">
        <v>2</v>
      </c>
      <c r="B25" s="18">
        <v>69808247</v>
      </c>
      <c r="C25" s="18">
        <v>12694.3</v>
      </c>
      <c r="D25" s="19">
        <v>0.9</v>
      </c>
      <c r="E25" s="19">
        <v>6.5</v>
      </c>
    </row>
    <row r="26" spans="1:5" ht="16.5" customHeight="1" x14ac:dyDescent="0.3">
      <c r="A26" s="17">
        <v>3</v>
      </c>
      <c r="B26" s="18">
        <v>69853354</v>
      </c>
      <c r="C26" s="18">
        <v>12648</v>
      </c>
      <c r="D26" s="19">
        <v>0.9</v>
      </c>
      <c r="E26" s="19">
        <v>6.5</v>
      </c>
    </row>
    <row r="27" spans="1:5" ht="16.5" customHeight="1" x14ac:dyDescent="0.3">
      <c r="A27" s="17">
        <v>4</v>
      </c>
      <c r="B27" s="18">
        <v>70153564</v>
      </c>
      <c r="C27" s="18">
        <v>12692.2</v>
      </c>
      <c r="D27" s="19">
        <v>0.9</v>
      </c>
      <c r="E27" s="19">
        <v>6.5</v>
      </c>
    </row>
    <row r="28" spans="1:5" ht="16.5" customHeight="1" x14ac:dyDescent="0.3">
      <c r="A28" s="17">
        <v>5</v>
      </c>
      <c r="B28" s="18">
        <v>69765692</v>
      </c>
      <c r="C28" s="18">
        <v>12634.3</v>
      </c>
      <c r="D28" s="19">
        <v>0.9</v>
      </c>
      <c r="E28" s="19">
        <v>6.5</v>
      </c>
    </row>
    <row r="29" spans="1:5" ht="16.5" customHeight="1" x14ac:dyDescent="0.3">
      <c r="A29" s="17">
        <v>6</v>
      </c>
      <c r="B29" s="21">
        <v>69750856</v>
      </c>
      <c r="C29" s="21">
        <v>12646.1</v>
      </c>
      <c r="D29" s="22">
        <v>0.9</v>
      </c>
      <c r="E29" s="22">
        <v>6.5</v>
      </c>
    </row>
    <row r="30" spans="1:5" ht="16.5" customHeight="1" x14ac:dyDescent="0.3">
      <c r="A30" s="23" t="s">
        <v>18</v>
      </c>
      <c r="B30" s="24">
        <f>AVERAGE(B24:B29)</f>
        <v>69871538.833333328</v>
      </c>
      <c r="C30" s="25">
        <f>AVERAGE(C24:C29)</f>
        <v>12667.200000000003</v>
      </c>
      <c r="D30" s="26">
        <f>AVERAGE(D24:D29)</f>
        <v>0.9</v>
      </c>
      <c r="E30" s="26">
        <f>AVERAGE(E24:E29)</f>
        <v>6.5</v>
      </c>
    </row>
    <row r="31" spans="1:5" ht="16.5" customHeight="1" x14ac:dyDescent="0.3">
      <c r="A31" s="27" t="s">
        <v>19</v>
      </c>
      <c r="B31" s="28">
        <f>(STDEV(B24:B29)/B30)</f>
        <v>2.1258724662352002E-3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142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</v>
      </c>
      <c r="C40" s="72"/>
      <c r="D40" s="72"/>
      <c r="E40" s="72"/>
    </row>
    <row r="41" spans="1:5" ht="16.5" customHeight="1" x14ac:dyDescent="0.3">
      <c r="A41" s="8" t="s">
        <v>8</v>
      </c>
      <c r="B41" s="12">
        <v>21.16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0.42320000000000002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69897520</v>
      </c>
      <c r="C45" s="18">
        <v>12688.3</v>
      </c>
      <c r="D45" s="19">
        <v>0.9</v>
      </c>
      <c r="E45" s="20">
        <v>6.5</v>
      </c>
    </row>
    <row r="46" spans="1:5" ht="16.5" customHeight="1" x14ac:dyDescent="0.3">
      <c r="A46" s="17">
        <v>2</v>
      </c>
      <c r="B46" s="18">
        <v>69808247</v>
      </c>
      <c r="C46" s="18">
        <v>12694.3</v>
      </c>
      <c r="D46" s="19">
        <v>0.9</v>
      </c>
      <c r="E46" s="19">
        <v>6.5</v>
      </c>
    </row>
    <row r="47" spans="1:5" ht="16.5" customHeight="1" x14ac:dyDescent="0.3">
      <c r="A47" s="17">
        <v>3</v>
      </c>
      <c r="B47" s="18">
        <v>69853354</v>
      </c>
      <c r="C47" s="18">
        <v>12648</v>
      </c>
      <c r="D47" s="19">
        <v>0.9</v>
      </c>
      <c r="E47" s="19">
        <v>6.5</v>
      </c>
    </row>
    <row r="48" spans="1:5" ht="16.5" customHeight="1" x14ac:dyDescent="0.3">
      <c r="A48" s="17">
        <v>4</v>
      </c>
      <c r="B48" s="18">
        <v>70153564</v>
      </c>
      <c r="C48" s="18">
        <v>12692.2</v>
      </c>
      <c r="D48" s="19">
        <v>0.9</v>
      </c>
      <c r="E48" s="19">
        <v>6.5</v>
      </c>
    </row>
    <row r="49" spans="1:7" ht="16.5" customHeight="1" x14ac:dyDescent="0.3">
      <c r="A49" s="17">
        <v>5</v>
      </c>
      <c r="B49" s="18">
        <v>69765692</v>
      </c>
      <c r="C49" s="18">
        <v>12634.3</v>
      </c>
      <c r="D49" s="19">
        <v>0.9</v>
      </c>
      <c r="E49" s="19">
        <v>6.5</v>
      </c>
    </row>
    <row r="50" spans="1:7" ht="16.5" customHeight="1" x14ac:dyDescent="0.3">
      <c r="A50" s="17">
        <v>6</v>
      </c>
      <c r="B50" s="21">
        <v>69750856</v>
      </c>
      <c r="C50" s="21">
        <v>12646.1</v>
      </c>
      <c r="D50" s="22">
        <v>0.9</v>
      </c>
      <c r="E50" s="22">
        <v>6.5</v>
      </c>
    </row>
    <row r="51" spans="1:7" ht="16.5" customHeight="1" x14ac:dyDescent="0.3">
      <c r="A51" s="23" t="s">
        <v>18</v>
      </c>
      <c r="B51" s="24">
        <f>AVERAGE(B45:B50)</f>
        <v>69871538.833333328</v>
      </c>
      <c r="C51" s="25">
        <f>AVERAGE(C45:C50)</f>
        <v>12667.200000000003</v>
      </c>
      <c r="D51" s="26">
        <f>AVERAGE(D45:D50)</f>
        <v>0.9</v>
      </c>
      <c r="E51" s="26">
        <f>AVERAGE(E45:E50)</f>
        <v>6.5</v>
      </c>
    </row>
    <row r="52" spans="1:7" ht="16.5" customHeight="1" x14ac:dyDescent="0.3">
      <c r="A52" s="27" t="s">
        <v>19</v>
      </c>
      <c r="B52" s="28">
        <f>(STDEV(B45:B50)/B51)</f>
        <v>2.1258724662352002E-3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71" t="s">
        <v>26</v>
      </c>
      <c r="C59" s="671"/>
      <c r="E59" s="662" t="s">
        <v>27</v>
      </c>
      <c r="F59" s="46"/>
      <c r="G59" s="662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A15" sqref="A15:G61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70" t="s">
        <v>0</v>
      </c>
      <c r="B15" s="670"/>
      <c r="C15" s="670"/>
      <c r="D15" s="670"/>
      <c r="E15" s="67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6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100.33</v>
      </c>
      <c r="C19" s="72"/>
      <c r="D19" s="72"/>
      <c r="E19" s="72"/>
    </row>
    <row r="20" spans="1:5" ht="16.5" customHeight="1" x14ac:dyDescent="0.3">
      <c r="A20" s="8" t="s">
        <v>8</v>
      </c>
      <c r="B20" s="12">
        <v>18.43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B20/25*5/50</f>
        <v>7.3719999999999994E-2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17629866</v>
      </c>
      <c r="C24" s="18">
        <v>11909.2</v>
      </c>
      <c r="D24" s="19">
        <v>1.3</v>
      </c>
      <c r="E24" s="20">
        <v>5.3</v>
      </c>
    </row>
    <row r="25" spans="1:5" ht="16.5" customHeight="1" x14ac:dyDescent="0.3">
      <c r="A25" s="17">
        <v>2</v>
      </c>
      <c r="B25" s="18">
        <v>17590849</v>
      </c>
      <c r="C25" s="18">
        <v>11959.8</v>
      </c>
      <c r="D25" s="19">
        <v>1.3</v>
      </c>
      <c r="E25" s="19">
        <v>5.3</v>
      </c>
    </row>
    <row r="26" spans="1:5" ht="16.5" customHeight="1" x14ac:dyDescent="0.3">
      <c r="A26" s="17">
        <v>3</v>
      </c>
      <c r="B26" s="18">
        <v>17592099</v>
      </c>
      <c r="C26" s="18">
        <v>12128</v>
      </c>
      <c r="D26" s="19">
        <v>1.3</v>
      </c>
      <c r="E26" s="19">
        <v>5.3</v>
      </c>
    </row>
    <row r="27" spans="1:5" ht="16.5" customHeight="1" x14ac:dyDescent="0.3">
      <c r="A27" s="17">
        <v>4</v>
      </c>
      <c r="B27" s="18">
        <v>17666662</v>
      </c>
      <c r="C27" s="18">
        <v>11986.3</v>
      </c>
      <c r="D27" s="19">
        <v>1.3</v>
      </c>
      <c r="E27" s="19">
        <v>5.3</v>
      </c>
    </row>
    <row r="28" spans="1:5" ht="16.5" customHeight="1" x14ac:dyDescent="0.3">
      <c r="A28" s="17">
        <v>5</v>
      </c>
      <c r="B28" s="18">
        <v>17574790</v>
      </c>
      <c r="C28" s="18">
        <v>11876.5</v>
      </c>
      <c r="D28" s="19">
        <v>1.3</v>
      </c>
      <c r="E28" s="19">
        <v>5.3</v>
      </c>
    </row>
    <row r="29" spans="1:5" ht="16.5" customHeight="1" x14ac:dyDescent="0.3">
      <c r="A29" s="17">
        <v>6</v>
      </c>
      <c r="B29" s="21">
        <v>17565675</v>
      </c>
      <c r="C29" s="21">
        <v>11961.7</v>
      </c>
      <c r="D29" s="22">
        <v>1.3</v>
      </c>
      <c r="E29" s="22">
        <v>5.3</v>
      </c>
    </row>
    <row r="30" spans="1:5" ht="16.5" customHeight="1" x14ac:dyDescent="0.3">
      <c r="A30" s="23" t="s">
        <v>18</v>
      </c>
      <c r="B30" s="24">
        <f>AVERAGE(B24:B29)</f>
        <v>17603323.5</v>
      </c>
      <c r="C30" s="25">
        <f>AVERAGE(C24:C29)</f>
        <v>11970.25</v>
      </c>
      <c r="D30" s="26">
        <f>AVERAGE(D24:D29)</f>
        <v>1.3</v>
      </c>
      <c r="E30" s="26">
        <f>AVERAGE(E24:E29)</f>
        <v>5.3</v>
      </c>
    </row>
    <row r="31" spans="1:5" ht="16.5" customHeight="1" x14ac:dyDescent="0.3">
      <c r="A31" s="27" t="s">
        <v>19</v>
      </c>
      <c r="B31" s="28">
        <f>(STDEV(B24:B29)/B30)</f>
        <v>2.1600944198731753E-3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100.33</v>
      </c>
      <c r="C40" s="72"/>
      <c r="D40" s="72"/>
      <c r="E40" s="72"/>
    </row>
    <row r="41" spans="1:5" ht="16.5" customHeight="1" x14ac:dyDescent="0.3">
      <c r="A41" s="8" t="s">
        <v>8</v>
      </c>
      <c r="B41" s="12">
        <v>18.43</v>
      </c>
      <c r="C41" s="72"/>
      <c r="D41" s="72"/>
      <c r="E41" s="72"/>
    </row>
    <row r="42" spans="1:5" ht="16.5" customHeight="1" x14ac:dyDescent="0.3">
      <c r="A42" s="8" t="s">
        <v>10</v>
      </c>
      <c r="B42" s="13">
        <v>7.3719999999999994E-2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17629866</v>
      </c>
      <c r="C45" s="18">
        <v>11909.2</v>
      </c>
      <c r="D45" s="19">
        <v>1.3</v>
      </c>
      <c r="E45" s="20">
        <v>5.3</v>
      </c>
    </row>
    <row r="46" spans="1:5" ht="16.5" customHeight="1" x14ac:dyDescent="0.3">
      <c r="A46" s="17">
        <v>2</v>
      </c>
      <c r="B46" s="18">
        <v>17590849</v>
      </c>
      <c r="C46" s="18">
        <v>11959.8</v>
      </c>
      <c r="D46" s="19">
        <v>1.3</v>
      </c>
      <c r="E46" s="19">
        <v>5.3</v>
      </c>
    </row>
    <row r="47" spans="1:5" ht="16.5" customHeight="1" x14ac:dyDescent="0.3">
      <c r="A47" s="17">
        <v>3</v>
      </c>
      <c r="B47" s="18">
        <v>17592099</v>
      </c>
      <c r="C47" s="18">
        <v>12128</v>
      </c>
      <c r="D47" s="19">
        <v>1.3</v>
      </c>
      <c r="E47" s="19">
        <v>5.3</v>
      </c>
    </row>
    <row r="48" spans="1:5" ht="16.5" customHeight="1" x14ac:dyDescent="0.3">
      <c r="A48" s="17">
        <v>4</v>
      </c>
      <c r="B48" s="18">
        <v>17666662</v>
      </c>
      <c r="C48" s="18">
        <v>11986.3</v>
      </c>
      <c r="D48" s="19">
        <v>1.3</v>
      </c>
      <c r="E48" s="19">
        <v>5.3</v>
      </c>
    </row>
    <row r="49" spans="1:7" ht="16.5" customHeight="1" x14ac:dyDescent="0.3">
      <c r="A49" s="17">
        <v>5</v>
      </c>
      <c r="B49" s="18">
        <v>17574790</v>
      </c>
      <c r="C49" s="18">
        <v>11876.5</v>
      </c>
      <c r="D49" s="19">
        <v>1.3</v>
      </c>
      <c r="E49" s="19">
        <v>5.3</v>
      </c>
    </row>
    <row r="50" spans="1:7" ht="16.5" customHeight="1" x14ac:dyDescent="0.3">
      <c r="A50" s="17">
        <v>6</v>
      </c>
      <c r="B50" s="21">
        <v>17565675</v>
      </c>
      <c r="C50" s="21">
        <v>11961.7</v>
      </c>
      <c r="D50" s="22">
        <v>1.3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17603323.5</v>
      </c>
      <c r="C51" s="25">
        <f>AVERAGE(C45:C50)</f>
        <v>11970.25</v>
      </c>
      <c r="D51" s="26">
        <f>AVERAGE(D45:D50)</f>
        <v>1.3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2.1600944198731753E-3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71" t="s">
        <v>26</v>
      </c>
      <c r="C59" s="671"/>
      <c r="E59" s="662" t="s">
        <v>27</v>
      </c>
      <c r="F59" s="46"/>
      <c r="G59" s="662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workbookViewId="0">
      <selection activeCell="E30" sqref="E30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70" t="s">
        <v>0</v>
      </c>
      <c r="B15" s="670"/>
      <c r="C15" s="670"/>
      <c r="D15" s="670"/>
      <c r="E15" s="67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6" t="s">
        <v>143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17.25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</f>
        <v>0.34499999999999997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67833148</v>
      </c>
      <c r="C24" s="18">
        <v>8481.9</v>
      </c>
      <c r="D24" s="19">
        <v>1.2</v>
      </c>
      <c r="E24" s="20">
        <v>4.5999999999999996</v>
      </c>
    </row>
    <row r="25" spans="1:5" ht="16.5" customHeight="1" x14ac:dyDescent="0.3">
      <c r="A25" s="17">
        <v>2</v>
      </c>
      <c r="B25" s="18">
        <v>67413837</v>
      </c>
      <c r="C25" s="18">
        <v>8619.7000000000007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67134052</v>
      </c>
      <c r="C26" s="18">
        <v>8726.1</v>
      </c>
      <c r="D26" s="19">
        <v>1.2</v>
      </c>
      <c r="E26" s="19">
        <v>4.7</v>
      </c>
    </row>
    <row r="27" spans="1:5" ht="16.5" customHeight="1" x14ac:dyDescent="0.3">
      <c r="A27" s="17">
        <v>4</v>
      </c>
      <c r="B27" s="18">
        <v>67057608</v>
      </c>
      <c r="C27" s="18">
        <v>8729.2000000000007</v>
      </c>
      <c r="D27" s="19">
        <v>1.2</v>
      </c>
      <c r="E27" s="19">
        <v>4.7</v>
      </c>
    </row>
    <row r="28" spans="1:5" ht="16.5" customHeight="1" x14ac:dyDescent="0.3">
      <c r="A28" s="17">
        <v>5</v>
      </c>
      <c r="B28" s="18">
        <v>67314083</v>
      </c>
      <c r="C28" s="18">
        <v>8863.5</v>
      </c>
      <c r="D28" s="19">
        <v>1.2</v>
      </c>
      <c r="E28" s="19">
        <v>4.8</v>
      </c>
    </row>
    <row r="29" spans="1:5" ht="16.5" customHeight="1" x14ac:dyDescent="0.3">
      <c r="A29" s="17">
        <v>6</v>
      </c>
      <c r="B29" s="21">
        <v>67454898</v>
      </c>
      <c r="C29" s="21">
        <v>8943.9</v>
      </c>
      <c r="D29" s="22">
        <v>1.2</v>
      </c>
      <c r="E29" s="22">
        <v>4.8</v>
      </c>
    </row>
    <row r="30" spans="1:5" ht="16.5" customHeight="1" x14ac:dyDescent="0.3">
      <c r="A30" s="23" t="s">
        <v>18</v>
      </c>
      <c r="B30" s="24">
        <f>AVERAGE(B24:B29)</f>
        <v>67367937.666666672</v>
      </c>
      <c r="C30" s="25">
        <f>AVERAGE(C24:C29)</f>
        <v>8727.3833333333332</v>
      </c>
      <c r="D30" s="26">
        <f>AVERAGE(D24:D29)</f>
        <v>1.2</v>
      </c>
      <c r="E30" s="26">
        <f>AVERAGE(E24:E29)</f>
        <v>4.7</v>
      </c>
    </row>
    <row r="31" spans="1:5" ht="16.5" customHeight="1" x14ac:dyDescent="0.3">
      <c r="A31" s="27" t="s">
        <v>19</v>
      </c>
      <c r="B31" s="28">
        <f>(STDEV(B24:B29)/B30)</f>
        <v>4.0921517929269147E-3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143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</v>
      </c>
      <c r="C40" s="72"/>
      <c r="D40" s="72"/>
      <c r="E40" s="72"/>
    </row>
    <row r="41" spans="1:5" ht="16.5" customHeight="1" x14ac:dyDescent="0.3">
      <c r="A41" s="8" t="s">
        <v>8</v>
      </c>
      <c r="B41" s="12">
        <v>17.25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0.34499999999999997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67833148</v>
      </c>
      <c r="C45" s="18">
        <v>8481.9</v>
      </c>
      <c r="D45" s="19">
        <v>1.2</v>
      </c>
      <c r="E45" s="20">
        <v>4.5999999999999996</v>
      </c>
    </row>
    <row r="46" spans="1:5" ht="16.5" customHeight="1" x14ac:dyDescent="0.3">
      <c r="A46" s="17">
        <v>2</v>
      </c>
      <c r="B46" s="18">
        <v>67413837</v>
      </c>
      <c r="C46" s="18">
        <v>8619.7000000000007</v>
      </c>
      <c r="D46" s="19">
        <v>1.2</v>
      </c>
      <c r="E46" s="19">
        <v>4.5999999999999996</v>
      </c>
    </row>
    <row r="47" spans="1:5" ht="16.5" customHeight="1" x14ac:dyDescent="0.3">
      <c r="A47" s="17">
        <v>3</v>
      </c>
      <c r="B47" s="18">
        <v>67134052</v>
      </c>
      <c r="C47" s="18">
        <v>8726.1</v>
      </c>
      <c r="D47" s="19">
        <v>1.2</v>
      </c>
      <c r="E47" s="19">
        <v>4.5999999999999996</v>
      </c>
    </row>
    <row r="48" spans="1:5" ht="16.5" customHeight="1" x14ac:dyDescent="0.3">
      <c r="A48" s="17">
        <v>4</v>
      </c>
      <c r="B48" s="18">
        <v>67057608</v>
      </c>
      <c r="C48" s="18">
        <v>8729.2000000000007</v>
      </c>
      <c r="D48" s="19">
        <v>1.2</v>
      </c>
      <c r="E48" s="19">
        <v>4.5999999999999996</v>
      </c>
    </row>
    <row r="49" spans="1:7" ht="16.5" customHeight="1" x14ac:dyDescent="0.3">
      <c r="A49" s="17">
        <v>5</v>
      </c>
      <c r="B49" s="18">
        <v>67314083</v>
      </c>
      <c r="C49" s="18">
        <v>8863.5</v>
      </c>
      <c r="D49" s="19">
        <v>1.2</v>
      </c>
      <c r="E49" s="19">
        <v>4.5999999999999996</v>
      </c>
    </row>
    <row r="50" spans="1:7" ht="16.5" customHeight="1" x14ac:dyDescent="0.3">
      <c r="A50" s="17">
        <v>6</v>
      </c>
      <c r="B50" s="21">
        <v>67454898</v>
      </c>
      <c r="C50" s="21">
        <v>8943.9</v>
      </c>
      <c r="D50" s="22">
        <v>1.2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67367937.666666672</v>
      </c>
      <c r="C51" s="25">
        <f>AVERAGE(C45:C50)</f>
        <v>8727.3833333333332</v>
      </c>
      <c r="D51" s="26">
        <f>AVERAGE(D45:D50)</f>
        <v>1.2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4.0921517929269147E-3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71" t="s">
        <v>26</v>
      </c>
      <c r="C59" s="671"/>
      <c r="E59" s="662" t="s">
        <v>27</v>
      </c>
      <c r="F59" s="46"/>
      <c r="G59" s="662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SST RIFAMPIN</vt:lpstr>
      <vt:lpstr>Uniformity</vt:lpstr>
      <vt:lpstr>Rifampicin</vt:lpstr>
      <vt:lpstr>Isoniazid</vt:lpstr>
      <vt:lpstr>Pyrazinamide</vt:lpstr>
      <vt:lpstr>ETHAMBUTOL</vt:lpstr>
      <vt:lpstr>SST PYRAZINAMIDE</vt:lpstr>
      <vt:lpstr>SST ISONIAZID</vt:lpstr>
      <vt:lpstr>SST ETHAMBUTOL</vt:lpstr>
      <vt:lpstr>Sheet1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2017-10-31T16:05:21Z</cp:lastPrinted>
  <dcterms:created xsi:type="dcterms:W3CDTF">2005-07-05T10:19:27Z</dcterms:created>
  <dcterms:modified xsi:type="dcterms:W3CDTF">2017-10-31T16:05:25Z</dcterms:modified>
</cp:coreProperties>
</file>