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November\"/>
    </mc:Choice>
  </mc:AlternateContent>
  <bookViews>
    <workbookView xWindow="0" yWindow="0" windowWidth="16815" windowHeight="8235" activeTab="2"/>
  </bookViews>
  <sheets>
    <sheet name="SST" sheetId="1" r:id="rId1"/>
    <sheet name="Uniformity" sheetId="2" r:id="rId2"/>
    <sheet name="ETHAMBUTOL HYDROCHLORID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B19" i="1"/>
  <c r="C124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D41" i="2" s="1"/>
  <c r="C45" i="2"/>
  <c r="D38" i="2"/>
  <c r="D37" i="2"/>
  <c r="D33" i="2"/>
  <c r="D32" i="2"/>
  <c r="D29" i="2"/>
  <c r="D28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26" i="2" l="1"/>
  <c r="D30" i="2"/>
  <c r="D34" i="2"/>
  <c r="D39" i="2"/>
  <c r="D27" i="2"/>
  <c r="D31" i="2"/>
  <c r="D35" i="2"/>
  <c r="I92" i="3"/>
  <c r="D101" i="3"/>
  <c r="D102" i="3" s="1"/>
  <c r="D97" i="3"/>
  <c r="D98" i="3" s="1"/>
  <c r="I39" i="3"/>
  <c r="D49" i="3"/>
  <c r="D44" i="3"/>
  <c r="D45" i="3" s="1"/>
  <c r="E40" i="3" s="1"/>
  <c r="F98" i="3"/>
  <c r="G94" i="3" s="1"/>
  <c r="D43" i="2"/>
  <c r="C49" i="2"/>
  <c r="F44" i="3"/>
  <c r="F45" i="3" s="1"/>
  <c r="E94" i="3"/>
  <c r="D36" i="2"/>
  <c r="D40" i="2"/>
  <c r="D49" i="2"/>
  <c r="B57" i="3"/>
  <c r="B69" i="3" s="1"/>
  <c r="C50" i="2"/>
  <c r="D42" i="2"/>
  <c r="B49" i="2"/>
  <c r="D50" i="2"/>
  <c r="D46" i="3" l="1"/>
  <c r="E39" i="3"/>
  <c r="G92" i="3"/>
  <c r="E38" i="3"/>
  <c r="E41" i="3"/>
  <c r="G38" i="3"/>
  <c r="G41" i="3"/>
  <c r="F46" i="3"/>
  <c r="G39" i="3"/>
  <c r="G40" i="3"/>
  <c r="G93" i="3"/>
  <c r="G91" i="3"/>
  <c r="F99" i="3"/>
  <c r="D99" i="3"/>
  <c r="E92" i="3"/>
  <c r="E93" i="3"/>
  <c r="E91" i="3"/>
  <c r="G95" i="3" l="1"/>
  <c r="E42" i="3"/>
  <c r="D50" i="3"/>
  <c r="G66" i="3" s="1"/>
  <c r="H66" i="3" s="1"/>
  <c r="G42" i="3"/>
  <c r="E95" i="3"/>
  <c r="D105" i="3"/>
  <c r="D103" i="3"/>
  <c r="G68" i="3"/>
  <c r="H68" i="3" s="1"/>
  <c r="G71" i="3"/>
  <c r="H71" i="3" s="1"/>
  <c r="D52" i="3"/>
  <c r="G65" i="3" l="1"/>
  <c r="H65" i="3" s="1"/>
  <c r="G70" i="3"/>
  <c r="H70" i="3" s="1"/>
  <c r="G69" i="3"/>
  <c r="H69" i="3" s="1"/>
  <c r="G61" i="3"/>
  <c r="H61" i="3" s="1"/>
  <c r="G60" i="3"/>
  <c r="H60" i="3" s="1"/>
  <c r="G63" i="3"/>
  <c r="H63" i="3" s="1"/>
  <c r="G62" i="3"/>
  <c r="H62" i="3" s="1"/>
  <c r="G67" i="3"/>
  <c r="H67" i="3" s="1"/>
  <c r="G64" i="3"/>
  <c r="H64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3"/>
  <c r="E116" i="3" s="1"/>
  <c r="E119" i="3"/>
  <c r="E120" i="3"/>
  <c r="E117" i="3"/>
  <c r="F108" i="3"/>
  <c r="H74" i="3"/>
  <c r="H72" i="3"/>
  <c r="F119" i="3" l="1"/>
  <c r="F125" i="3"/>
  <c r="F120" i="3"/>
  <c r="F117" i="3"/>
  <c r="D125" i="3"/>
  <c r="F115" i="3"/>
  <c r="G76" i="3"/>
  <c r="H73" i="3"/>
  <c r="G124" i="3" l="1"/>
  <c r="F116" i="3"/>
</calcChain>
</file>

<file path=xl/sharedStrings.xml><?xml version="1.0" encoding="utf-8"?>
<sst xmlns="http://schemas.openxmlformats.org/spreadsheetml/2006/main" count="239" uniqueCount="138">
  <si>
    <t>HPLC System Suitability Report</t>
  </si>
  <si>
    <t>Analysis Data</t>
  </si>
  <si>
    <t>Assay</t>
  </si>
  <si>
    <t>Sample(s)</t>
  </si>
  <si>
    <t>Reference Substance:</t>
  </si>
  <si>
    <t>ETHAMBUTOL  TABLETS BP 100MG</t>
  </si>
  <si>
    <t>% age Purity:</t>
  </si>
  <si>
    <t>NDQD201708109</t>
  </si>
  <si>
    <t>Weight (mg):</t>
  </si>
  <si>
    <t xml:space="preserve">Ethambutol BP </t>
  </si>
  <si>
    <t>Standard Conc (mg/mL):</t>
  </si>
  <si>
    <t>Ethambutol Hydrochloride BP 100mg</t>
  </si>
  <si>
    <t>2017-08-18 10:05:23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</si>
  <si>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</si>
  <si>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</si>
  <si>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</si>
  <si>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</si>
  <si>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</si>
  <si>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</si>
  <si>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</si>
  <si>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</si>
  <si>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</si>
  <si>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</si>
  <si>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</si>
  <si>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</si>
  <si>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</si>
  <si>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</si>
  <si>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</si>
  <si>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</si>
  <si>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</si>
  <si>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</si>
  <si>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</si>
  <si>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</si>
  <si>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</si>
  <si>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</si>
  <si>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</si>
  <si>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</si>
  <si>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</si>
  <si>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</si>
  <si>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</si>
  <si>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</si>
  <si>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</si>
  <si>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</si>
  <si>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</si>
  <si>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</si>
  <si>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</si>
  <si>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</si>
  <si>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</si>
  <si>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</si>
  <si>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</si>
  <si>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</si>
  <si>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</si>
  <si>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</si>
  <si>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</si>
  <si>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</si>
  <si>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</si>
  <si>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</si>
  <si>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</si>
  <si>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</si>
  <si>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</si>
  <si>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</si>
  <si>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</si>
  <si>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</si>
  <si>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</si>
  <si>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</si>
  <si>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</si>
  <si>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</si>
  <si>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</si>
  <si>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</si>
  <si>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</si>
  <si>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</si>
  <si>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</si>
  <si>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</si>
  <si>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</si>
  <si>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</si>
  <si>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</si>
  <si>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</si>
  <si>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</si>
  <si>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</si>
  <si>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</si>
  <si>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</si>
  <si>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</si>
  <si>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</si>
  <si>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</si>
  <si>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</si>
  <si>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</si>
  <si>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</si>
  <si>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</si>
  <si>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</si>
  <si>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</si>
  <si>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</si>
  <si>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</si>
  <si>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</si>
  <si>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</si>
  <si>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</si>
  <si>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</si>
  <si>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</si>
  <si>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</si>
  <si>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</si>
  <si>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</si>
  <si>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</si>
  <si>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</si>
  <si>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</si>
  <si>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</si>
  <si>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</si>
  <si>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</si>
  <si>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</si>
  <si>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</si>
  <si>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</si>
  <si>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</si>
  <si>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</si>
  <si>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</si>
  <si>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</si>
  <si>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</si>
  <si>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</si>
  <si>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</si>
  <si>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</si>
  <si>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</si>
  <si>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</si>
  <si>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</si>
  <si>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</si>
  <si>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</si>
  <si>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</si>
  <si>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</si>
  <si>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</si>
  <si>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</si>
  <si>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</si>
  <si>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</si>
  <si>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</si>
  <si>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</si>
  <si>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</si>
  <si>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19/09/2017</t>
  </si>
  <si>
    <t>20/09/2017</t>
  </si>
  <si>
    <t>ethambutol hydrochloride</t>
  </si>
  <si>
    <t>e12-3</t>
  </si>
  <si>
    <t>ETHAMBUTOL  100 mg TABLETS</t>
  </si>
  <si>
    <t>Ethambutol</t>
  </si>
  <si>
    <t>Each film-coated tablet contains Ethambutol Hydrochloride 100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</si>
</sst>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5" fontId="13" fillId="6" borderId="27" xfId="0" applyNumberFormat="1" applyFont="1" applyFill="1" applyBorder="1" applyAlignment="1">
      <alignment horizontal="center"/>
    </xf>
    <xf numFmtId="174" fontId="13" fillId="7" borderId="33" xfId="0" applyNumberFormat="1" applyFont="1" applyFill="1" applyBorder="1" applyAlignment="1">
      <alignment horizontal="center"/>
    </xf>
    <xf numFmtId="165" fontId="13" fillId="6" borderId="54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>
        <f>'ETHAMBUTOL HYDROCHLORIDE'!B28</f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16.079999999999998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B20/'ETHAMBUTOL HYDROCHLORIDE'!B45</f>
        <v>0.32159999999999994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56893627</v>
      </c>
      <c r="C24" s="18">
        <v>2772.6</v>
      </c>
      <c r="D24" s="19">
        <v>2.2000000000000002</v>
      </c>
      <c r="E24" s="20">
        <v>7</v>
      </c>
    </row>
    <row r="25" spans="1:6" ht="16.5" customHeight="1" x14ac:dyDescent="0.3">
      <c r="A25" s="17">
        <v>2</v>
      </c>
      <c r="B25" s="18">
        <v>56476779</v>
      </c>
      <c r="C25" s="18">
        <v>2756.5</v>
      </c>
      <c r="D25" s="19">
        <v>2.2000000000000002</v>
      </c>
      <c r="E25" s="19">
        <v>7</v>
      </c>
    </row>
    <row r="26" spans="1:6" ht="16.5" customHeight="1" x14ac:dyDescent="0.3">
      <c r="A26" s="17">
        <v>3</v>
      </c>
      <c r="B26" s="18">
        <v>56311575</v>
      </c>
      <c r="C26" s="18">
        <v>2740.6</v>
      </c>
      <c r="D26" s="19">
        <v>2.2000000000000002</v>
      </c>
      <c r="E26" s="19">
        <v>6.9</v>
      </c>
    </row>
    <row r="27" spans="1:6" ht="16.5" customHeight="1" x14ac:dyDescent="0.3">
      <c r="A27" s="17">
        <v>4</v>
      </c>
      <c r="B27" s="18">
        <v>56097182</v>
      </c>
      <c r="C27" s="18">
        <v>2724</v>
      </c>
      <c r="D27" s="19">
        <v>2.2999999999999998</v>
      </c>
      <c r="E27" s="19">
        <v>6.9</v>
      </c>
    </row>
    <row r="28" spans="1:6" ht="16.5" customHeight="1" x14ac:dyDescent="0.3">
      <c r="A28" s="17">
        <v>5</v>
      </c>
      <c r="B28" s="18">
        <v>55877129</v>
      </c>
      <c r="C28" s="18">
        <v>2735.7</v>
      </c>
      <c r="D28" s="19">
        <v>2.2000000000000002</v>
      </c>
      <c r="E28" s="19">
        <v>7</v>
      </c>
    </row>
    <row r="29" spans="1:6" ht="16.5" customHeight="1" x14ac:dyDescent="0.3">
      <c r="A29" s="17">
        <v>6</v>
      </c>
      <c r="B29" s="21">
        <v>55785967</v>
      </c>
      <c r="C29" s="21">
        <v>2717.4</v>
      </c>
      <c r="D29" s="22">
        <v>2.2000000000000002</v>
      </c>
      <c r="E29" s="22">
        <v>7</v>
      </c>
    </row>
    <row r="30" spans="1:6" ht="16.5" customHeight="1" x14ac:dyDescent="0.3">
      <c r="A30" s="23" t="s">
        <v>18</v>
      </c>
      <c r="B30" s="24">
        <f>AVERAGE(B24:B29)</f>
        <v>56240376.5</v>
      </c>
      <c r="C30" s="25">
        <f>AVERAGE(C24:C29)</f>
        <v>2741.1333333333337</v>
      </c>
      <c r="D30" s="26">
        <f>AVERAGE(D24:D29)</f>
        <v>2.2166666666666668</v>
      </c>
      <c r="E30" s="26">
        <f>AVERAGE(E24:E29)</f>
        <v>6.9666666666666659</v>
      </c>
    </row>
    <row r="31" spans="1:6" ht="16.5" customHeight="1" x14ac:dyDescent="0.3">
      <c r="A31" s="27" t="s">
        <v>19</v>
      </c>
      <c r="B31" s="28">
        <f>(STDEV(B24:B29)/B30)</f>
        <v>7.3166852310507687E-3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157.18</v>
      </c>
      <c r="D24" s="87">
        <f t="shared" ref="D24:D43" si="0">(C24-$C$46)/$C$46</f>
        <v>4.8940475467428076E-3</v>
      </c>
      <c r="E24" s="53"/>
    </row>
    <row r="25" spans="1:5" ht="15.75" customHeight="1" x14ac:dyDescent="0.3">
      <c r="C25" s="95">
        <v>162.9</v>
      </c>
      <c r="D25" s="88">
        <f t="shared" si="0"/>
        <v>4.1463547177531507E-2</v>
      </c>
      <c r="E25" s="53"/>
    </row>
    <row r="26" spans="1:5" ht="15.75" customHeight="1" x14ac:dyDescent="0.3">
      <c r="C26" s="95">
        <v>153.76</v>
      </c>
      <c r="D26" s="88">
        <f t="shared" si="0"/>
        <v>-1.6970933001735855E-2</v>
      </c>
      <c r="E26" s="53"/>
    </row>
    <row r="27" spans="1:5" ht="15.75" customHeight="1" x14ac:dyDescent="0.3">
      <c r="C27" s="95">
        <v>157.81</v>
      </c>
      <c r="D27" s="88">
        <f t="shared" si="0"/>
        <v>8.921807121462514E-3</v>
      </c>
      <c r="E27" s="53"/>
    </row>
    <row r="28" spans="1:5" ht="15.75" customHeight="1" x14ac:dyDescent="0.3">
      <c r="C28" s="95">
        <v>156.76</v>
      </c>
      <c r="D28" s="88">
        <f t="shared" si="0"/>
        <v>2.2088744969295496E-3</v>
      </c>
      <c r="E28" s="53"/>
    </row>
    <row r="29" spans="1:5" ht="15.75" customHeight="1" x14ac:dyDescent="0.3">
      <c r="C29" s="95">
        <v>155.19999999999999</v>
      </c>
      <c r="D29" s="88">
        <f t="shared" si="0"/>
        <v>-7.7646254023764757E-3</v>
      </c>
      <c r="E29" s="53"/>
    </row>
    <row r="30" spans="1:5" ht="15.75" customHeight="1" x14ac:dyDescent="0.3">
      <c r="C30" s="95">
        <v>155.49</v>
      </c>
      <c r="D30" s="88">
        <f t="shared" si="0"/>
        <v>-5.9105773441720218E-3</v>
      </c>
      <c r="E30" s="53"/>
    </row>
    <row r="31" spans="1:5" ht="15.75" customHeight="1" x14ac:dyDescent="0.3">
      <c r="C31" s="95">
        <v>154.26</v>
      </c>
      <c r="D31" s="88">
        <f t="shared" si="0"/>
        <v>-1.3774298418624955E-2</v>
      </c>
      <c r="E31" s="53"/>
    </row>
    <row r="32" spans="1:5" ht="15.75" customHeight="1" x14ac:dyDescent="0.3">
      <c r="C32" s="95">
        <v>156.55000000000001</v>
      </c>
      <c r="D32" s="88">
        <f t="shared" si="0"/>
        <v>8.6628797202310207E-4</v>
      </c>
      <c r="E32" s="53"/>
    </row>
    <row r="33" spans="1:7" ht="15.75" customHeight="1" x14ac:dyDescent="0.3">
      <c r="C33" s="95">
        <v>157.44</v>
      </c>
      <c r="D33" s="88">
        <f t="shared" si="0"/>
        <v>6.5562975299604184E-3</v>
      </c>
      <c r="E33" s="53"/>
    </row>
    <row r="34" spans="1:7" ht="15.75" customHeight="1" x14ac:dyDescent="0.3">
      <c r="C34" s="95">
        <v>154.68</v>
      </c>
      <c r="D34" s="88">
        <f t="shared" si="0"/>
        <v>-1.1089125368811696E-2</v>
      </c>
      <c r="E34" s="53"/>
    </row>
    <row r="35" spans="1:7" ht="15.75" customHeight="1" x14ac:dyDescent="0.3">
      <c r="C35" s="95">
        <v>160.66</v>
      </c>
      <c r="D35" s="88">
        <f t="shared" si="0"/>
        <v>2.7142624245194612E-2</v>
      </c>
      <c r="E35" s="53"/>
    </row>
    <row r="36" spans="1:7" ht="15.75" customHeight="1" x14ac:dyDescent="0.3">
      <c r="C36" s="95">
        <v>155.46</v>
      </c>
      <c r="D36" s="88">
        <f t="shared" si="0"/>
        <v>-6.1023754191586836E-3</v>
      </c>
      <c r="E36" s="53"/>
    </row>
    <row r="37" spans="1:7" ht="15.75" customHeight="1" x14ac:dyDescent="0.3">
      <c r="C37" s="95">
        <v>155.53</v>
      </c>
      <c r="D37" s="88">
        <f t="shared" si="0"/>
        <v>-5.654846577523201E-3</v>
      </c>
      <c r="E37" s="53"/>
    </row>
    <row r="38" spans="1:7" ht="15.75" customHeight="1" x14ac:dyDescent="0.3">
      <c r="C38" s="95">
        <v>154.61000000000001</v>
      </c>
      <c r="D38" s="88">
        <f t="shared" si="0"/>
        <v>-1.1536654210447179E-2</v>
      </c>
      <c r="E38" s="53"/>
    </row>
    <row r="39" spans="1:7" ht="15.75" customHeight="1" x14ac:dyDescent="0.3">
      <c r="C39" s="95">
        <v>157.19</v>
      </c>
      <c r="D39" s="88">
        <f t="shared" si="0"/>
        <v>4.9579802384049675E-3</v>
      </c>
      <c r="E39" s="53"/>
    </row>
    <row r="40" spans="1:7" ht="15.75" customHeight="1" x14ac:dyDescent="0.3">
      <c r="C40" s="95">
        <v>154.66</v>
      </c>
      <c r="D40" s="88">
        <f t="shared" si="0"/>
        <v>-1.1216990752136197E-2</v>
      </c>
      <c r="E40" s="53"/>
    </row>
    <row r="41" spans="1:7" ht="15.75" customHeight="1" x14ac:dyDescent="0.3">
      <c r="C41" s="95">
        <v>157.02000000000001</v>
      </c>
      <c r="D41" s="88">
        <f t="shared" si="0"/>
        <v>3.8711244801473417E-3</v>
      </c>
      <c r="E41" s="53"/>
    </row>
    <row r="42" spans="1:7" ht="15.75" customHeight="1" x14ac:dyDescent="0.3">
      <c r="C42" s="95">
        <v>155.93</v>
      </c>
      <c r="D42" s="88">
        <f t="shared" si="0"/>
        <v>-3.097538911034444E-3</v>
      </c>
      <c r="E42" s="53"/>
    </row>
    <row r="43" spans="1:7" ht="16.5" customHeight="1" x14ac:dyDescent="0.3">
      <c r="C43" s="96">
        <v>155.19999999999999</v>
      </c>
      <c r="D43" s="89">
        <f t="shared" si="0"/>
        <v>-7.7646254023764757E-3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3128.29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156.4145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156.4145</v>
      </c>
      <c r="C49" s="93">
        <f>-IF(C46&lt;=80,10%,IF(C46&lt;250,7.5%,5%))</f>
        <v>-7.4999999999999997E-2</v>
      </c>
      <c r="D49" s="81">
        <f>IF(C46&lt;=80,C46*0.9,IF(C46&lt;250,C46*0.925,C46*0.95))</f>
        <v>144.6834125</v>
      </c>
    </row>
    <row r="50" spans="1:6" ht="17.25" customHeight="1" x14ac:dyDescent="0.3">
      <c r="B50" s="287"/>
      <c r="C50" s="94">
        <f>IF(C46&lt;=80, 10%, IF(C46&lt;250, 7.5%, 5%))</f>
        <v>7.4999999999999997E-2</v>
      </c>
      <c r="D50" s="81">
        <f>IF(C46&lt;=80, C46*1.1, IF(C46&lt;250, C46*1.075, C46*1.05))</f>
        <v>168.1455875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60" zoomScale="55" zoomScaleNormal="40" zoomScalePageLayoutView="55" workbookViewId="0">
      <selection activeCell="J75" sqref="J7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">
      <c r="A15" s="98"/>
    </row>
    <row r="16" spans="1:9" ht="19.5" customHeight="1" x14ac:dyDescent="0.3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100" t="s">
        <v>33</v>
      </c>
      <c r="B18" s="296" t="s">
        <v>135</v>
      </c>
      <c r="C18" s="296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1" t="s">
        <v>136</v>
      </c>
      <c r="C20" s="30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1" t="s">
        <v>137</v>
      </c>
      <c r="C21" s="301"/>
      <c r="D21" s="301"/>
      <c r="E21" s="301"/>
      <c r="F21" s="301"/>
      <c r="G21" s="301"/>
      <c r="H21" s="301"/>
      <c r="I21" s="104"/>
    </row>
    <row r="22" spans="1:14" ht="26.25" customHeight="1" x14ac:dyDescent="0.4">
      <c r="A22" s="100" t="s">
        <v>37</v>
      </c>
      <c r="B22" s="105" t="s">
        <v>131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6" t="s">
        <v>133</v>
      </c>
      <c r="C26" s="296"/>
    </row>
    <row r="27" spans="1:14" ht="26.25" customHeight="1" x14ac:dyDescent="0.4">
      <c r="A27" s="109" t="s">
        <v>48</v>
      </c>
      <c r="B27" s="302" t="s">
        <v>134</v>
      </c>
      <c r="C27" s="302"/>
    </row>
    <row r="28" spans="1:14" ht="27" customHeight="1" x14ac:dyDescent="0.4">
      <c r="A28" s="109" t="s">
        <v>6</v>
      </c>
      <c r="B28" s="110">
        <v>100</v>
      </c>
    </row>
    <row r="29" spans="1:14" s="14" customFormat="1" ht="27" customHeight="1" x14ac:dyDescent="0.4">
      <c r="A29" s="109" t="s">
        <v>49</v>
      </c>
      <c r="B29" s="111"/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10"/>
      <c r="F36" s="309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55385828</v>
      </c>
      <c r="E38" s="133">
        <f>IF(ISBLANK(D38),"-",$D$48/$D$45*D38)</f>
        <v>51665884.328358218</v>
      </c>
      <c r="F38" s="132">
        <v>50668741</v>
      </c>
      <c r="G38" s="134">
        <f>IF(ISBLANK(F38),"-",$D$48/$F$45*F38)</f>
        <v>50872229.919678718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55177355</v>
      </c>
      <c r="E39" s="138">
        <f>IF(ISBLANK(D39),"-",$D$48/$D$45*D39)</f>
        <v>51471413.246268667</v>
      </c>
      <c r="F39" s="137">
        <v>50711289</v>
      </c>
      <c r="G39" s="139">
        <f>IF(ISBLANK(F39),"-",$D$48/$F$45*F39)</f>
        <v>50914948.795180723</v>
      </c>
      <c r="I39" s="313">
        <f>ABS((F43/D43*D42)-F42)/D42</f>
        <v>1.1458928170435983E-2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55005161</v>
      </c>
      <c r="E40" s="138">
        <f>IF(ISBLANK(D40),"-",$D$48/$D$45*D40)</f>
        <v>51310784.514925383</v>
      </c>
      <c r="F40" s="137">
        <v>50553024</v>
      </c>
      <c r="G40" s="139">
        <f>IF(ISBLANK(F40),"-",$D$48/$F$45*F40)</f>
        <v>50756048.192771085</v>
      </c>
      <c r="I40" s="31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55189448</v>
      </c>
      <c r="E42" s="148">
        <f>AVERAGE(E38:E41)</f>
        <v>51482694.029850759</v>
      </c>
      <c r="F42" s="147">
        <f>AVERAGE(F38:F41)</f>
        <v>50644351.333333336</v>
      </c>
      <c r="G42" s="149">
        <f>AVERAGE(G38:G41)</f>
        <v>50847742.302543513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16.079999999999998</v>
      </c>
      <c r="E43" s="140"/>
      <c r="F43" s="152">
        <v>14.94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16.079999999999998</v>
      </c>
      <c r="E44" s="155"/>
      <c r="F44" s="154">
        <f>F43*$B$34</f>
        <v>14.94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16.079999999999998</v>
      </c>
      <c r="E45" s="158"/>
      <c r="F45" s="157">
        <f>F44*$B$30/100</f>
        <v>14.94</v>
      </c>
      <c r="H45" s="150"/>
    </row>
    <row r="46" spans="1:14" ht="19.5" customHeight="1" x14ac:dyDescent="0.3">
      <c r="A46" s="314" t="s">
        <v>78</v>
      </c>
      <c r="B46" s="315"/>
      <c r="C46" s="153" t="s">
        <v>79</v>
      </c>
      <c r="D46" s="159">
        <f>D45/$B$45</f>
        <v>0.32159999999999994</v>
      </c>
      <c r="E46" s="160"/>
      <c r="F46" s="161">
        <f>F45/$B$45</f>
        <v>0.29880000000000001</v>
      </c>
      <c r="H46" s="150"/>
    </row>
    <row r="47" spans="1:14" ht="27" customHeight="1" x14ac:dyDescent="0.4">
      <c r="A47" s="316"/>
      <c r="B47" s="317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51165218.166197129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7.2156559332408731E-3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Ethambutol Hydrochloride 100 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Ethambutol</v>
      </c>
      <c r="H56" s="179"/>
    </row>
    <row r="57" spans="1:12" ht="18.75" x14ac:dyDescent="0.3">
      <c r="A57" s="176" t="s">
        <v>88</v>
      </c>
      <c r="B57" s="246">
        <f>Uniformity!C46</f>
        <v>156.4145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3</v>
      </c>
      <c r="C60" s="318" t="s">
        <v>94</v>
      </c>
      <c r="D60" s="321">
        <v>298.37</v>
      </c>
      <c r="E60" s="182">
        <v>1</v>
      </c>
      <c r="F60" s="183">
        <v>48667673</v>
      </c>
      <c r="G60" s="247">
        <f>IF(ISBLANK(F60),"-",(F60/$D$50*$D$47*$B$68)*($B$57/$D$60))</f>
        <v>99.728113352500927</v>
      </c>
      <c r="H60" s="265">
        <f t="shared" ref="H60:H71" si="0">IF(ISBLANK(F60),"-",(G60/$B$56)*100)</f>
        <v>99.728113352500927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319"/>
      <c r="D61" s="322"/>
      <c r="E61" s="184">
        <v>2</v>
      </c>
      <c r="F61" s="137">
        <v>48700831</v>
      </c>
      <c r="G61" s="248">
        <f>IF(ISBLANK(F61),"-",(F61/$D$50*$D$47*$B$68)*($B$57/$D$60))</f>
        <v>99.796059580021236</v>
      </c>
      <c r="H61" s="266">
        <f t="shared" si="0"/>
        <v>99.796059580021236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9"/>
      <c r="D62" s="322"/>
      <c r="E62" s="184">
        <v>3</v>
      </c>
      <c r="F62" s="185">
        <v>49347274</v>
      </c>
      <c r="G62" s="248">
        <f>IF(ISBLANK(F62),"-",(F62/$D$50*$D$47*$B$68)*($B$57/$D$60))</f>
        <v>101.12072823183721</v>
      </c>
      <c r="H62" s="266">
        <f t="shared" si="0"/>
        <v>101.12072823183721</v>
      </c>
      <c r="L62" s="112"/>
    </row>
    <row r="63" spans="1:12" ht="27" customHeight="1" x14ac:dyDescent="0.4">
      <c r="A63" s="124" t="s">
        <v>97</v>
      </c>
      <c r="B63" s="125">
        <v>1</v>
      </c>
      <c r="C63" s="320"/>
      <c r="D63" s="323"/>
      <c r="E63" s="186">
        <v>4</v>
      </c>
      <c r="F63" s="187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311.61</v>
      </c>
      <c r="E64" s="182">
        <v>1</v>
      </c>
      <c r="F64" s="183">
        <v>50329337</v>
      </c>
      <c r="G64" s="247">
        <f>IF(ISBLANK(F64),"-",(F64/$D$50*$D$47*$B$68)*($B$57/$D$64))</f>
        <v>98.751112998850886</v>
      </c>
      <c r="H64" s="265">
        <f t="shared" si="0"/>
        <v>98.751112998850886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4">
        <v>2</v>
      </c>
      <c r="F65" s="137">
        <v>50256492</v>
      </c>
      <c r="G65" s="248">
        <f>IF(ISBLANK(F65),"-",(F65/$D$50*$D$47*$B$68)*($B$57/$D$64))</f>
        <v>98.608183938879336</v>
      </c>
      <c r="H65" s="266">
        <f t="shared" si="0"/>
        <v>98.608183938879336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4">
        <v>3</v>
      </c>
      <c r="F66" s="137">
        <v>50206413</v>
      </c>
      <c r="G66" s="248">
        <f>IF(ISBLANK(F66),"-",(F66/$D$50*$D$47*$B$68)*($B$57/$D$64))</f>
        <v>98.509924011714602</v>
      </c>
      <c r="H66" s="266">
        <f t="shared" si="0"/>
        <v>98.509924011714602</v>
      </c>
    </row>
    <row r="67" spans="1:8" ht="27" customHeight="1" x14ac:dyDescent="0.4">
      <c r="A67" s="124" t="s">
        <v>102</v>
      </c>
      <c r="B67" s="125">
        <v>1</v>
      </c>
      <c r="C67" s="320"/>
      <c r="D67" s="323"/>
      <c r="E67" s="186">
        <v>4</v>
      </c>
      <c r="F67" s="187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666.66666666666674</v>
      </c>
      <c r="C68" s="318" t="s">
        <v>104</v>
      </c>
      <c r="D68" s="321">
        <v>310.77</v>
      </c>
      <c r="E68" s="182">
        <v>1</v>
      </c>
      <c r="F68" s="183">
        <v>50960078</v>
      </c>
      <c r="G68" s="247">
        <f>IF(ISBLANK(F68),"-",(F68/$D$50*$D$47*$B$68)*($B$57/$D$68))</f>
        <v>100.25895471051042</v>
      </c>
      <c r="H68" s="266">
        <f t="shared" si="0"/>
        <v>100.25895471051042</v>
      </c>
    </row>
    <row r="69" spans="1:8" ht="27" customHeight="1" x14ac:dyDescent="0.4">
      <c r="A69" s="172" t="s">
        <v>105</v>
      </c>
      <c r="B69" s="189">
        <f>(D47*B68)/B56*B57</f>
        <v>312.82900000000006</v>
      </c>
      <c r="C69" s="319"/>
      <c r="D69" s="322"/>
      <c r="E69" s="184">
        <v>2</v>
      </c>
      <c r="F69" s="137">
        <v>50762565</v>
      </c>
      <c r="G69" s="248">
        <f>IF(ISBLANK(F69),"-",(F69/$D$50*$D$47*$B$68)*($B$57/$D$68))</f>
        <v>99.870367257372337</v>
      </c>
      <c r="H69" s="266">
        <f t="shared" si="0"/>
        <v>99.870367257372337</v>
      </c>
    </row>
    <row r="70" spans="1:8" ht="26.25" customHeight="1" x14ac:dyDescent="0.4">
      <c r="A70" s="331" t="s">
        <v>78</v>
      </c>
      <c r="B70" s="332"/>
      <c r="C70" s="319"/>
      <c r="D70" s="322"/>
      <c r="E70" s="184">
        <v>3</v>
      </c>
      <c r="F70" s="137">
        <v>50254692</v>
      </c>
      <c r="G70" s="248">
        <f>IF(ISBLANK(F70),"-",(F70/$D$50*$D$47*$B$68)*($B$57/$D$68))</f>
        <v>98.871176947936576</v>
      </c>
      <c r="H70" s="266">
        <f t="shared" si="0"/>
        <v>98.871176947936576</v>
      </c>
    </row>
    <row r="71" spans="1:8" ht="27" customHeight="1" x14ac:dyDescent="0.4">
      <c r="A71" s="333"/>
      <c r="B71" s="334"/>
      <c r="C71" s="330"/>
      <c r="D71" s="323"/>
      <c r="E71" s="186">
        <v>4</v>
      </c>
      <c r="F71" s="187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3">
        <f>AVERAGE(G60:G71)</f>
        <v>99.501624558847055</v>
      </c>
      <c r="H72" s="336">
        <f>AVERAGE(H60:H71)</f>
        <v>99.501624558847055</v>
      </c>
    </row>
    <row r="73" spans="1:8" ht="26.25" customHeight="1" x14ac:dyDescent="0.4">
      <c r="C73" s="190"/>
      <c r="D73" s="190"/>
      <c r="E73" s="190"/>
      <c r="F73" s="193" t="s">
        <v>84</v>
      </c>
      <c r="G73" s="252">
        <f>STDEV(G60:G71)/G72</f>
        <v>8.8556637643966273E-3</v>
      </c>
      <c r="H73" s="337">
        <f>STDEV(H60:H71)/H72</f>
        <v>8.8556637643966273E-3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6" t="str">
        <f>B26</f>
        <v>ethambutol hydrochloride</v>
      </c>
      <c r="D76" s="326"/>
      <c r="E76" s="198" t="s">
        <v>108</v>
      </c>
      <c r="F76" s="198"/>
      <c r="G76" s="280">
        <f>H72</f>
        <v>99.501624558847055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2" t="str">
        <f>B26</f>
        <v>ethambutol hydrochloride</v>
      </c>
      <c r="C79" s="312"/>
    </row>
    <row r="80" spans="1:8" ht="26.25" customHeight="1" x14ac:dyDescent="0.4">
      <c r="A80" s="109" t="s">
        <v>48</v>
      </c>
      <c r="B80" s="312" t="str">
        <f>B27</f>
        <v>e12-3</v>
      </c>
      <c r="C80" s="312"/>
    </row>
    <row r="81" spans="1:12" ht="27" customHeight="1" x14ac:dyDescent="0.4">
      <c r="A81" s="109" t="s">
        <v>6</v>
      </c>
      <c r="B81" s="201">
        <f>B28</f>
        <v>100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09" t="s">
        <v>60</v>
      </c>
      <c r="G89" s="311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0.58099999999999996</v>
      </c>
      <c r="E91" s="133">
        <f>IF(ISBLANK(D91),"-",$D$101/$D$98*D91)</f>
        <v>0.61598812553011006</v>
      </c>
      <c r="F91" s="132">
        <v>0.54300000000000004</v>
      </c>
      <c r="G91" s="134">
        <f>IF(ISBLANK(F91),"-",$D$101/$F$98*F91)</f>
        <v>0.60636515912897815</v>
      </c>
      <c r="I91" s="135"/>
    </row>
    <row r="92" spans="1:12" ht="26.25" customHeight="1" x14ac:dyDescent="0.4">
      <c r="A92" s="124" t="s">
        <v>67</v>
      </c>
      <c r="B92" s="125">
        <v>3</v>
      </c>
      <c r="C92" s="191">
        <v>2</v>
      </c>
      <c r="D92" s="137">
        <v>0.57699999999999996</v>
      </c>
      <c r="E92" s="138">
        <f>IF(ISBLANK(D92),"-",$D$101/$D$98*D92)</f>
        <v>0.61174724342663256</v>
      </c>
      <c r="F92" s="137">
        <v>0.54300000000000004</v>
      </c>
      <c r="G92" s="139">
        <f>IF(ISBLANK(F92),"-",$D$101/$F$98*F92)</f>
        <v>0.60636515912897815</v>
      </c>
      <c r="I92" s="313">
        <f>ABS((F96/D96*D95)-F95)/D95</f>
        <v>5.335261895857423E-3</v>
      </c>
    </row>
    <row r="93" spans="1:12" ht="26.25" customHeight="1" x14ac:dyDescent="0.4">
      <c r="A93" s="124" t="s">
        <v>68</v>
      </c>
      <c r="B93" s="125">
        <v>100</v>
      </c>
      <c r="C93" s="191">
        <v>3</v>
      </c>
      <c r="D93" s="137">
        <v>0.57699999999999996</v>
      </c>
      <c r="E93" s="138">
        <f>IF(ISBLANK(D93),"-",$D$101/$D$98*D93)</f>
        <v>0.61174724342663256</v>
      </c>
      <c r="F93" s="137">
        <v>0.55200000000000005</v>
      </c>
      <c r="G93" s="139">
        <f>IF(ISBLANK(F93),"-",$D$101/$F$98*F93)</f>
        <v>0.6164154103852596</v>
      </c>
      <c r="I93" s="31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0.57833333333333325</v>
      </c>
      <c r="E95" s="148">
        <f>AVERAGE(E91:E94)</f>
        <v>0.61316087079445836</v>
      </c>
      <c r="F95" s="211">
        <f>AVERAGE(F91:F94)</f>
        <v>0.54600000000000004</v>
      </c>
      <c r="G95" s="212">
        <f>AVERAGE(G91:G94)</f>
        <v>0.60971524288107204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10.48</v>
      </c>
      <c r="E96" s="140"/>
      <c r="F96" s="152">
        <v>9.9499999999999993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10.48</v>
      </c>
      <c r="E97" s="155"/>
      <c r="F97" s="154">
        <f>F96*$B$87</f>
        <v>9.9499999999999993</v>
      </c>
    </row>
    <row r="98" spans="1:10" ht="19.5" customHeight="1" x14ac:dyDescent="0.3">
      <c r="A98" s="124" t="s">
        <v>76</v>
      </c>
      <c r="B98" s="217">
        <f>(B97/B96)*(B95/B94)*(B93/B92)*(B91/B90)*B89</f>
        <v>33333.333333333336</v>
      </c>
      <c r="C98" s="215" t="s">
        <v>115</v>
      </c>
      <c r="D98" s="218">
        <f>D97*$B$83/100</f>
        <v>10.48</v>
      </c>
      <c r="E98" s="158"/>
      <c r="F98" s="157">
        <f>F97*$B$83/100</f>
        <v>9.9499999999999993</v>
      </c>
    </row>
    <row r="99" spans="1:10" ht="19.5" customHeight="1" x14ac:dyDescent="0.3">
      <c r="A99" s="314" t="s">
        <v>78</v>
      </c>
      <c r="B99" s="328"/>
      <c r="C99" s="215" t="s">
        <v>116</v>
      </c>
      <c r="D99" s="219">
        <f>D98/$B$98</f>
        <v>3.144E-4</v>
      </c>
      <c r="E99" s="158"/>
      <c r="F99" s="161">
        <f>F98/$B$98</f>
        <v>2.9849999999999994E-4</v>
      </c>
      <c r="G99" s="220"/>
      <c r="H99" s="150"/>
    </row>
    <row r="100" spans="1:10" ht="19.5" customHeight="1" x14ac:dyDescent="0.3">
      <c r="A100" s="316"/>
      <c r="B100" s="329"/>
      <c r="C100" s="215" t="s">
        <v>80</v>
      </c>
      <c r="D100" s="221">
        <f>$B$56/$B$116</f>
        <v>3.3333333333333327E-4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11.111111111111109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11.111111111111109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0.6114380568377652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7.2086636051407844E-3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5</v>
      </c>
      <c r="C108" s="271">
        <v>1</v>
      </c>
      <c r="D108" s="281">
        <v>0.55800000000000005</v>
      </c>
      <c r="E108" s="249">
        <f t="shared" ref="E108:E113" si="1">IF(ISBLANK(D108),"-",D108/$D$103*$D$100*$B$116)</f>
        <v>91.260266475048013</v>
      </c>
      <c r="F108" s="272">
        <f t="shared" ref="F108:F113" si="2">IF(ISBLANK(D108), "-", (E108/$B$56)*100)</f>
        <v>91.260266475048013</v>
      </c>
    </row>
    <row r="109" spans="1:10" ht="26.25" customHeight="1" x14ac:dyDescent="0.4">
      <c r="A109" s="124" t="s">
        <v>95</v>
      </c>
      <c r="B109" s="125">
        <v>50</v>
      </c>
      <c r="C109" s="269">
        <v>2</v>
      </c>
      <c r="D109" s="282">
        <v>0.54</v>
      </c>
      <c r="E109" s="250">
        <f t="shared" si="1"/>
        <v>88.316386911336778</v>
      </c>
      <c r="F109" s="273">
        <f t="shared" si="2"/>
        <v>88.316386911336778</v>
      </c>
    </row>
    <row r="110" spans="1:10" ht="26.25" customHeight="1" x14ac:dyDescent="0.4">
      <c r="A110" s="124" t="s">
        <v>96</v>
      </c>
      <c r="B110" s="125">
        <v>3</v>
      </c>
      <c r="C110" s="269">
        <v>3</v>
      </c>
      <c r="D110" s="282">
        <v>0.54900000000000004</v>
      </c>
      <c r="E110" s="250">
        <f t="shared" si="1"/>
        <v>89.788326693192403</v>
      </c>
      <c r="F110" s="273">
        <f t="shared" si="2"/>
        <v>89.788326693192403</v>
      </c>
    </row>
    <row r="111" spans="1:10" ht="26.25" customHeight="1" x14ac:dyDescent="0.4">
      <c r="A111" s="124" t="s">
        <v>97</v>
      </c>
      <c r="B111" s="125">
        <v>100</v>
      </c>
      <c r="C111" s="269">
        <v>4</v>
      </c>
      <c r="D111" s="282">
        <v>0.54400000000000004</v>
      </c>
      <c r="E111" s="250">
        <f t="shared" si="1"/>
        <v>88.970582369939279</v>
      </c>
      <c r="F111" s="273">
        <f t="shared" si="2"/>
        <v>88.970582369939279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2">
        <v>0.56999999999999995</v>
      </c>
      <c r="E112" s="250">
        <f t="shared" si="1"/>
        <v>93.222852850855475</v>
      </c>
      <c r="F112" s="273">
        <f t="shared" si="2"/>
        <v>93.222852850855475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3">
        <v>0.56699999999999995</v>
      </c>
      <c r="E113" s="251">
        <f t="shared" si="1"/>
        <v>92.732206256903595</v>
      </c>
      <c r="F113" s="274">
        <f t="shared" si="2"/>
        <v>92.732206256903595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3"/>
      <c r="D115" s="256" t="s">
        <v>71</v>
      </c>
      <c r="E115" s="258">
        <f>AVERAGE(E108:E113)</f>
        <v>90.71510359287926</v>
      </c>
      <c r="F115" s="276">
        <f>AVERAGE(F108:F113)</f>
        <v>90.71510359287926</v>
      </c>
    </row>
    <row r="116" spans="1:10" ht="27" customHeight="1" x14ac:dyDescent="0.4">
      <c r="A116" s="124" t="s">
        <v>103</v>
      </c>
      <c r="B116" s="156">
        <f>(B115/B114)*(B113/B112)*(B111/B110)*(B109/B108)*B107</f>
        <v>300000.00000000006</v>
      </c>
      <c r="C116" s="234"/>
      <c r="D116" s="257" t="s">
        <v>84</v>
      </c>
      <c r="E116" s="255">
        <f>STDEV(E108:E113)/E115</f>
        <v>2.221770331529576E-2</v>
      </c>
      <c r="F116" s="335">
        <f>STDEV(F108:F113)/F115</f>
        <v>2.221770331529576E-2</v>
      </c>
      <c r="I116" s="98"/>
    </row>
    <row r="117" spans="1:10" ht="27" customHeight="1" x14ac:dyDescent="0.4">
      <c r="A117" s="314" t="s">
        <v>78</v>
      </c>
      <c r="B117" s="315"/>
      <c r="C117" s="235"/>
      <c r="D117" s="195" t="s">
        <v>20</v>
      </c>
      <c r="E117" s="260">
        <f>COUNT(E108:E113)</f>
        <v>6</v>
      </c>
      <c r="F117" s="261">
        <f>COUNT(F108:F113)</f>
        <v>6</v>
      </c>
      <c r="I117" s="98"/>
      <c r="J117" s="229"/>
    </row>
    <row r="118" spans="1:10" ht="26.25" customHeight="1" x14ac:dyDescent="0.3">
      <c r="A118" s="316"/>
      <c r="B118" s="317"/>
      <c r="C118" s="98"/>
      <c r="D118" s="259"/>
      <c r="E118" s="294" t="s">
        <v>123</v>
      </c>
      <c r="F118" s="295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88.316386911336778</v>
      </c>
      <c r="F119" s="277">
        <f>MIN(F108:F113)</f>
        <v>88.316386911336778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7" t="s">
        <v>125</v>
      </c>
      <c r="E120" s="263">
        <f>MAX(E108:E113)</f>
        <v>93.222852850855475</v>
      </c>
      <c r="F120" s="278">
        <f>MAX(F108:F113)</f>
        <v>93.222852850855475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6" t="str">
        <f>B26</f>
        <v>ethambutol hydrochloride</v>
      </c>
      <c r="D124" s="326"/>
      <c r="E124" s="198" t="s">
        <v>127</v>
      </c>
      <c r="F124" s="198"/>
      <c r="G124" s="279">
        <f>F115</f>
        <v>90.71510359287926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79">
        <f>MIN(F108:F113)</f>
        <v>88.316386911336778</v>
      </c>
      <c r="E125" s="209" t="s">
        <v>130</v>
      </c>
      <c r="F125" s="279">
        <f>MAX(F108:F113)</f>
        <v>93.222852850855475</v>
      </c>
      <c r="G125" s="199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327" t="s">
        <v>26</v>
      </c>
      <c r="C127" s="327"/>
      <c r="E127" s="204" t="s">
        <v>27</v>
      </c>
      <c r="F127" s="238"/>
      <c r="G127" s="327" t="s">
        <v>28</v>
      </c>
      <c r="H127" s="327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ETHAMBUTOL HYDROCHLORIDE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dcterms:created xsi:type="dcterms:W3CDTF">2005-07-05T10:19:27Z</dcterms:created>
  <dcterms:modified xsi:type="dcterms:W3CDTF">2017-11-01T16:00:58Z</dcterms:modified>
</cp:coreProperties>
</file>