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7\November\"/>
    </mc:Choice>
  </mc:AlternateContent>
  <bookViews>
    <workbookView xWindow="0" yWindow="0" windowWidth="20490" windowHeight="8235" activeTab="2"/>
  </bookViews>
  <sheets>
    <sheet name="SST EMT" sheetId="1" r:id="rId1"/>
    <sheet name="Uniformity" sheetId="2" r:id="rId2"/>
    <sheet name="EMTRICITABINE" sheetId="3" r:id="rId3"/>
    <sheet name="Tenofovir Disoproxil Fumurate" sheetId="4" r:id="rId4"/>
    <sheet name="SST TDF" sheetId="5" r:id="rId5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F51" i="5" l="1"/>
  <c r="F30" i="5"/>
  <c r="B42" i="5" l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42" i="1"/>
  <c r="B21" i="1"/>
  <c r="D68" i="4"/>
  <c r="D64" i="4"/>
  <c r="D60" i="4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9" i="3" s="1"/>
  <c r="F42" i="3"/>
  <c r="D42" i="3"/>
  <c r="B34" i="3"/>
  <c r="D44" i="3" s="1"/>
  <c r="B30" i="3"/>
  <c r="C46" i="2"/>
  <c r="B57" i="4" s="1"/>
  <c r="B69" i="4" s="1"/>
  <c r="C45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9" i="2" l="1"/>
  <c r="I92" i="4"/>
  <c r="D101" i="4"/>
  <c r="D102" i="4" s="1"/>
  <c r="D101" i="3"/>
  <c r="I92" i="3"/>
  <c r="F98" i="3"/>
  <c r="F99" i="3" s="1"/>
  <c r="D97" i="3"/>
  <c r="D98" i="3" s="1"/>
  <c r="F44" i="4"/>
  <c r="F45" i="4" s="1"/>
  <c r="F46" i="4" s="1"/>
  <c r="F98" i="4"/>
  <c r="F99" i="4" s="1"/>
  <c r="D45" i="4"/>
  <c r="D46" i="4" s="1"/>
  <c r="I39" i="3"/>
  <c r="D102" i="3"/>
  <c r="D45" i="3"/>
  <c r="D46" i="3" s="1"/>
  <c r="D49" i="4"/>
  <c r="C50" i="2"/>
  <c r="D30" i="2"/>
  <c r="D38" i="2"/>
  <c r="B49" i="2"/>
  <c r="D27" i="2"/>
  <c r="D31" i="2"/>
  <c r="D35" i="2"/>
  <c r="D39" i="2"/>
  <c r="D43" i="2"/>
  <c r="C49" i="2"/>
  <c r="F44" i="3"/>
  <c r="F45" i="3" s="1"/>
  <c r="G40" i="3" s="1"/>
  <c r="D97" i="4"/>
  <c r="D98" i="4" s="1"/>
  <c r="D99" i="4" s="1"/>
  <c r="D24" i="2"/>
  <c r="D28" i="2"/>
  <c r="D32" i="2"/>
  <c r="D36" i="2"/>
  <c r="D40" i="2"/>
  <c r="D49" i="2"/>
  <c r="B57" i="3"/>
  <c r="B69" i="3" s="1"/>
  <c r="D37" i="2"/>
  <c r="D33" i="2"/>
  <c r="D41" i="2"/>
  <c r="D26" i="2"/>
  <c r="D34" i="2"/>
  <c r="D42" i="2"/>
  <c r="D50" i="2"/>
  <c r="E91" i="3" l="1"/>
  <c r="G92" i="3"/>
  <c r="G91" i="3"/>
  <c r="G93" i="3"/>
  <c r="G94" i="3"/>
  <c r="G91" i="4"/>
  <c r="G94" i="4"/>
  <c r="G93" i="4"/>
  <c r="E41" i="4"/>
  <c r="E38" i="4"/>
  <c r="G41" i="4"/>
  <c r="E39" i="4"/>
  <c r="G38" i="4"/>
  <c r="G40" i="4"/>
  <c r="E40" i="4"/>
  <c r="G39" i="4"/>
  <c r="G92" i="4"/>
  <c r="E41" i="3"/>
  <c r="E40" i="3"/>
  <c r="E38" i="3"/>
  <c r="E39" i="3"/>
  <c r="G39" i="3"/>
  <c r="E94" i="3"/>
  <c r="G38" i="3"/>
  <c r="E93" i="4"/>
  <c r="D99" i="3"/>
  <c r="E93" i="3"/>
  <c r="E92" i="4"/>
  <c r="E94" i="4"/>
  <c r="E91" i="4"/>
  <c r="F46" i="3"/>
  <c r="G41" i="3"/>
  <c r="E92" i="3"/>
  <c r="G95" i="3" l="1"/>
  <c r="G95" i="4"/>
  <c r="D50" i="4"/>
  <c r="G70" i="4" s="1"/>
  <c r="H70" i="4" s="1"/>
  <c r="G42" i="4"/>
  <c r="D52" i="4"/>
  <c r="E42" i="4"/>
  <c r="D105" i="3"/>
  <c r="D103" i="3"/>
  <c r="E110" i="3" s="1"/>
  <c r="F110" i="3" s="1"/>
  <c r="E42" i="3"/>
  <c r="D50" i="3"/>
  <c r="G66" i="3" s="1"/>
  <c r="H66" i="3" s="1"/>
  <c r="E95" i="3"/>
  <c r="G42" i="3"/>
  <c r="D52" i="3"/>
  <c r="D103" i="4"/>
  <c r="E95" i="4"/>
  <c r="D105" i="4"/>
  <c r="D51" i="4" l="1"/>
  <c r="E111" i="3"/>
  <c r="F111" i="3" s="1"/>
  <c r="E113" i="3"/>
  <c r="F113" i="3" s="1"/>
  <c r="E112" i="3"/>
  <c r="F112" i="3" s="1"/>
  <c r="G60" i="4"/>
  <c r="G69" i="4"/>
  <c r="H69" i="4" s="1"/>
  <c r="G63" i="4"/>
  <c r="H63" i="4" s="1"/>
  <c r="G62" i="4"/>
  <c r="H62" i="4" s="1"/>
  <c r="G71" i="4"/>
  <c r="H71" i="4" s="1"/>
  <c r="G65" i="4"/>
  <c r="H65" i="4" s="1"/>
  <c r="G64" i="4"/>
  <c r="H64" i="4" s="1"/>
  <c r="G68" i="4"/>
  <c r="H68" i="4" s="1"/>
  <c r="G67" i="4"/>
  <c r="H67" i="4" s="1"/>
  <c r="G66" i="4"/>
  <c r="H66" i="4" s="1"/>
  <c r="G61" i="4"/>
  <c r="H61" i="4" s="1"/>
  <c r="D104" i="3"/>
  <c r="E108" i="3"/>
  <c r="E109" i="3"/>
  <c r="F109" i="3" s="1"/>
  <c r="G65" i="3"/>
  <c r="H65" i="3" s="1"/>
  <c r="G62" i="3"/>
  <c r="H62" i="3" s="1"/>
  <c r="G69" i="3"/>
  <c r="H69" i="3" s="1"/>
  <c r="G67" i="3"/>
  <c r="H67" i="3" s="1"/>
  <c r="G71" i="3"/>
  <c r="H71" i="3" s="1"/>
  <c r="G60" i="3"/>
  <c r="H60" i="3" s="1"/>
  <c r="G61" i="3"/>
  <c r="H61" i="3" s="1"/>
  <c r="G70" i="3"/>
  <c r="H70" i="3" s="1"/>
  <c r="G64" i="3"/>
  <c r="H64" i="3" s="1"/>
  <c r="G68" i="3"/>
  <c r="H68" i="3" s="1"/>
  <c r="G63" i="3"/>
  <c r="H63" i="3" s="1"/>
  <c r="D51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5" i="3" l="1"/>
  <c r="E116" i="3" s="1"/>
  <c r="E117" i="3"/>
  <c r="G72" i="4"/>
  <c r="G73" i="4" s="1"/>
  <c r="H60" i="4"/>
  <c r="H74" i="4" s="1"/>
  <c r="G74" i="4"/>
  <c r="E120" i="3"/>
  <c r="E119" i="3"/>
  <c r="F108" i="3"/>
  <c r="F119" i="3" s="1"/>
  <c r="G72" i="3"/>
  <c r="G73" i="3" s="1"/>
  <c r="G74" i="3"/>
  <c r="H74" i="3"/>
  <c r="H72" i="3"/>
  <c r="E120" i="4"/>
  <c r="E117" i="4"/>
  <c r="F108" i="4"/>
  <c r="E115" i="4"/>
  <c r="E116" i="4" s="1"/>
  <c r="E119" i="4"/>
  <c r="F117" i="3" l="1"/>
  <c r="H72" i="4"/>
  <c r="G76" i="4" s="1"/>
  <c r="F120" i="3"/>
  <c r="F115" i="3"/>
  <c r="F116" i="3" s="1"/>
  <c r="F125" i="3"/>
  <c r="D125" i="3"/>
  <c r="F125" i="4"/>
  <c r="F120" i="4"/>
  <c r="F117" i="4"/>
  <c r="D125" i="4"/>
  <c r="F115" i="4"/>
  <c r="F119" i="4"/>
  <c r="G76" i="3"/>
  <c r="H73" i="3"/>
  <c r="G124" i="3" l="1"/>
  <c r="H73" i="4"/>
  <c r="G124" i="4"/>
  <c r="F116" i="4"/>
</calcChain>
</file>

<file path=xl/sharedStrings.xml><?xml version="1.0" encoding="utf-8"?>
<sst xmlns="http://schemas.openxmlformats.org/spreadsheetml/2006/main" count="456" uniqueCount="139">
  <si>
    <t>HPLC System Suitability Report</t>
  </si>
  <si>
    <t>Analysis Data</t>
  </si>
  <si>
    <t>Assay</t>
  </si>
  <si>
    <t>Sample(s)</t>
  </si>
  <si>
    <t>Reference Substance:</t>
  </si>
  <si>
    <t>EMTRICITABINE &amp; TENOFOVIR DISOPROXIL FUMARATE TABLETS 200MG/300MG</t>
  </si>
  <si>
    <t>% age Purity:</t>
  </si>
  <si>
    <t>NDQD201708112</t>
  </si>
  <si>
    <t>Weight (mg):</t>
  </si>
  <si>
    <t>Emtricitabine &amp; Tenofovir Disoproxil Fumarate Tablets 200mg/300mg</t>
  </si>
  <si>
    <t>Standard Conc (mg/mL):</t>
  </si>
  <si>
    <t>each film coated tablets contains emtricitabine 200 mg,Tenofovir disoproxil fumarate 300 mg.</t>
  </si>
  <si>
    <t>2017-08-18 11:20:10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</si>
  <si>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</si>
  <si>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</si>
  <si>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</si>
  <si>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</si>
  <si>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</si>
  <si>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</si>
  <si>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</si>
  <si>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</si>
  <si>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</si>
  <si>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</si>
  <si>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</si>
  <si>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</si>
  <si>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</si>
  <si>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</si>
  <si>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</si>
  <si>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</si>
  <si>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</si>
  <si>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</si>
  <si>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</si>
  <si>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</si>
  <si>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</si>
  <si>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</si>
  <si>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</si>
  <si>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</si>
  <si>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</si>
  <si>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</si>
  <si>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</si>
  <si>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</si>
  <si>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</si>
  <si>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</si>
  <si>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</si>
  <si>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</si>
  <si>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</si>
  <si>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</si>
  <si>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</si>
  <si>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</si>
  <si>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</si>
  <si>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</si>
  <si>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</si>
  <si>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</si>
  <si>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</si>
  <si>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</si>
  <si>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</si>
  <si>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</si>
  <si>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</si>
  <si>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</si>
  <si>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</si>
  <si>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</si>
  <si>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</si>
  <si>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</si>
  <si>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</si>
  <si>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</si>
  <si>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</si>
  <si>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</si>
  <si>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</si>
  <si>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</si>
  <si>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</si>
  <si>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</si>
  <si>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</si>
  <si>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</si>
  <si>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</si>
  <si>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</si>
  <si>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</si>
  <si>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</si>
  <si>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</si>
  <si>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</si>
  <si>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</si>
  <si>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</si>
  <si>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</si>
  <si>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</si>
  <si>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</si>
  <si>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</si>
  <si>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</si>
  <si>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</si>
  <si>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</si>
  <si>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</si>
  <si>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</si>
  <si>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</si>
  <si>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</si>
  <si>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</si>
  <si>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</si>
  <si>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</si>
  <si>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</si>
  <si>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</si>
  <si>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</si>
  <si>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</si>
  <si>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</si>
  <si>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</si>
  <si>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</si>
  <si>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</si>
  <si>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</si>
  <si>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</si>
  <si>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</si>
  <si>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</si>
  <si>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</si>
  <si>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</si>
  <si>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</si>
  <si>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</si>
  <si>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</si>
  <si>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</si>
  <si>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</si>
  <si>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</si>
  <si>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</si>
  <si>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</si>
  <si>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</si>
  <si>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</si>
  <si>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</si>
  <si>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</si>
  <si>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</si>
  <si>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</si>
  <si>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</si>
  <si>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</si>
  <si>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</si>
  <si>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</si>
  <si>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</si>
  <si>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</si>
  <si>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</si>
  <si>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</si>
  <si>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Emtricitabine</t>
  </si>
  <si>
    <t>FOJ163</t>
  </si>
  <si>
    <t>T11-10</t>
  </si>
  <si>
    <t>EMTRICITABINE</t>
  </si>
  <si>
    <t xml:space="preserve">Tenofovir Disoproxil Fumurate </t>
  </si>
  <si>
    <t>Resolution</t>
  </si>
  <si>
    <t>Tenofovir Disoproxil Fumarate</t>
  </si>
  <si>
    <t>Tenofovir Disoproxil Fumurate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</si>
</sst>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25" fillId="3" borderId="0" xfId="0" applyFont="1" applyFill="1" applyAlignment="1" applyProtection="1">
      <alignment horizontal="left" wrapText="1"/>
      <protection locked="0"/>
    </xf>
    <xf numFmtId="0" fontId="26" fillId="3" borderId="0" xfId="0" applyFont="1" applyFill="1" applyAlignment="1" applyProtection="1">
      <alignment horizontal="left" wrapText="1"/>
      <protection locked="0"/>
    </xf>
    <xf numFmtId="2" fontId="13" fillId="3" borderId="5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B20/50*5/50</f>
        <v>4.1799999999999997E-2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4447315</v>
      </c>
      <c r="C24" s="18">
        <v>6851.4</v>
      </c>
      <c r="D24" s="19">
        <v>1</v>
      </c>
      <c r="E24" s="20">
        <v>5.4</v>
      </c>
    </row>
    <row r="25" spans="1:6" ht="16.5" customHeight="1" x14ac:dyDescent="0.3">
      <c r="A25" s="17">
        <v>2</v>
      </c>
      <c r="B25" s="18">
        <v>4561550</v>
      </c>
      <c r="C25" s="18">
        <v>6685.8</v>
      </c>
      <c r="D25" s="19">
        <v>1</v>
      </c>
      <c r="E25" s="19">
        <v>5.4</v>
      </c>
    </row>
    <row r="26" spans="1:6" ht="16.5" customHeight="1" x14ac:dyDescent="0.3">
      <c r="A26" s="17">
        <v>3</v>
      </c>
      <c r="B26" s="18">
        <v>4613367</v>
      </c>
      <c r="C26" s="18">
        <v>6686.6</v>
      </c>
      <c r="D26" s="19">
        <v>1</v>
      </c>
      <c r="E26" s="19">
        <v>5.4</v>
      </c>
    </row>
    <row r="27" spans="1:6" ht="16.5" customHeight="1" x14ac:dyDescent="0.3">
      <c r="A27" s="17">
        <v>4</v>
      </c>
      <c r="B27" s="18">
        <v>4595351</v>
      </c>
      <c r="C27" s="18">
        <v>6728.2</v>
      </c>
      <c r="D27" s="19">
        <v>1</v>
      </c>
      <c r="E27" s="19">
        <v>5.4</v>
      </c>
    </row>
    <row r="28" spans="1:6" ht="16.5" customHeight="1" x14ac:dyDescent="0.3">
      <c r="A28" s="17">
        <v>5</v>
      </c>
      <c r="B28" s="18">
        <v>4524029</v>
      </c>
      <c r="C28" s="18">
        <v>6773.9</v>
      </c>
      <c r="D28" s="19">
        <v>1.1000000000000001</v>
      </c>
      <c r="E28" s="19">
        <v>5.3</v>
      </c>
    </row>
    <row r="29" spans="1:6" ht="16.5" customHeight="1" x14ac:dyDescent="0.3">
      <c r="A29" s="17">
        <v>6</v>
      </c>
      <c r="B29" s="21">
        <v>4502236</v>
      </c>
      <c r="C29" s="21">
        <v>6831.1</v>
      </c>
      <c r="D29" s="22">
        <v>1.1000000000000001</v>
      </c>
      <c r="E29" s="22">
        <v>5.3</v>
      </c>
    </row>
    <row r="30" spans="1:6" ht="16.5" customHeight="1" x14ac:dyDescent="0.3">
      <c r="A30" s="23" t="s">
        <v>18</v>
      </c>
      <c r="B30" s="24">
        <f>AVERAGE(B24:B29)</f>
        <v>4540641.333333333</v>
      </c>
      <c r="C30" s="25">
        <f>AVERAGE(C24:C29)</f>
        <v>6759.5</v>
      </c>
      <c r="D30" s="26">
        <f>AVERAGE(D24:D29)</f>
        <v>1.0333333333333332</v>
      </c>
      <c r="E30" s="26">
        <f>AVERAGE(E24:E29)</f>
        <v>5.3666666666666671</v>
      </c>
    </row>
    <row r="31" spans="1:6" ht="16.5" customHeight="1" x14ac:dyDescent="0.3">
      <c r="A31" s="27" t="s">
        <v>19</v>
      </c>
      <c r="B31" s="28">
        <f>(STDEV(B24:B29)/B30)</f>
        <v>1.3640273490607067E-2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20.9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B41/50*5/10</f>
        <v>0.20899999999999999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6526749</v>
      </c>
      <c r="C45" s="18">
        <v>3278.1</v>
      </c>
      <c r="D45" s="19">
        <v>1</v>
      </c>
      <c r="E45" s="20">
        <v>3.6</v>
      </c>
    </row>
    <row r="46" spans="1:6" ht="16.5" customHeight="1" x14ac:dyDescent="0.3">
      <c r="A46" s="17">
        <v>2</v>
      </c>
      <c r="B46" s="18">
        <v>6444173</v>
      </c>
      <c r="C46" s="18">
        <v>3298.4</v>
      </c>
      <c r="D46" s="19">
        <v>1</v>
      </c>
      <c r="E46" s="19">
        <v>3.5</v>
      </c>
    </row>
    <row r="47" spans="1:6" ht="16.5" customHeight="1" x14ac:dyDescent="0.3">
      <c r="A47" s="17">
        <v>3</v>
      </c>
      <c r="B47" s="18">
        <v>6465138</v>
      </c>
      <c r="C47" s="18">
        <v>3239.1</v>
      </c>
      <c r="D47" s="19">
        <v>1</v>
      </c>
      <c r="E47" s="19">
        <v>3.5</v>
      </c>
    </row>
    <row r="48" spans="1:6" ht="16.5" customHeight="1" x14ac:dyDescent="0.3">
      <c r="A48" s="17">
        <v>4</v>
      </c>
      <c r="B48" s="18">
        <v>6456742</v>
      </c>
      <c r="C48" s="18">
        <v>3271.6</v>
      </c>
      <c r="D48" s="19">
        <v>1</v>
      </c>
      <c r="E48" s="19">
        <v>3.5</v>
      </c>
    </row>
    <row r="49" spans="1:7" ht="16.5" customHeight="1" x14ac:dyDescent="0.3">
      <c r="A49" s="17">
        <v>5</v>
      </c>
      <c r="B49" s="18">
        <v>6518898</v>
      </c>
      <c r="C49" s="18">
        <v>3292.5</v>
      </c>
      <c r="D49" s="19">
        <v>1</v>
      </c>
      <c r="E49" s="19">
        <v>3.5</v>
      </c>
    </row>
    <row r="50" spans="1:7" ht="16.5" customHeight="1" x14ac:dyDescent="0.3">
      <c r="A50" s="17">
        <v>6</v>
      </c>
      <c r="B50" s="21">
        <v>6475388</v>
      </c>
      <c r="C50" s="21">
        <v>3259.2</v>
      </c>
      <c r="D50" s="22">
        <v>1</v>
      </c>
      <c r="E50" s="22">
        <v>3.5</v>
      </c>
    </row>
    <row r="51" spans="1:7" ht="16.5" customHeight="1" x14ac:dyDescent="0.3">
      <c r="A51" s="23" t="s">
        <v>18</v>
      </c>
      <c r="B51" s="24">
        <f>AVERAGE(B45:B50)</f>
        <v>6481181.333333333</v>
      </c>
      <c r="C51" s="25">
        <f>AVERAGE(C45:C50)</f>
        <v>3273.15</v>
      </c>
      <c r="D51" s="26">
        <f>AVERAGE(D45:D50)</f>
        <v>1</v>
      </c>
      <c r="E51" s="26">
        <f>AVERAGE(E45:E50)</f>
        <v>3.5166666666666671</v>
      </c>
    </row>
    <row r="52" spans="1:7" ht="16.5" customHeight="1" x14ac:dyDescent="0.3">
      <c r="A52" s="27" t="s">
        <v>19</v>
      </c>
      <c r="B52" s="28">
        <f>(STDEV(B45:B50)/B51)</f>
        <v>5.2354221405035021E-3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5" t="s">
        <v>26</v>
      </c>
      <c r="C59" s="475"/>
      <c r="E59" s="45" t="s">
        <v>27</v>
      </c>
      <c r="F59" s="46"/>
      <c r="G59" s="45" t="s">
        <v>28</v>
      </c>
    </row>
    <row r="60" spans="1:7" ht="32.25" customHeight="1" x14ac:dyDescent="0.3">
      <c r="A60" s="47" t="s">
        <v>29</v>
      </c>
      <c r="B60" s="48"/>
      <c r="C60" s="48"/>
      <c r="E60" s="48"/>
      <c r="F60" s="2"/>
      <c r="G60" s="49"/>
    </row>
    <row r="61" spans="1:7" ht="42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7" workbookViewId="0">
      <selection activeCell="D47" sqref="D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9" t="s">
        <v>31</v>
      </c>
      <c r="B11" s="480"/>
      <c r="C11" s="480"/>
      <c r="D11" s="480"/>
      <c r="E11" s="480"/>
      <c r="F11" s="481"/>
      <c r="G11" s="91"/>
    </row>
    <row r="12" spans="1:7" ht="16.5" customHeight="1" x14ac:dyDescent="0.3">
      <c r="A12" s="478" t="s">
        <v>32</v>
      </c>
      <c r="B12" s="478"/>
      <c r="C12" s="478"/>
      <c r="D12" s="478"/>
      <c r="E12" s="478"/>
      <c r="F12" s="478"/>
      <c r="G12" s="90"/>
    </row>
    <row r="14" spans="1:7" ht="16.5" customHeight="1" x14ac:dyDescent="0.3">
      <c r="A14" s="483" t="s">
        <v>33</v>
      </c>
      <c r="B14" s="483"/>
      <c r="C14" s="60" t="s">
        <v>5</v>
      </c>
    </row>
    <row r="15" spans="1:7" ht="16.5" customHeight="1" x14ac:dyDescent="0.3">
      <c r="A15" s="483" t="s">
        <v>34</v>
      </c>
      <c r="B15" s="483"/>
      <c r="C15" s="60" t="s">
        <v>7</v>
      </c>
    </row>
    <row r="16" spans="1:7" ht="16.5" customHeight="1" x14ac:dyDescent="0.3">
      <c r="A16" s="483" t="s">
        <v>35</v>
      </c>
      <c r="B16" s="483"/>
      <c r="C16" s="60" t="s">
        <v>9</v>
      </c>
    </row>
    <row r="17" spans="1:5" ht="16.5" customHeight="1" x14ac:dyDescent="0.3">
      <c r="A17" s="483" t="s">
        <v>36</v>
      </c>
      <c r="B17" s="483"/>
      <c r="C17" s="60" t="s">
        <v>11</v>
      </c>
    </row>
    <row r="18" spans="1:5" ht="16.5" customHeight="1" x14ac:dyDescent="0.3">
      <c r="A18" s="483" t="s">
        <v>37</v>
      </c>
      <c r="B18" s="483"/>
      <c r="C18" s="97" t="s">
        <v>12</v>
      </c>
    </row>
    <row r="19" spans="1:5" ht="16.5" customHeight="1" x14ac:dyDescent="0.3">
      <c r="A19" s="483" t="s">
        <v>38</v>
      </c>
      <c r="B19" s="48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8" t="s">
        <v>1</v>
      </c>
      <c r="B21" s="478"/>
      <c r="C21" s="59" t="s">
        <v>39</v>
      </c>
      <c r="D21" s="66"/>
    </row>
    <row r="22" spans="1:5" ht="15.75" customHeight="1" x14ac:dyDescent="0.3">
      <c r="A22" s="482"/>
      <c r="B22" s="482"/>
      <c r="C22" s="57"/>
      <c r="D22" s="482"/>
      <c r="E22" s="48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1040.1199999999999</v>
      </c>
      <c r="D24" s="87">
        <f t="shared" ref="D24:D43" si="0">(C24-$C$46)/$C$46</f>
        <v>4.3835317486183743E-3</v>
      </c>
      <c r="E24" s="53"/>
    </row>
    <row r="25" spans="1:5" ht="15.75" customHeight="1" x14ac:dyDescent="0.3">
      <c r="C25" s="95">
        <v>1035.93</v>
      </c>
      <c r="D25" s="88">
        <f t="shared" si="0"/>
        <v>3.3749187050187022E-4</v>
      </c>
      <c r="E25" s="53"/>
    </row>
    <row r="26" spans="1:5" ht="15.75" customHeight="1" x14ac:dyDescent="0.3">
      <c r="C26" s="95">
        <v>1049.06</v>
      </c>
      <c r="D26" s="88">
        <f t="shared" si="0"/>
        <v>1.3016371011234902E-2</v>
      </c>
      <c r="E26" s="53"/>
    </row>
    <row r="27" spans="1:5" ht="15.75" customHeight="1" x14ac:dyDescent="0.3">
      <c r="C27" s="95">
        <v>1016.04</v>
      </c>
      <c r="D27" s="88">
        <f t="shared" si="0"/>
        <v>-1.8869127025856358E-2</v>
      </c>
      <c r="E27" s="53"/>
    </row>
    <row r="28" spans="1:5" ht="15.75" customHeight="1" x14ac:dyDescent="0.3">
      <c r="C28" s="95">
        <v>1034.3900000000001</v>
      </c>
      <c r="D28" s="88">
        <f t="shared" si="0"/>
        <v>-1.1495967720517159E-3</v>
      </c>
      <c r="E28" s="53"/>
    </row>
    <row r="29" spans="1:5" ht="15.75" customHeight="1" x14ac:dyDescent="0.3">
      <c r="C29" s="95">
        <v>1041.8599999999999</v>
      </c>
      <c r="D29" s="88">
        <f t="shared" si="0"/>
        <v>6.0637487863088382E-3</v>
      </c>
      <c r="E29" s="53"/>
    </row>
    <row r="30" spans="1:5" ht="15.75" customHeight="1" x14ac:dyDescent="0.3">
      <c r="C30" s="95">
        <v>1041.8599999999999</v>
      </c>
      <c r="D30" s="88">
        <f t="shared" si="0"/>
        <v>6.0637487863088382E-3</v>
      </c>
      <c r="E30" s="53"/>
    </row>
    <row r="31" spans="1:5" ht="15.75" customHeight="1" x14ac:dyDescent="0.3">
      <c r="C31" s="95">
        <v>1027.8499999999999</v>
      </c>
      <c r="D31" s="88">
        <f t="shared" si="0"/>
        <v>-7.4648952930263697E-3</v>
      </c>
      <c r="E31" s="53"/>
    </row>
    <row r="32" spans="1:5" ht="15.75" customHeight="1" x14ac:dyDescent="0.3">
      <c r="C32" s="95">
        <v>1028.3800000000001</v>
      </c>
      <c r="D32" s="88">
        <f t="shared" si="0"/>
        <v>-6.9531050459135666E-3</v>
      </c>
      <c r="E32" s="53"/>
    </row>
    <row r="33" spans="1:7" ht="15.75" customHeight="1" x14ac:dyDescent="0.3">
      <c r="C33" s="95">
        <v>1022.72</v>
      </c>
      <c r="D33" s="88">
        <f t="shared" si="0"/>
        <v>-1.2418638628286046E-2</v>
      </c>
      <c r="E33" s="53"/>
    </row>
    <row r="34" spans="1:7" ht="15.75" customHeight="1" x14ac:dyDescent="0.3">
      <c r="C34" s="95">
        <v>1025.27</v>
      </c>
      <c r="D34" s="88">
        <f t="shared" si="0"/>
        <v>-9.9562515902914574E-3</v>
      </c>
      <c r="E34" s="53"/>
    </row>
    <row r="35" spans="1:7" ht="15.75" customHeight="1" x14ac:dyDescent="0.3">
      <c r="C35" s="95">
        <v>1044.8900000000001</v>
      </c>
      <c r="D35" s="88">
        <f t="shared" si="0"/>
        <v>8.9896439726320655E-3</v>
      </c>
      <c r="E35" s="53"/>
    </row>
    <row r="36" spans="1:7" ht="15.75" customHeight="1" x14ac:dyDescent="0.3">
      <c r="C36" s="95">
        <v>1039.17</v>
      </c>
      <c r="D36" s="88">
        <f t="shared" si="0"/>
        <v>3.4661718717185885E-3</v>
      </c>
      <c r="E36" s="53"/>
    </row>
    <row r="37" spans="1:7" ht="15.75" customHeight="1" x14ac:dyDescent="0.3">
      <c r="C37" s="95">
        <v>1052.44</v>
      </c>
      <c r="D37" s="88">
        <f t="shared" si="0"/>
        <v>1.62802408890475E-2</v>
      </c>
      <c r="E37" s="53"/>
    </row>
    <row r="38" spans="1:7" ht="15.75" customHeight="1" x14ac:dyDescent="0.3">
      <c r="C38" s="95">
        <v>1010.29</v>
      </c>
      <c r="D38" s="88">
        <f t="shared" si="0"/>
        <v>-2.4421568386040336E-2</v>
      </c>
      <c r="E38" s="53"/>
    </row>
    <row r="39" spans="1:7" ht="15.75" customHeight="1" x14ac:dyDescent="0.3">
      <c r="C39" s="95">
        <v>1040.75</v>
      </c>
      <c r="D39" s="88">
        <f t="shared" si="0"/>
        <v>4.9918861932995058E-3</v>
      </c>
      <c r="E39" s="53"/>
    </row>
    <row r="40" spans="1:7" ht="15.75" customHeight="1" x14ac:dyDescent="0.3">
      <c r="C40" s="95">
        <v>1037.6300000000001</v>
      </c>
      <c r="D40" s="88">
        <f t="shared" si="0"/>
        <v>1.9790832291650025E-3</v>
      </c>
      <c r="E40" s="53"/>
    </row>
    <row r="41" spans="1:7" ht="15.75" customHeight="1" x14ac:dyDescent="0.3">
      <c r="C41" s="95">
        <v>1035.94</v>
      </c>
      <c r="D41" s="88">
        <f t="shared" si="0"/>
        <v>3.4714829025870312E-4</v>
      </c>
      <c r="E41" s="53"/>
    </row>
    <row r="42" spans="1:7" ht="15.75" customHeight="1" x14ac:dyDescent="0.3">
      <c r="C42" s="95">
        <v>1035</v>
      </c>
      <c r="D42" s="88">
        <f t="shared" si="0"/>
        <v>-5.6055516688446904E-4</v>
      </c>
      <c r="E42" s="53"/>
    </row>
    <row r="43" spans="1:7" ht="16.5" customHeight="1" x14ac:dyDescent="0.3">
      <c r="C43" s="96">
        <v>1052.02</v>
      </c>
      <c r="D43" s="89">
        <f t="shared" si="0"/>
        <v>1.5874671259260079E-2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20711.609999999997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1035.5804999999998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6">
        <f>C46</f>
        <v>1035.5804999999998</v>
      </c>
      <c r="C49" s="93">
        <f>-IF(C46&lt;=80,10%,IF(C46&lt;250,7.5%,5%))</f>
        <v>-0.05</v>
      </c>
      <c r="D49" s="81">
        <f>IF(C46&lt;=80,C46*0.9,IF(C46&lt;250,C46*0.925,C46*0.95))</f>
        <v>983.80147499999975</v>
      </c>
    </row>
    <row r="50" spans="1:6" ht="17.25" customHeight="1" x14ac:dyDescent="0.3">
      <c r="B50" s="477"/>
      <c r="C50" s="94">
        <f>IF(C46&lt;=80, 10%, IF(C46&lt;250, 7.5%, 5%))</f>
        <v>0.05</v>
      </c>
      <c r="D50" s="81">
        <f>IF(C46&lt;=80, C46*1.1, IF(C46&lt;250, C46*1.075, C46*1.05))</f>
        <v>1087.3595249999998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58" zoomScale="55" zoomScaleNormal="40" zoomScalePageLayoutView="55" workbookViewId="0">
      <selection activeCell="D96" sqref="D9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4" t="s">
        <v>45</v>
      </c>
      <c r="B1" s="484"/>
      <c r="C1" s="484"/>
      <c r="D1" s="484"/>
      <c r="E1" s="484"/>
      <c r="F1" s="484"/>
      <c r="G1" s="484"/>
      <c r="H1" s="484"/>
      <c r="I1" s="484"/>
    </row>
    <row r="2" spans="1:9" ht="18.75" customHeight="1" x14ac:dyDescent="0.25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8.75" customHeight="1" x14ac:dyDescent="0.25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8.75" customHeight="1" x14ac:dyDescent="0.25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8.75" customHeight="1" x14ac:dyDescent="0.25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8.75" customHeight="1" x14ac:dyDescent="0.25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8.75" customHeight="1" x14ac:dyDescent="0.25">
      <c r="A7" s="484"/>
      <c r="B7" s="484"/>
      <c r="C7" s="484"/>
      <c r="D7" s="484"/>
      <c r="E7" s="484"/>
      <c r="F7" s="484"/>
      <c r="G7" s="484"/>
      <c r="H7" s="484"/>
      <c r="I7" s="484"/>
    </row>
    <row r="8" spans="1:9" x14ac:dyDescent="0.25">
      <c r="A8" s="485" t="s">
        <v>46</v>
      </c>
      <c r="B8" s="485"/>
      <c r="C8" s="485"/>
      <c r="D8" s="485"/>
      <c r="E8" s="485"/>
      <c r="F8" s="485"/>
      <c r="G8" s="485"/>
      <c r="H8" s="485"/>
      <c r="I8" s="485"/>
    </row>
    <row r="9" spans="1:9" x14ac:dyDescent="0.25">
      <c r="A9" s="485"/>
      <c r="B9" s="485"/>
      <c r="C9" s="485"/>
      <c r="D9" s="485"/>
      <c r="E9" s="485"/>
      <c r="F9" s="485"/>
      <c r="G9" s="485"/>
      <c r="H9" s="485"/>
      <c r="I9" s="485"/>
    </row>
    <row r="10" spans="1:9" x14ac:dyDescent="0.25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 x14ac:dyDescent="0.25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 x14ac:dyDescent="0.25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 x14ac:dyDescent="0.25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 x14ac:dyDescent="0.25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 x14ac:dyDescent="0.3">
      <c r="A15" s="98"/>
    </row>
    <row r="16" spans="1:9" ht="19.5" customHeight="1" x14ac:dyDescent="0.3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25">
      <c r="A17" s="520" t="s">
        <v>47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4">
      <c r="A18" s="100" t="s">
        <v>33</v>
      </c>
      <c r="B18" s="516" t="s">
        <v>5</v>
      </c>
      <c r="C18" s="516"/>
      <c r="D18" s="24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25" t="s">
        <v>131</v>
      </c>
      <c r="C20" s="52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21" t="s">
        <v>11</v>
      </c>
      <c r="C21" s="521"/>
      <c r="D21" s="521"/>
      <c r="E21" s="521"/>
      <c r="F21" s="521"/>
      <c r="G21" s="521"/>
      <c r="H21" s="521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6" t="s">
        <v>131</v>
      </c>
      <c r="C26" s="516"/>
    </row>
    <row r="27" spans="1:14" ht="26.25" customHeight="1" x14ac:dyDescent="0.4">
      <c r="A27" s="109" t="s">
        <v>48</v>
      </c>
      <c r="B27" s="522" t="s">
        <v>132</v>
      </c>
      <c r="C27" s="522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492" t="s">
        <v>50</v>
      </c>
      <c r="D29" s="493"/>
      <c r="E29" s="493"/>
      <c r="F29" s="493"/>
      <c r="G29" s="49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5" t="s">
        <v>53</v>
      </c>
      <c r="D31" s="496"/>
      <c r="E31" s="496"/>
      <c r="F31" s="496"/>
      <c r="G31" s="496"/>
      <c r="H31" s="49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5" t="s">
        <v>55</v>
      </c>
      <c r="D32" s="496"/>
      <c r="E32" s="496"/>
      <c r="F32" s="496"/>
      <c r="G32" s="496"/>
      <c r="H32" s="49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98" t="s">
        <v>59</v>
      </c>
      <c r="E36" s="523"/>
      <c r="F36" s="498" t="s">
        <v>60</v>
      </c>
      <c r="G36" s="49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4327412</v>
      </c>
      <c r="E38" s="133">
        <f>IF(ISBLANK(D38),"-",$D$48/$D$45*D38)</f>
        <v>4149362.8405135637</v>
      </c>
      <c r="F38" s="132">
        <v>3942072</v>
      </c>
      <c r="G38" s="134">
        <f>IF(ISBLANK(F38),"-",$D$48/$F$45*F38)</f>
        <v>4197632.2464269679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4487572</v>
      </c>
      <c r="E39" s="138">
        <f>IF(ISBLANK(D39),"-",$D$48/$D$45*D39)</f>
        <v>4302933.1390052838</v>
      </c>
      <c r="F39" s="137">
        <v>3929077</v>
      </c>
      <c r="G39" s="139">
        <f>IF(ISBLANK(F39),"-",$D$48/$F$45*F39)</f>
        <v>4183794.794690338</v>
      </c>
      <c r="I39" s="500">
        <f>ABS((F43/D43*D42)-F42)/D42</f>
        <v>7.5449698945245422E-4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4327519</v>
      </c>
      <c r="E40" s="138">
        <f>IF(ISBLANK(D40),"-",$D$48/$D$45*D40)</f>
        <v>4149465.4380531404</v>
      </c>
      <c r="F40" s="137">
        <v>3953476</v>
      </c>
      <c r="G40" s="139">
        <f>IF(ISBLANK(F40),"-",$D$48/$F$45*F40)</f>
        <v>4209775.5553615205</v>
      </c>
      <c r="I40" s="50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4380834.333333333</v>
      </c>
      <c r="E42" s="148">
        <f>AVERAGE(E38:E41)</f>
        <v>4200587.1391906627</v>
      </c>
      <c r="F42" s="147">
        <f>AVERAGE(F38:F41)</f>
        <v>3941541.6666666665</v>
      </c>
      <c r="G42" s="149">
        <f>AVERAGE(G38:G41)</f>
        <v>4197067.5321596088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20.9</v>
      </c>
      <c r="E43" s="140"/>
      <c r="F43" s="152">
        <v>18.82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20.9</v>
      </c>
      <c r="E44" s="155"/>
      <c r="F44" s="154">
        <f>F43*$B$34</f>
        <v>18.82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20.858199999999997</v>
      </c>
      <c r="E45" s="158"/>
      <c r="F45" s="157">
        <f>F44*$B$30/100</f>
        <v>18.782359999999997</v>
      </c>
      <c r="H45" s="150"/>
    </row>
    <row r="46" spans="1:14" ht="19.5" customHeight="1" x14ac:dyDescent="0.3">
      <c r="A46" s="486" t="s">
        <v>78</v>
      </c>
      <c r="B46" s="487"/>
      <c r="C46" s="153" t="s">
        <v>79</v>
      </c>
      <c r="D46" s="159">
        <f>D45/$B$45</f>
        <v>4.1716399999999994E-2</v>
      </c>
      <c r="E46" s="160"/>
      <c r="F46" s="161">
        <f>F45/$B$45</f>
        <v>3.7564719999999996E-2</v>
      </c>
      <c r="H46" s="150"/>
    </row>
    <row r="47" spans="1:14" ht="27" customHeight="1" x14ac:dyDescent="0.4">
      <c r="A47" s="488"/>
      <c r="B47" s="489"/>
      <c r="C47" s="162" t="s">
        <v>80</v>
      </c>
      <c r="D47" s="163">
        <v>0.04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4198827.3356751353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1.3501321514931681E-2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emtricitabine 200 mg,Tenofovir disoproxil fumarate 300 mg.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>Emtricitabine</v>
      </c>
      <c r="H56" s="179"/>
    </row>
    <row r="57" spans="1:12" ht="18.75" x14ac:dyDescent="0.3">
      <c r="A57" s="176" t="s">
        <v>88</v>
      </c>
      <c r="B57" s="246">
        <f>Uniformity!C46</f>
        <v>1035.5804999999998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03" t="s">
        <v>94</v>
      </c>
      <c r="D60" s="506">
        <v>1126.8900000000001</v>
      </c>
      <c r="E60" s="182">
        <v>1</v>
      </c>
      <c r="F60" s="183">
        <v>4413992</v>
      </c>
      <c r="G60" s="247">
        <f>IF(ISBLANK(F60),"-",(F60/$D$50*$D$47*$B$68)*($B$57/$D$60))</f>
        <v>193.21278498749379</v>
      </c>
      <c r="H60" s="265">
        <f t="shared" ref="H60:H71" si="0">IF(ISBLANK(F60),"-",(G60/$B$56)*100)</f>
        <v>96.606392493746895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04"/>
      <c r="D61" s="507"/>
      <c r="E61" s="184">
        <v>2</v>
      </c>
      <c r="F61" s="137">
        <v>4424605</v>
      </c>
      <c r="G61" s="248">
        <f>IF(ISBLANK(F61),"-",(F61/$D$50*$D$47*$B$68)*($B$57/$D$60))</f>
        <v>193.67734570420382</v>
      </c>
      <c r="H61" s="266">
        <f t="shared" si="0"/>
        <v>96.838672852101908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4"/>
      <c r="D62" s="507"/>
      <c r="E62" s="184">
        <v>3</v>
      </c>
      <c r="F62" s="185">
        <v>4305008</v>
      </c>
      <c r="G62" s="248">
        <f>IF(ISBLANK(F62),"-",(F62/$D$50*$D$47*$B$68)*($B$57/$D$60))</f>
        <v>188.44225025179944</v>
      </c>
      <c r="H62" s="266">
        <f t="shared" si="0"/>
        <v>94.221125125899718</v>
      </c>
      <c r="L62" s="112"/>
    </row>
    <row r="63" spans="1:12" ht="27" customHeight="1" x14ac:dyDescent="0.4">
      <c r="A63" s="124" t="s">
        <v>97</v>
      </c>
      <c r="B63" s="125">
        <v>1</v>
      </c>
      <c r="C63" s="513"/>
      <c r="D63" s="508"/>
      <c r="E63" s="186">
        <v>4</v>
      </c>
      <c r="F63" s="187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3" t="s">
        <v>99</v>
      </c>
      <c r="D64" s="506">
        <v>1131.79</v>
      </c>
      <c r="E64" s="182">
        <v>1</v>
      </c>
      <c r="F64" s="183">
        <v>4422025</v>
      </c>
      <c r="G64" s="247">
        <f>IF(ISBLANK(F64),"-",(F64/$D$50*$D$47*$B$68)*($B$57/$D$64))</f>
        <v>192.72638926509106</v>
      </c>
      <c r="H64" s="265">
        <f t="shared" si="0"/>
        <v>96.363194632545529</v>
      </c>
    </row>
    <row r="65" spans="1:8" ht="26.25" customHeight="1" x14ac:dyDescent="0.4">
      <c r="A65" s="124" t="s">
        <v>100</v>
      </c>
      <c r="B65" s="125">
        <v>1</v>
      </c>
      <c r="C65" s="504"/>
      <c r="D65" s="507"/>
      <c r="E65" s="184">
        <v>2</v>
      </c>
      <c r="F65" s="137">
        <v>4332171</v>
      </c>
      <c r="G65" s="248">
        <f>IF(ISBLANK(F65),"-",(F65/$D$50*$D$47*$B$68)*($B$57/$D$64))</f>
        <v>188.81025650215429</v>
      </c>
      <c r="H65" s="266">
        <f t="shared" si="0"/>
        <v>94.405128251077144</v>
      </c>
    </row>
    <row r="66" spans="1:8" ht="26.25" customHeight="1" x14ac:dyDescent="0.4">
      <c r="A66" s="124" t="s">
        <v>101</v>
      </c>
      <c r="B66" s="125">
        <v>1</v>
      </c>
      <c r="C66" s="504"/>
      <c r="D66" s="507"/>
      <c r="E66" s="184">
        <v>3</v>
      </c>
      <c r="F66" s="137"/>
      <c r="G66" s="248" t="str">
        <f>IF(ISBLANK(F66),"-",(F66/$D$50*$D$47*$B$68)*($B$57/$D$64))</f>
        <v>-</v>
      </c>
      <c r="H66" s="266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513"/>
      <c r="D67" s="508"/>
      <c r="E67" s="186">
        <v>4</v>
      </c>
      <c r="F67" s="187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</v>
      </c>
      <c r="C68" s="503" t="s">
        <v>104</v>
      </c>
      <c r="D68" s="506">
        <v>1128.3599999999999</v>
      </c>
      <c r="E68" s="182">
        <v>1</v>
      </c>
      <c r="F68" s="183">
        <v>4236949</v>
      </c>
      <c r="G68" s="247">
        <f>IF(ISBLANK(F68),"-",(F68/$D$50*$D$47*$B$68)*($B$57/$D$68))</f>
        <v>185.22150047441792</v>
      </c>
      <c r="H68" s="266">
        <f t="shared" si="0"/>
        <v>92.610750237208961</v>
      </c>
    </row>
    <row r="69" spans="1:8" ht="27" customHeight="1" x14ac:dyDescent="0.4">
      <c r="A69" s="172" t="s">
        <v>105</v>
      </c>
      <c r="B69" s="189">
        <f>(D47*B68)/B56*B57</f>
        <v>1035.5804999999998</v>
      </c>
      <c r="C69" s="504"/>
      <c r="D69" s="507"/>
      <c r="E69" s="184">
        <v>2</v>
      </c>
      <c r="F69" s="137">
        <v>4319214</v>
      </c>
      <c r="G69" s="248">
        <f>IF(ISBLANK(F69),"-",(F69/$D$50*$D$47*$B$68)*($B$57/$D$68))</f>
        <v>188.81777853594943</v>
      </c>
      <c r="H69" s="266">
        <f t="shared" si="0"/>
        <v>94.408889267974715</v>
      </c>
    </row>
    <row r="70" spans="1:8" ht="26.25" customHeight="1" x14ac:dyDescent="0.4">
      <c r="A70" s="509" t="s">
        <v>78</v>
      </c>
      <c r="B70" s="510"/>
      <c r="C70" s="504"/>
      <c r="D70" s="507"/>
      <c r="E70" s="184">
        <v>3</v>
      </c>
      <c r="F70" s="137"/>
      <c r="G70" s="248" t="str">
        <f>IF(ISBLANK(F70),"-",(F70/$D$50*$D$47*$B$68)*($B$57/$D$68))</f>
        <v>-</v>
      </c>
      <c r="H70" s="266" t="str">
        <f t="shared" si="0"/>
        <v>-</v>
      </c>
    </row>
    <row r="71" spans="1:8" ht="27" customHeight="1" x14ac:dyDescent="0.4">
      <c r="A71" s="511"/>
      <c r="B71" s="512"/>
      <c r="C71" s="505"/>
      <c r="D71" s="508"/>
      <c r="E71" s="186">
        <v>4</v>
      </c>
      <c r="F71" s="187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3">
        <f>AVERAGE(G60:G71)</f>
        <v>190.12975796015851</v>
      </c>
      <c r="H72" s="268">
        <f>AVERAGE(H60:H71)</f>
        <v>95.064878980079257</v>
      </c>
    </row>
    <row r="73" spans="1:8" ht="26.25" customHeight="1" x14ac:dyDescent="0.4">
      <c r="C73" s="190"/>
      <c r="D73" s="190"/>
      <c r="E73" s="190"/>
      <c r="F73" s="193" t="s">
        <v>84</v>
      </c>
      <c r="G73" s="252">
        <f>STDEV(G60:G71)/G72</f>
        <v>1.6525694647840695E-2</v>
      </c>
      <c r="H73" s="252">
        <f>STDEV(H60:H71)/H72</f>
        <v>1.6525694647840695E-2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7</v>
      </c>
      <c r="H74" s="196">
        <f>COUNT(H60:H71)</f>
        <v>7</v>
      </c>
    </row>
    <row r="76" spans="1:8" ht="26.25" customHeight="1" x14ac:dyDescent="0.4">
      <c r="A76" s="108" t="s">
        <v>106</v>
      </c>
      <c r="B76" s="197" t="s">
        <v>107</v>
      </c>
      <c r="C76" s="490" t="str">
        <f>B26</f>
        <v>Emtricitabine</v>
      </c>
      <c r="D76" s="490"/>
      <c r="E76" s="198" t="s">
        <v>108</v>
      </c>
      <c r="F76" s="198"/>
      <c r="G76" s="284">
        <f>H72</f>
        <v>95.064878980079257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4" t="str">
        <f>B26</f>
        <v>Emtricitabine</v>
      </c>
      <c r="C79" s="524"/>
    </row>
    <row r="80" spans="1:8" ht="26.25" customHeight="1" x14ac:dyDescent="0.4">
      <c r="A80" s="109" t="s">
        <v>48</v>
      </c>
      <c r="B80" s="524" t="str">
        <f>B27</f>
        <v>FOJ163</v>
      </c>
      <c r="C80" s="524"/>
    </row>
    <row r="81" spans="1:12" ht="27" customHeight="1" x14ac:dyDescent="0.4">
      <c r="A81" s="109" t="s">
        <v>6</v>
      </c>
      <c r="B81" s="201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492" t="s">
        <v>50</v>
      </c>
      <c r="D82" s="493"/>
      <c r="E82" s="493"/>
      <c r="F82" s="493"/>
      <c r="G82" s="49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5" t="s">
        <v>111</v>
      </c>
      <c r="D84" s="496"/>
      <c r="E84" s="496"/>
      <c r="F84" s="496"/>
      <c r="G84" s="496"/>
      <c r="H84" s="49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5" t="s">
        <v>112</v>
      </c>
      <c r="D85" s="496"/>
      <c r="E85" s="496"/>
      <c r="F85" s="496"/>
      <c r="G85" s="496"/>
      <c r="H85" s="49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498" t="s">
        <v>60</v>
      </c>
      <c r="G89" s="499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</v>
      </c>
      <c r="C91" s="206">
        <v>1</v>
      </c>
      <c r="D91" s="132">
        <v>6467074</v>
      </c>
      <c r="E91" s="133">
        <f>IF(ISBLANK(D91),"-",$D$101/$D$98*D91)</f>
        <v>6889988.376540429</v>
      </c>
      <c r="F91" s="132">
        <v>5713388</v>
      </c>
      <c r="G91" s="134">
        <f>IF(ISBLANK(F91),"-",$D$101/$F$98*F91)</f>
        <v>6759756.3766096374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6507456</v>
      </c>
      <c r="E92" s="138">
        <f>IF(ISBLANK(D92),"-",$D$101/$D$98*D92)</f>
        <v>6933011.1578819538</v>
      </c>
      <c r="F92" s="137">
        <v>5804466</v>
      </c>
      <c r="G92" s="139">
        <f>IF(ISBLANK(F92),"-",$D$101/$F$98*F92)</f>
        <v>6867514.6964137284</v>
      </c>
      <c r="I92" s="500">
        <f>ABS((F96/D96*D95)-F95)/D95</f>
        <v>1.3104372596341273E-2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6525096</v>
      </c>
      <c r="E93" s="138">
        <f>IF(ISBLANK(D93),"-",$D$101/$D$98*D93)</f>
        <v>6951804.7258791924</v>
      </c>
      <c r="F93" s="137">
        <v>5785609</v>
      </c>
      <c r="G93" s="139">
        <f>IF(ISBLANK(F93),"-",$D$101/$F$98*F93)</f>
        <v>6845204.164380243</v>
      </c>
      <c r="I93" s="500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6499875.333333333</v>
      </c>
      <c r="E95" s="148">
        <f>AVERAGE(E91:E94)</f>
        <v>6924934.753433858</v>
      </c>
      <c r="F95" s="211">
        <f>AVERAGE(F91:F94)</f>
        <v>5767821</v>
      </c>
      <c r="G95" s="212">
        <f>AVERAGE(G91:G94)</f>
        <v>6824158.4124678699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527">
        <v>20.9</v>
      </c>
      <c r="E96" s="140"/>
      <c r="F96" s="152">
        <v>18.82</v>
      </c>
    </row>
    <row r="97" spans="1:10" ht="26.25" customHeight="1" x14ac:dyDescent="0.4">
      <c r="A97" s="124" t="s">
        <v>74</v>
      </c>
      <c r="B97" s="110">
        <v>1</v>
      </c>
      <c r="C97" s="214" t="s">
        <v>114</v>
      </c>
      <c r="D97" s="215">
        <f>D96*$B$87</f>
        <v>20.9</v>
      </c>
      <c r="E97" s="155"/>
      <c r="F97" s="154">
        <f>F96*$B$87</f>
        <v>18.82</v>
      </c>
    </row>
    <row r="98" spans="1:10" ht="19.5" customHeight="1" x14ac:dyDescent="0.3">
      <c r="A98" s="124" t="s">
        <v>76</v>
      </c>
      <c r="B98" s="216">
        <f>(B97/B96)*(B95/B94)*(B93/B92)*(B91/B90)*B89</f>
        <v>100</v>
      </c>
      <c r="C98" s="214" t="s">
        <v>115</v>
      </c>
      <c r="D98" s="217">
        <f>D97*$B$83/100</f>
        <v>20.858199999999997</v>
      </c>
      <c r="E98" s="158"/>
      <c r="F98" s="157">
        <f>F97*$B$83/100</f>
        <v>18.782359999999997</v>
      </c>
    </row>
    <row r="99" spans="1:10" ht="19.5" customHeight="1" x14ac:dyDescent="0.3">
      <c r="A99" s="486" t="s">
        <v>78</v>
      </c>
      <c r="B99" s="501"/>
      <c r="C99" s="214" t="s">
        <v>116</v>
      </c>
      <c r="D99" s="218">
        <f>D98/$B$98</f>
        <v>0.20858199999999996</v>
      </c>
      <c r="E99" s="158"/>
      <c r="F99" s="161">
        <f>F98/$B$98</f>
        <v>0.18782359999999998</v>
      </c>
      <c r="G99" s="219"/>
      <c r="H99" s="150"/>
    </row>
    <row r="100" spans="1:10" ht="19.5" customHeight="1" x14ac:dyDescent="0.3">
      <c r="A100" s="488"/>
      <c r="B100" s="502"/>
      <c r="C100" s="214" t="s">
        <v>80</v>
      </c>
      <c r="D100" s="220">
        <f>$B$56/$B$116</f>
        <v>0.22222222222222221</v>
      </c>
      <c r="F100" s="166"/>
      <c r="G100" s="221"/>
      <c r="H100" s="150"/>
    </row>
    <row r="101" spans="1:10" ht="18.75" x14ac:dyDescent="0.3">
      <c r="C101" s="214" t="s">
        <v>81</v>
      </c>
      <c r="D101" s="215">
        <f>D100*$B$98</f>
        <v>22.222222222222221</v>
      </c>
      <c r="F101" s="166"/>
      <c r="G101" s="219"/>
      <c r="H101" s="150"/>
    </row>
    <row r="102" spans="1:10" ht="19.5" customHeight="1" x14ac:dyDescent="0.3">
      <c r="C102" s="222" t="s">
        <v>82</v>
      </c>
      <c r="D102" s="223">
        <f>D101/B34</f>
        <v>22.222222222222221</v>
      </c>
      <c r="F102" s="170"/>
      <c r="G102" s="219"/>
      <c r="H102" s="150"/>
      <c r="J102" s="224"/>
    </row>
    <row r="103" spans="1:10" ht="18.75" x14ac:dyDescent="0.3">
      <c r="C103" s="225" t="s">
        <v>117</v>
      </c>
      <c r="D103" s="226">
        <f>AVERAGE(E91:E94,G91:G94)</f>
        <v>6874546.582950864</v>
      </c>
      <c r="F103" s="170"/>
      <c r="G103" s="227"/>
      <c r="H103" s="150"/>
      <c r="J103" s="228"/>
    </row>
    <row r="104" spans="1:10" ht="18.75" x14ac:dyDescent="0.3">
      <c r="C104" s="193" t="s">
        <v>84</v>
      </c>
      <c r="D104" s="229">
        <f>STDEV(E91:E94,G91:G94)/D103</f>
        <v>1.0017525543258644E-2</v>
      </c>
      <c r="F104" s="170"/>
      <c r="G104" s="219"/>
      <c r="H104" s="150"/>
      <c r="J104" s="228"/>
    </row>
    <row r="105" spans="1:10" ht="19.5" customHeight="1" x14ac:dyDescent="0.3">
      <c r="C105" s="195" t="s">
        <v>20</v>
      </c>
      <c r="D105" s="230">
        <f>COUNT(E91:E94,G91:G94)</f>
        <v>6</v>
      </c>
      <c r="F105" s="170"/>
      <c r="G105" s="219"/>
      <c r="H105" s="150"/>
      <c r="J105" s="228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4" t="s">
        <v>122</v>
      </c>
      <c r="B108" s="125">
        <v>1</v>
      </c>
      <c r="C108" s="274">
        <v>1</v>
      </c>
      <c r="D108" s="275">
        <v>6718986</v>
      </c>
      <c r="E108" s="249">
        <f t="shared" ref="E108:E113" si="1">IF(ISBLANK(D108),"-",D108/$D$103*$D$100*$B$116)</f>
        <v>195.47430274640482</v>
      </c>
      <c r="F108" s="276">
        <f t="shared" ref="F108:F113" si="2">IF(ISBLANK(D108), "-", (E108/$B$56)*100)</f>
        <v>97.737151373202408</v>
      </c>
    </row>
    <row r="109" spans="1:10" ht="26.25" customHeight="1" x14ac:dyDescent="0.4">
      <c r="A109" s="124" t="s">
        <v>95</v>
      </c>
      <c r="B109" s="125">
        <v>1</v>
      </c>
      <c r="C109" s="270">
        <v>2</v>
      </c>
      <c r="D109" s="272">
        <v>6368597</v>
      </c>
      <c r="E109" s="250">
        <f t="shared" si="1"/>
        <v>185.2804959033767</v>
      </c>
      <c r="F109" s="277">
        <f t="shared" si="2"/>
        <v>92.640247951688352</v>
      </c>
    </row>
    <row r="110" spans="1:10" ht="26.25" customHeight="1" x14ac:dyDescent="0.4">
      <c r="A110" s="124" t="s">
        <v>96</v>
      </c>
      <c r="B110" s="125">
        <v>1</v>
      </c>
      <c r="C110" s="270">
        <v>3</v>
      </c>
      <c r="D110" s="272">
        <v>6421642</v>
      </c>
      <c r="E110" s="250">
        <f t="shared" si="1"/>
        <v>186.82372495448399</v>
      </c>
      <c r="F110" s="277">
        <f t="shared" si="2"/>
        <v>93.411862477241996</v>
      </c>
    </row>
    <row r="111" spans="1:10" ht="26.25" customHeight="1" x14ac:dyDescent="0.4">
      <c r="A111" s="124" t="s">
        <v>97</v>
      </c>
      <c r="B111" s="125">
        <v>1</v>
      </c>
      <c r="C111" s="270">
        <v>4</v>
      </c>
      <c r="D111" s="272">
        <v>6351153</v>
      </c>
      <c r="E111" s="250">
        <f t="shared" si="1"/>
        <v>184.77300061508348</v>
      </c>
      <c r="F111" s="277">
        <f t="shared" si="2"/>
        <v>92.386500307541738</v>
      </c>
    </row>
    <row r="112" spans="1:10" ht="26.25" customHeight="1" x14ac:dyDescent="0.4">
      <c r="A112" s="124" t="s">
        <v>98</v>
      </c>
      <c r="B112" s="125">
        <v>1</v>
      </c>
      <c r="C112" s="270">
        <v>5</v>
      </c>
      <c r="D112" s="272">
        <v>6318594</v>
      </c>
      <c r="E112" s="250">
        <f t="shared" si="1"/>
        <v>183.8257672344632</v>
      </c>
      <c r="F112" s="277">
        <f t="shared" si="2"/>
        <v>91.9128836172316</v>
      </c>
    </row>
    <row r="113" spans="1:10" ht="27" customHeight="1" x14ac:dyDescent="0.4">
      <c r="A113" s="124" t="s">
        <v>100</v>
      </c>
      <c r="B113" s="125">
        <v>1</v>
      </c>
      <c r="C113" s="271">
        <v>6</v>
      </c>
      <c r="D113" s="273">
        <v>6377884</v>
      </c>
      <c r="E113" s="251">
        <f t="shared" si="1"/>
        <v>185.55068099523518</v>
      </c>
      <c r="F113" s="278">
        <f t="shared" si="2"/>
        <v>92.775340497617591</v>
      </c>
    </row>
    <row r="114" spans="1:10" ht="27" customHeight="1" x14ac:dyDescent="0.4">
      <c r="A114" s="124" t="s">
        <v>101</v>
      </c>
      <c r="B114" s="125">
        <v>1</v>
      </c>
      <c r="C114" s="232"/>
      <c r="D114" s="191"/>
      <c r="E114" s="98"/>
      <c r="F114" s="279"/>
    </row>
    <row r="115" spans="1:10" ht="26.25" customHeight="1" x14ac:dyDescent="0.4">
      <c r="A115" s="124" t="s">
        <v>102</v>
      </c>
      <c r="B115" s="125">
        <v>1</v>
      </c>
      <c r="C115" s="232"/>
      <c r="D115" s="256" t="s">
        <v>71</v>
      </c>
      <c r="E115" s="258">
        <f>AVERAGE(E108:E113)</f>
        <v>186.9546620748412</v>
      </c>
      <c r="F115" s="280">
        <f>AVERAGE(F108:F113)</f>
        <v>93.477331037420598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3"/>
      <c r="D116" s="257" t="s">
        <v>84</v>
      </c>
      <c r="E116" s="255">
        <f>STDEV(E108:E113)/E115</f>
        <v>2.2934835397592675E-2</v>
      </c>
      <c r="F116" s="234">
        <f>STDEV(F108:F113)/F115</f>
        <v>2.2934835397592675E-2</v>
      </c>
      <c r="I116" s="98"/>
    </row>
    <row r="117" spans="1:10" ht="27" customHeight="1" x14ac:dyDescent="0.4">
      <c r="A117" s="486" t="s">
        <v>78</v>
      </c>
      <c r="B117" s="487"/>
      <c r="C117" s="235"/>
      <c r="D117" s="195" t="s">
        <v>20</v>
      </c>
      <c r="E117" s="260">
        <f>COUNT(E108:E113)</f>
        <v>6</v>
      </c>
      <c r="F117" s="261">
        <f>COUNT(F108:F113)</f>
        <v>6</v>
      </c>
      <c r="I117" s="98"/>
      <c r="J117" s="228"/>
    </row>
    <row r="118" spans="1:10" ht="26.25" customHeight="1" x14ac:dyDescent="0.3">
      <c r="A118" s="488"/>
      <c r="B118" s="489"/>
      <c r="C118" s="98"/>
      <c r="D118" s="259"/>
      <c r="E118" s="514" t="s">
        <v>123</v>
      </c>
      <c r="F118" s="515"/>
      <c r="G118" s="98"/>
      <c r="H118" s="98"/>
      <c r="I118" s="98"/>
    </row>
    <row r="119" spans="1:10" ht="25.5" customHeight="1" x14ac:dyDescent="0.4">
      <c r="A119" s="244"/>
      <c r="B119" s="120"/>
      <c r="C119" s="98"/>
      <c r="D119" s="257" t="s">
        <v>124</v>
      </c>
      <c r="E119" s="262">
        <f>MIN(E108:E113)</f>
        <v>183.8257672344632</v>
      </c>
      <c r="F119" s="281">
        <f>MIN(F108:F113)</f>
        <v>91.9128836172316</v>
      </c>
      <c r="G119" s="98"/>
      <c r="H119" s="98"/>
      <c r="I119" s="98"/>
    </row>
    <row r="120" spans="1:10" ht="24" customHeight="1" x14ac:dyDescent="0.4">
      <c r="A120" s="244"/>
      <c r="B120" s="120"/>
      <c r="C120" s="98"/>
      <c r="D120" s="167" t="s">
        <v>125</v>
      </c>
      <c r="E120" s="263">
        <f>MAX(E108:E113)</f>
        <v>195.47430274640482</v>
      </c>
      <c r="F120" s="282">
        <f>MAX(F108:F113)</f>
        <v>97.737151373202408</v>
      </c>
      <c r="G120" s="98"/>
      <c r="H120" s="98"/>
      <c r="I120" s="98"/>
    </row>
    <row r="121" spans="1:10" ht="27" customHeight="1" x14ac:dyDescent="0.3">
      <c r="A121" s="244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4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4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490" t="str">
        <f>B26</f>
        <v>Emtricitabine</v>
      </c>
      <c r="D124" s="490"/>
      <c r="E124" s="198" t="s">
        <v>127</v>
      </c>
      <c r="F124" s="198"/>
      <c r="G124" s="283">
        <f>F115</f>
        <v>93.477331037420598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3">
        <f>MIN(F108:F113)</f>
        <v>91.9128836172316</v>
      </c>
      <c r="E125" s="209" t="s">
        <v>130</v>
      </c>
      <c r="F125" s="283">
        <f>MAX(F108:F113)</f>
        <v>97.737151373202408</v>
      </c>
      <c r="G125" s="199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491" t="s">
        <v>26</v>
      </c>
      <c r="C127" s="491"/>
      <c r="E127" s="204" t="s">
        <v>27</v>
      </c>
      <c r="F127" s="238"/>
      <c r="G127" s="491" t="s">
        <v>28</v>
      </c>
      <c r="H127" s="491"/>
    </row>
    <row r="128" spans="1:10" ht="69.95" customHeight="1" x14ac:dyDescent="0.3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8"/>
      <c r="G129" s="243"/>
      <c r="H129" s="243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3" zoomScale="55" zoomScaleNormal="40" zoomScalePageLayoutView="55" workbookViewId="0">
      <selection activeCell="F66" sqref="F6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4" t="s">
        <v>45</v>
      </c>
      <c r="B1" s="484"/>
      <c r="C1" s="484"/>
      <c r="D1" s="484"/>
      <c r="E1" s="484"/>
      <c r="F1" s="484"/>
      <c r="G1" s="484"/>
      <c r="H1" s="484"/>
      <c r="I1" s="484"/>
    </row>
    <row r="2" spans="1:9" ht="18.75" customHeight="1" x14ac:dyDescent="0.25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8.75" customHeight="1" x14ac:dyDescent="0.25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8.75" customHeight="1" x14ac:dyDescent="0.25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8.75" customHeight="1" x14ac:dyDescent="0.25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8.75" customHeight="1" x14ac:dyDescent="0.25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8.75" customHeight="1" x14ac:dyDescent="0.25">
      <c r="A7" s="484"/>
      <c r="B7" s="484"/>
      <c r="C7" s="484"/>
      <c r="D7" s="484"/>
      <c r="E7" s="484"/>
      <c r="F7" s="484"/>
      <c r="G7" s="484"/>
      <c r="H7" s="484"/>
      <c r="I7" s="484"/>
    </row>
    <row r="8" spans="1:9" x14ac:dyDescent="0.25">
      <c r="A8" s="485" t="s">
        <v>46</v>
      </c>
      <c r="B8" s="485"/>
      <c r="C8" s="485"/>
      <c r="D8" s="485"/>
      <c r="E8" s="485"/>
      <c r="F8" s="485"/>
      <c r="G8" s="485"/>
      <c r="H8" s="485"/>
      <c r="I8" s="485"/>
    </row>
    <row r="9" spans="1:9" x14ac:dyDescent="0.25">
      <c r="A9" s="485"/>
      <c r="B9" s="485"/>
      <c r="C9" s="485"/>
      <c r="D9" s="485"/>
      <c r="E9" s="485"/>
      <c r="F9" s="485"/>
      <c r="G9" s="485"/>
      <c r="H9" s="485"/>
      <c r="I9" s="485"/>
    </row>
    <row r="10" spans="1:9" x14ac:dyDescent="0.25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 x14ac:dyDescent="0.25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 x14ac:dyDescent="0.25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 x14ac:dyDescent="0.25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 x14ac:dyDescent="0.25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 x14ac:dyDescent="0.3">
      <c r="A15" s="285"/>
    </row>
    <row r="16" spans="1:9" ht="19.5" customHeight="1" x14ac:dyDescent="0.3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25">
      <c r="A17" s="520" t="s">
        <v>47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4">
      <c r="A18" s="287" t="s">
        <v>33</v>
      </c>
      <c r="B18" s="516" t="s">
        <v>5</v>
      </c>
      <c r="C18" s="516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525" t="s">
        <v>137</v>
      </c>
      <c r="C20" s="521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521" t="s">
        <v>11</v>
      </c>
      <c r="C21" s="521"/>
      <c r="D21" s="521"/>
      <c r="E21" s="521"/>
      <c r="F21" s="521"/>
      <c r="G21" s="521"/>
      <c r="H21" s="521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526" t="s">
        <v>138</v>
      </c>
      <c r="C26" s="516"/>
    </row>
    <row r="27" spans="1:14" ht="26.25" customHeight="1" x14ac:dyDescent="0.4">
      <c r="A27" s="296" t="s">
        <v>48</v>
      </c>
      <c r="B27" s="522" t="s">
        <v>133</v>
      </c>
      <c r="C27" s="522"/>
    </row>
    <row r="28" spans="1:14" ht="27" customHeight="1" x14ac:dyDescent="0.4">
      <c r="A28" s="296" t="s">
        <v>6</v>
      </c>
      <c r="B28" s="297">
        <v>99.54</v>
      </c>
    </row>
    <row r="29" spans="1:14" s="14" customFormat="1" ht="27" customHeight="1" x14ac:dyDescent="0.4">
      <c r="A29" s="296" t="s">
        <v>49</v>
      </c>
      <c r="B29" s="298">
        <v>0</v>
      </c>
      <c r="C29" s="492" t="s">
        <v>50</v>
      </c>
      <c r="D29" s="493"/>
      <c r="E29" s="493"/>
      <c r="F29" s="493"/>
      <c r="G29" s="494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99.54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5" t="s">
        <v>53</v>
      </c>
      <c r="D31" s="496"/>
      <c r="E31" s="496"/>
      <c r="F31" s="496"/>
      <c r="G31" s="496"/>
      <c r="H31" s="497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5" t="s">
        <v>55</v>
      </c>
      <c r="D32" s="496"/>
      <c r="E32" s="496"/>
      <c r="F32" s="496"/>
      <c r="G32" s="496"/>
      <c r="H32" s="497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50</v>
      </c>
      <c r="C36" s="286"/>
      <c r="D36" s="498" t="s">
        <v>59</v>
      </c>
      <c r="E36" s="523"/>
      <c r="F36" s="498" t="s">
        <v>60</v>
      </c>
      <c r="G36" s="499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5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50</v>
      </c>
      <c r="C38" s="318">
        <v>1</v>
      </c>
      <c r="D38" s="319">
        <v>6255640</v>
      </c>
      <c r="E38" s="320">
        <f>IF(ISBLANK(D38),"-",$D$48/$D$45*D38)</f>
        <v>6046711.602041617</v>
      </c>
      <c r="F38" s="319">
        <v>5765830</v>
      </c>
      <c r="G38" s="321">
        <f>IF(ISBLANK(F38),"-",$D$48/$F$45*F38)</f>
        <v>6105912.2137517743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6204938</v>
      </c>
      <c r="E39" s="325">
        <f>IF(ISBLANK(D39),"-",$D$48/$D$45*D39)</f>
        <v>5997702.9679695293</v>
      </c>
      <c r="F39" s="324">
        <v>5803438</v>
      </c>
      <c r="G39" s="326">
        <f>IF(ISBLANK(F39),"-",$D$48/$F$45*F39)</f>
        <v>6145738.4220400481</v>
      </c>
      <c r="I39" s="500">
        <f>ABS((F43/D43*D42)-F42)/D42</f>
        <v>2.5729713728599994E-2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6180054</v>
      </c>
      <c r="E40" s="325">
        <f>IF(ISBLANK(D40),"-",$D$48/$D$45*D40)</f>
        <v>5973650.0538783725</v>
      </c>
      <c r="F40" s="324">
        <v>5924859</v>
      </c>
      <c r="G40" s="326">
        <f>IF(ISBLANK(F40),"-",$D$48/$F$45*F40)</f>
        <v>6274321.1181837004</v>
      </c>
      <c r="I40" s="500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6213544</v>
      </c>
      <c r="E42" s="335">
        <f>AVERAGE(E38:E41)</f>
        <v>6006021.5412965072</v>
      </c>
      <c r="F42" s="334">
        <f>AVERAGE(F38:F41)</f>
        <v>5831375.666666667</v>
      </c>
      <c r="G42" s="336">
        <f>AVERAGE(G38:G41)</f>
        <v>6175323.9179918421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31.18</v>
      </c>
      <c r="E43" s="327"/>
      <c r="F43" s="339">
        <v>28.46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31.18</v>
      </c>
      <c r="E44" s="342"/>
      <c r="F44" s="341">
        <f>F43*$B$34</f>
        <v>28.46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500</v>
      </c>
      <c r="C45" s="340" t="s">
        <v>77</v>
      </c>
      <c r="D45" s="344">
        <f>D44*$B$30/100</f>
        <v>31.036572</v>
      </c>
      <c r="E45" s="345"/>
      <c r="F45" s="344">
        <f>F44*$B$30/100</f>
        <v>28.329084000000002</v>
      </c>
      <c r="H45" s="337"/>
    </row>
    <row r="46" spans="1:14" ht="19.5" customHeight="1" x14ac:dyDescent="0.3">
      <c r="A46" s="486" t="s">
        <v>78</v>
      </c>
      <c r="B46" s="487"/>
      <c r="C46" s="340" t="s">
        <v>79</v>
      </c>
      <c r="D46" s="346">
        <f>D45/$B$45</f>
        <v>6.2073143999999997E-2</v>
      </c>
      <c r="E46" s="347"/>
      <c r="F46" s="348">
        <f>F45/$B$45</f>
        <v>5.6658168000000002E-2</v>
      </c>
      <c r="H46" s="337"/>
    </row>
    <row r="47" spans="1:14" ht="27" customHeight="1" x14ac:dyDescent="0.4">
      <c r="A47" s="488"/>
      <c r="B47" s="489"/>
      <c r="C47" s="349" t="s">
        <v>80</v>
      </c>
      <c r="D47" s="350">
        <v>0.06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30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30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6090672.7296441747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1.8173703136409432E-2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film coated tablets contains emtricitabine 200 mg,Tenofovir disoproxil fumarate 300 mg.</v>
      </c>
    </row>
    <row r="56" spans="1:12" ht="26.25" customHeight="1" x14ac:dyDescent="0.4">
      <c r="A56" s="364" t="s">
        <v>87</v>
      </c>
      <c r="B56" s="365">
        <v>300</v>
      </c>
      <c r="C56" s="286" t="str">
        <f>B20</f>
        <v>Tenofovir Disoproxil Fumarate</v>
      </c>
      <c r="H56" s="366"/>
    </row>
    <row r="57" spans="1:12" ht="18.75" x14ac:dyDescent="0.3">
      <c r="A57" s="363" t="s">
        <v>88</v>
      </c>
      <c r="B57" s="434">
        <f>Uniformity!C46</f>
        <v>1035.5804999999998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2</v>
      </c>
      <c r="C60" s="503" t="s">
        <v>94</v>
      </c>
      <c r="D60" s="506">
        <f>EMTRICITABINE!D60</f>
        <v>1126.8900000000001</v>
      </c>
      <c r="E60" s="369">
        <v>1</v>
      </c>
      <c r="F60" s="370">
        <v>6417906</v>
      </c>
      <c r="G60" s="435">
        <f>IF(ISBLANK(F60),"-",(F60/$D$50*$D$47*$B$68)*($B$57/$D$60))</f>
        <v>290.50370895268321</v>
      </c>
      <c r="H60" s="453">
        <f t="shared" ref="H60:H71" si="0">IF(ISBLANK(F60),"-",(G60/$B$56)*100)</f>
        <v>96.834569650894409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504"/>
      <c r="D61" s="507"/>
      <c r="E61" s="371">
        <v>2</v>
      </c>
      <c r="F61" s="324">
        <v>6533992</v>
      </c>
      <c r="G61" s="436">
        <f>IF(ISBLANK(F61),"-",(F61/$D$50*$D$47*$B$68)*($B$57/$D$60))</f>
        <v>295.75829098574513</v>
      </c>
      <c r="H61" s="454">
        <f t="shared" si="0"/>
        <v>98.586096995248369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04"/>
      <c r="D62" s="507"/>
      <c r="E62" s="371">
        <v>3</v>
      </c>
      <c r="F62" s="372">
        <v>6490073</v>
      </c>
      <c r="G62" s="436">
        <f>IF(ISBLANK(F62),"-",(F62/$D$50*$D$47*$B$68)*($B$57/$D$60))</f>
        <v>293.77031665369776</v>
      </c>
      <c r="H62" s="454">
        <f t="shared" si="0"/>
        <v>97.923438884565911</v>
      </c>
      <c r="L62" s="299"/>
    </row>
    <row r="63" spans="1:12" ht="27" customHeight="1" x14ac:dyDescent="0.4">
      <c r="A63" s="311" t="s">
        <v>97</v>
      </c>
      <c r="B63" s="312">
        <v>1</v>
      </c>
      <c r="C63" s="513"/>
      <c r="D63" s="508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3" t="s">
        <v>99</v>
      </c>
      <c r="D64" s="506">
        <f>EMTRICITABINE!D64</f>
        <v>1131.79</v>
      </c>
      <c r="E64" s="369">
        <v>1</v>
      </c>
      <c r="F64" s="370">
        <v>6480019</v>
      </c>
      <c r="G64" s="435">
        <f>IF(ISBLANK(F64),"-",(F64/$D$50*$D$47*$B$68)*($B$57/$D$64))</f>
        <v>292.04534044359929</v>
      </c>
      <c r="H64" s="453">
        <f t="shared" si="0"/>
        <v>97.348446814533091</v>
      </c>
    </row>
    <row r="65" spans="1:8" ht="26.25" customHeight="1" x14ac:dyDescent="0.4">
      <c r="A65" s="311" t="s">
        <v>100</v>
      </c>
      <c r="B65" s="312">
        <v>1</v>
      </c>
      <c r="C65" s="504"/>
      <c r="D65" s="507"/>
      <c r="E65" s="371">
        <v>2</v>
      </c>
      <c r="F65" s="324">
        <v>6708249</v>
      </c>
      <c r="G65" s="436">
        <f>IF(ISBLANK(F65),"-",(F65/$D$50*$D$47*$B$68)*($B$57/$D$64))</f>
        <v>302.33134547683181</v>
      </c>
      <c r="H65" s="454">
        <f t="shared" si="0"/>
        <v>100.77711515894394</v>
      </c>
    </row>
    <row r="66" spans="1:8" ht="26.25" customHeight="1" x14ac:dyDescent="0.4">
      <c r="A66" s="311" t="s">
        <v>101</v>
      </c>
      <c r="B66" s="312">
        <v>1</v>
      </c>
      <c r="C66" s="504"/>
      <c r="D66" s="507"/>
      <c r="E66" s="371">
        <v>3</v>
      </c>
      <c r="F66" s="324">
        <v>6596268</v>
      </c>
      <c r="G66" s="436">
        <f>IF(ISBLANK(F66),"-",(F66/$D$50*$D$47*$B$68)*($B$57/$D$64))</f>
        <v>297.28451933817161</v>
      </c>
      <c r="H66" s="454">
        <f t="shared" si="0"/>
        <v>99.094839779390526</v>
      </c>
    </row>
    <row r="67" spans="1:8" ht="27" customHeight="1" x14ac:dyDescent="0.4">
      <c r="A67" s="311" t="s">
        <v>102</v>
      </c>
      <c r="B67" s="312">
        <v>1</v>
      </c>
      <c r="C67" s="513"/>
      <c r="D67" s="508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5000</v>
      </c>
      <c r="C68" s="503" t="s">
        <v>104</v>
      </c>
      <c r="D68" s="506">
        <f>EMTRICITABINE!D68</f>
        <v>1128.3599999999999</v>
      </c>
      <c r="E68" s="369">
        <v>1</v>
      </c>
      <c r="F68" s="370">
        <v>6307556</v>
      </c>
      <c r="G68" s="435">
        <f>IF(ISBLANK(F68),"-",(F68/$D$50*$D$47*$B$68)*($B$57/$D$68))</f>
        <v>285.13681056835202</v>
      </c>
      <c r="H68" s="454">
        <f t="shared" si="0"/>
        <v>95.045603522784006</v>
      </c>
    </row>
    <row r="69" spans="1:8" ht="27" customHeight="1" x14ac:dyDescent="0.4">
      <c r="A69" s="359" t="s">
        <v>105</v>
      </c>
      <c r="B69" s="376">
        <f>(D47*B68)/B56*B57</f>
        <v>1035.5804999999998</v>
      </c>
      <c r="C69" s="504"/>
      <c r="D69" s="507"/>
      <c r="E69" s="371">
        <v>2</v>
      </c>
      <c r="F69" s="324">
        <v>6323308</v>
      </c>
      <c r="G69" s="436">
        <f>IF(ISBLANK(F69),"-",(F69/$D$50*$D$47*$B$68)*($B$57/$D$68))</f>
        <v>285.84888907230396</v>
      </c>
      <c r="H69" s="454">
        <f t="shared" si="0"/>
        <v>95.282963024101321</v>
      </c>
    </row>
    <row r="70" spans="1:8" ht="26.25" customHeight="1" x14ac:dyDescent="0.4">
      <c r="A70" s="509" t="s">
        <v>78</v>
      </c>
      <c r="B70" s="510"/>
      <c r="C70" s="504"/>
      <c r="D70" s="507"/>
      <c r="E70" s="371">
        <v>3</v>
      </c>
      <c r="F70" s="324">
        <v>6565408</v>
      </c>
      <c r="G70" s="436">
        <f>IF(ISBLANK(F70),"-",(F70/$D$50*$D$47*$B$68)*($B$57/$D$68))</f>
        <v>296.79316318395632</v>
      </c>
      <c r="H70" s="454">
        <f t="shared" si="0"/>
        <v>98.931054394652108</v>
      </c>
    </row>
    <row r="71" spans="1:8" ht="27" customHeight="1" x14ac:dyDescent="0.4">
      <c r="A71" s="511"/>
      <c r="B71" s="512"/>
      <c r="C71" s="505"/>
      <c r="D71" s="508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293.27470940837122</v>
      </c>
      <c r="H72" s="456">
        <f>AVERAGE(H60:H71)</f>
        <v>97.758236469457088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1.8963843402854341E-2</v>
      </c>
      <c r="H73" s="440">
        <f>STDEV(H60:H71)/H72</f>
        <v>1.8963843402854334E-2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490" t="str">
        <f>B26</f>
        <v>Tenofovir Disoproxil Fumurate</v>
      </c>
      <c r="D76" s="490"/>
      <c r="E76" s="385" t="s">
        <v>108</v>
      </c>
      <c r="F76" s="385"/>
      <c r="G76" s="472">
        <f>H72</f>
        <v>97.758236469457088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24" t="str">
        <f>B26</f>
        <v>Tenofovir Disoproxil Fumurate</v>
      </c>
      <c r="C79" s="524"/>
    </row>
    <row r="80" spans="1:8" ht="26.25" customHeight="1" x14ac:dyDescent="0.4">
      <c r="A80" s="296" t="s">
        <v>48</v>
      </c>
      <c r="B80" s="524" t="str">
        <f>B27</f>
        <v>T11-10</v>
      </c>
      <c r="C80" s="524"/>
    </row>
    <row r="81" spans="1:12" ht="27" customHeight="1" x14ac:dyDescent="0.4">
      <c r="A81" s="296" t="s">
        <v>6</v>
      </c>
      <c r="B81" s="388">
        <f>B28</f>
        <v>99.54</v>
      </c>
    </row>
    <row r="82" spans="1:12" s="14" customFormat="1" ht="27" customHeight="1" x14ac:dyDescent="0.4">
      <c r="A82" s="296" t="s">
        <v>49</v>
      </c>
      <c r="B82" s="298">
        <v>0</v>
      </c>
      <c r="C82" s="492" t="s">
        <v>50</v>
      </c>
      <c r="D82" s="493"/>
      <c r="E82" s="493"/>
      <c r="F82" s="493"/>
      <c r="G82" s="494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99.54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495" t="s">
        <v>111</v>
      </c>
      <c r="D84" s="496"/>
      <c r="E84" s="496"/>
      <c r="F84" s="496"/>
      <c r="G84" s="496"/>
      <c r="H84" s="497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495" t="s">
        <v>112</v>
      </c>
      <c r="D85" s="496"/>
      <c r="E85" s="496"/>
      <c r="F85" s="496"/>
      <c r="G85" s="496"/>
      <c r="H85" s="497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50</v>
      </c>
      <c r="D89" s="389" t="s">
        <v>59</v>
      </c>
      <c r="E89" s="390"/>
      <c r="F89" s="498" t="s">
        <v>60</v>
      </c>
      <c r="G89" s="499"/>
    </row>
    <row r="90" spans="1:12" ht="27" customHeight="1" x14ac:dyDescent="0.4">
      <c r="A90" s="311" t="s">
        <v>61</v>
      </c>
      <c r="B90" s="312">
        <v>5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10</v>
      </c>
      <c r="C91" s="393">
        <v>1</v>
      </c>
      <c r="D91" s="319">
        <v>8477170</v>
      </c>
      <c r="E91" s="320">
        <f>IF(ISBLANK(D91),"-",$D$101/$D$98*D91)</f>
        <v>9104495.6038744636</v>
      </c>
      <c r="F91" s="319">
        <v>7970423</v>
      </c>
      <c r="G91" s="321">
        <f>IF(ISBLANK(F91),"-",$D$101/$F$98*F91)</f>
        <v>9378374.7708421014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8535157</v>
      </c>
      <c r="E92" s="325">
        <f>IF(ISBLANK(D92),"-",$D$101/$D$98*D92)</f>
        <v>9166773.7446433604</v>
      </c>
      <c r="F92" s="324">
        <v>8109599</v>
      </c>
      <c r="G92" s="326">
        <f>IF(ISBLANK(F92),"-",$D$101/$F$98*F92)</f>
        <v>9542135.801731769</v>
      </c>
      <c r="I92" s="500">
        <f>ABS((F96/D96*D95)-F95)/D95</f>
        <v>3.0648462063571778E-2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8551025</v>
      </c>
      <c r="E93" s="325">
        <f>IF(ISBLANK(D93),"-",$D$101/$D$98*D93)</f>
        <v>9183816.004765816</v>
      </c>
      <c r="F93" s="324">
        <v>8036778</v>
      </c>
      <c r="G93" s="326">
        <f>IF(ISBLANK(F93),"-",$D$101/$F$98*F93)</f>
        <v>9456451.1863496881</v>
      </c>
      <c r="I93" s="500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8521117.333333334</v>
      </c>
      <c r="E95" s="335">
        <f>AVERAGE(E91:E94)</f>
        <v>9151695.1177612133</v>
      </c>
      <c r="F95" s="398">
        <f>AVERAGE(F91:F94)</f>
        <v>8038933.333333333</v>
      </c>
      <c r="G95" s="399">
        <f>AVERAGE(G91:G94)</f>
        <v>9458987.2529745195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31.18</v>
      </c>
      <c r="E96" s="327"/>
      <c r="F96" s="339">
        <v>28.46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31.18</v>
      </c>
      <c r="E97" s="342"/>
      <c r="F97" s="341">
        <f>F96*$B$87</f>
        <v>28.46</v>
      </c>
    </row>
    <row r="98" spans="1:10" ht="19.5" customHeight="1" x14ac:dyDescent="0.3">
      <c r="A98" s="311" t="s">
        <v>76</v>
      </c>
      <c r="B98" s="404">
        <f>(B97/B96)*(B95/B94)*(B93/B92)*(B91/B90)*B89</f>
        <v>100</v>
      </c>
      <c r="C98" s="402" t="s">
        <v>115</v>
      </c>
      <c r="D98" s="405">
        <f>D97*$B$83/100</f>
        <v>31.036572</v>
      </c>
      <c r="E98" s="345"/>
      <c r="F98" s="344">
        <f>F97*$B$83/100</f>
        <v>28.329084000000002</v>
      </c>
    </row>
    <row r="99" spans="1:10" ht="19.5" customHeight="1" x14ac:dyDescent="0.3">
      <c r="A99" s="486" t="s">
        <v>78</v>
      </c>
      <c r="B99" s="501"/>
      <c r="C99" s="402" t="s">
        <v>116</v>
      </c>
      <c r="D99" s="406">
        <f>D98/$B$98</f>
        <v>0.31036572000000001</v>
      </c>
      <c r="E99" s="345"/>
      <c r="F99" s="348">
        <f>F98/$B$98</f>
        <v>0.28329084000000004</v>
      </c>
      <c r="G99" s="407"/>
      <c r="H99" s="337"/>
    </row>
    <row r="100" spans="1:10" ht="19.5" customHeight="1" x14ac:dyDescent="0.3">
      <c r="A100" s="488"/>
      <c r="B100" s="502"/>
      <c r="C100" s="402" t="s">
        <v>80</v>
      </c>
      <c r="D100" s="408">
        <f>$B$56/$B$116</f>
        <v>0.33333333333333331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33.333333333333329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33.333333333333329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9305341.1853678674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1.9136529980571755E-2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>
        <v>9314779</v>
      </c>
      <c r="E108" s="437">
        <f t="shared" ref="E108:E113" si="1">IF(ISBLANK(D108),"-",D108/$D$103*$D$100*$B$116)</f>
        <v>300.30427088413393</v>
      </c>
      <c r="F108" s="464">
        <f t="shared" ref="F108:F113" si="2">IF(ISBLANK(D108), "-", (E108/$B$56)*100)</f>
        <v>100.10142362804464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>
        <v>8779983</v>
      </c>
      <c r="E109" s="438">
        <f t="shared" si="1"/>
        <v>283.0626892157174</v>
      </c>
      <c r="F109" s="465">
        <f t="shared" si="2"/>
        <v>94.354229738572471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8867760</v>
      </c>
      <c r="E110" s="438">
        <f t="shared" si="1"/>
        <v>285.89258007897848</v>
      </c>
      <c r="F110" s="465">
        <f t="shared" si="2"/>
        <v>95.297526692992832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8748880</v>
      </c>
      <c r="E111" s="438">
        <f t="shared" si="1"/>
        <v>282.05994253355681</v>
      </c>
      <c r="F111" s="465">
        <f t="shared" si="2"/>
        <v>94.01998084451894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8710367</v>
      </c>
      <c r="E112" s="438">
        <f t="shared" si="1"/>
        <v>280.81830079578066</v>
      </c>
      <c r="F112" s="465">
        <f t="shared" si="2"/>
        <v>93.60610026526021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8791159</v>
      </c>
      <c r="E113" s="439">
        <f t="shared" si="1"/>
        <v>283.42299841160934</v>
      </c>
      <c r="F113" s="466">
        <f t="shared" si="2"/>
        <v>94.474332803869771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285.92679698662943</v>
      </c>
      <c r="F115" s="468">
        <f>AVERAGE(F108:F113)</f>
        <v>95.30893232887648</v>
      </c>
    </row>
    <row r="116" spans="1:10" ht="27" customHeight="1" x14ac:dyDescent="0.4">
      <c r="A116" s="311" t="s">
        <v>103</v>
      </c>
      <c r="B116" s="343">
        <f>(B115/B114)*(B113/B112)*(B111/B110)*(B109/B108)*B107</f>
        <v>900</v>
      </c>
      <c r="C116" s="421"/>
      <c r="D116" s="445" t="s">
        <v>84</v>
      </c>
      <c r="E116" s="443">
        <f>STDEV(E108:E113)/E115</f>
        <v>2.5328234769590511E-2</v>
      </c>
      <c r="F116" s="422">
        <f>STDEV(F108:F113)/F115</f>
        <v>2.5328234769590521E-2</v>
      </c>
      <c r="I116" s="285"/>
    </row>
    <row r="117" spans="1:10" ht="27" customHeight="1" x14ac:dyDescent="0.4">
      <c r="A117" s="486" t="s">
        <v>78</v>
      </c>
      <c r="B117" s="487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488"/>
      <c r="B118" s="489"/>
      <c r="C118" s="285"/>
      <c r="D118" s="447"/>
      <c r="E118" s="514" t="s">
        <v>123</v>
      </c>
      <c r="F118" s="515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280.81830079578066</v>
      </c>
      <c r="F119" s="469">
        <f>MIN(F108:F113)</f>
        <v>93.60610026526021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300.30427088413393</v>
      </c>
      <c r="F120" s="470">
        <f>MAX(F108:F113)</f>
        <v>100.10142362804464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490" t="str">
        <f>B26</f>
        <v>Tenofovir Disoproxil Fumurate</v>
      </c>
      <c r="D124" s="490"/>
      <c r="E124" s="385" t="s">
        <v>127</v>
      </c>
      <c r="F124" s="385"/>
      <c r="G124" s="471">
        <f>F115</f>
        <v>95.30893232887648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93.60610026526021</v>
      </c>
      <c r="E125" s="396" t="s">
        <v>130</v>
      </c>
      <c r="F125" s="471">
        <f>MAX(F108:F113)</f>
        <v>100.10142362804464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491" t="s">
        <v>26</v>
      </c>
      <c r="C127" s="491"/>
      <c r="E127" s="391" t="s">
        <v>27</v>
      </c>
      <c r="F127" s="426"/>
      <c r="G127" s="491" t="s">
        <v>28</v>
      </c>
      <c r="H127" s="491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50" sqref="C50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72"/>
    </row>
    <row r="18" spans="1:6" ht="16.5" customHeight="1" x14ac:dyDescent="0.3">
      <c r="A18" s="75" t="s">
        <v>4</v>
      </c>
      <c r="B18" s="407" t="s">
        <v>135</v>
      </c>
      <c r="C18" s="72"/>
      <c r="D18" s="72"/>
      <c r="E18" s="72"/>
    </row>
    <row r="19" spans="1:6" ht="16.5" customHeight="1" x14ac:dyDescent="0.3">
      <c r="A19" s="75" t="s">
        <v>6</v>
      </c>
      <c r="B19" s="12">
        <v>99.54</v>
      </c>
      <c r="C19" s="72"/>
      <c r="D19" s="72"/>
      <c r="E19" s="72"/>
    </row>
    <row r="20" spans="1:6" ht="16.5" customHeight="1" x14ac:dyDescent="0.3">
      <c r="A20" s="8" t="s">
        <v>8</v>
      </c>
      <c r="B20" s="12">
        <v>31.18</v>
      </c>
      <c r="C20" s="72"/>
      <c r="D20" s="72"/>
      <c r="E20" s="72"/>
    </row>
    <row r="21" spans="1:6" ht="16.5" customHeight="1" x14ac:dyDescent="0.3">
      <c r="A21" s="8" t="s">
        <v>10</v>
      </c>
      <c r="B21" s="13">
        <f>B20/50*5/50</f>
        <v>6.2360000000000006E-2</v>
      </c>
      <c r="C21" s="72"/>
      <c r="D21" s="72"/>
      <c r="E21" s="72"/>
    </row>
    <row r="22" spans="1:6" ht="15.75" customHeight="1" x14ac:dyDescent="0.25">
      <c r="A22" s="72"/>
      <c r="B22" s="72" t="s">
        <v>12</v>
      </c>
      <c r="C22" s="72"/>
      <c r="D22" s="72"/>
      <c r="E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136</v>
      </c>
    </row>
    <row r="24" spans="1:6" ht="16.5" customHeight="1" x14ac:dyDescent="0.3">
      <c r="A24" s="17">
        <v>1</v>
      </c>
      <c r="B24" s="18">
        <v>6014748</v>
      </c>
      <c r="C24" s="18">
        <v>95719.9</v>
      </c>
      <c r="D24" s="19">
        <v>1</v>
      </c>
      <c r="E24" s="20">
        <v>11.5</v>
      </c>
      <c r="F24" s="20">
        <v>29.6</v>
      </c>
    </row>
    <row r="25" spans="1:6" ht="16.5" customHeight="1" x14ac:dyDescent="0.3">
      <c r="A25" s="17">
        <v>2</v>
      </c>
      <c r="B25" s="18">
        <v>6150547</v>
      </c>
      <c r="C25" s="18">
        <v>92164.3</v>
      </c>
      <c r="D25" s="19">
        <v>1.1000000000000001</v>
      </c>
      <c r="E25" s="19">
        <v>11.5</v>
      </c>
      <c r="F25" s="19">
        <v>29.5</v>
      </c>
    </row>
    <row r="26" spans="1:6" ht="16.5" customHeight="1" x14ac:dyDescent="0.3">
      <c r="A26" s="17">
        <v>3</v>
      </c>
      <c r="B26" s="18">
        <v>6184027</v>
      </c>
      <c r="C26" s="18">
        <v>92934.399999999994</v>
      </c>
      <c r="D26" s="19">
        <v>1</v>
      </c>
      <c r="E26" s="19">
        <v>11.5</v>
      </c>
      <c r="F26" s="19">
        <v>29.7</v>
      </c>
    </row>
    <row r="27" spans="1:6" ht="16.5" customHeight="1" x14ac:dyDescent="0.3">
      <c r="A27" s="17">
        <v>4</v>
      </c>
      <c r="B27" s="18">
        <v>6100814</v>
      </c>
      <c r="C27" s="18">
        <v>95500.3</v>
      </c>
      <c r="D27" s="19">
        <v>1</v>
      </c>
      <c r="E27" s="19">
        <v>11.5</v>
      </c>
      <c r="F27" s="19">
        <v>29.9</v>
      </c>
    </row>
    <row r="28" spans="1:6" ht="16.5" customHeight="1" x14ac:dyDescent="0.3">
      <c r="A28" s="17">
        <v>5</v>
      </c>
      <c r="B28" s="18">
        <v>6076667</v>
      </c>
      <c r="C28" s="18">
        <v>94108.7</v>
      </c>
      <c r="D28" s="19">
        <v>1</v>
      </c>
      <c r="E28" s="19">
        <v>11.5</v>
      </c>
      <c r="F28" s="19">
        <v>30.1</v>
      </c>
    </row>
    <row r="29" spans="1:6" ht="16.5" customHeight="1" x14ac:dyDescent="0.3">
      <c r="A29" s="17">
        <v>6</v>
      </c>
      <c r="B29" s="21">
        <v>6082220</v>
      </c>
      <c r="C29" s="21">
        <v>92953.7</v>
      </c>
      <c r="D29" s="22">
        <v>1</v>
      </c>
      <c r="E29" s="22">
        <v>11.5</v>
      </c>
      <c r="F29" s="22">
        <v>30.1</v>
      </c>
    </row>
    <row r="30" spans="1:6" ht="16.5" customHeight="1" x14ac:dyDescent="0.3">
      <c r="A30" s="23" t="s">
        <v>18</v>
      </c>
      <c r="B30" s="24">
        <f>AVERAGE(B24:B29)</f>
        <v>6101503.833333333</v>
      </c>
      <c r="C30" s="25">
        <f>AVERAGE(C24:C29)</f>
        <v>93896.883333333317</v>
      </c>
      <c r="D30" s="26">
        <f>AVERAGE(D24:D29)</f>
        <v>1.0166666666666666</v>
      </c>
      <c r="E30" s="26">
        <f>AVERAGE(E24:E29)</f>
        <v>11.5</v>
      </c>
      <c r="F30" s="26">
        <f>AVERAGE(F24:F29)</f>
        <v>29.816666666666663</v>
      </c>
    </row>
    <row r="31" spans="1:6" ht="16.5" customHeight="1" x14ac:dyDescent="0.3">
      <c r="A31" s="27" t="s">
        <v>19</v>
      </c>
      <c r="B31" s="28">
        <f>(STDEV(B24:B29)/B30)</f>
        <v>9.7599103713296546E-3</v>
      </c>
      <c r="C31" s="29"/>
      <c r="D31" s="29"/>
      <c r="E31" s="30"/>
    </row>
    <row r="32" spans="1:6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6" s="407" customFormat="1" ht="15.75" customHeight="1" x14ac:dyDescent="0.25">
      <c r="A33" s="72"/>
      <c r="B33" s="72"/>
      <c r="C33" s="72"/>
      <c r="D33" s="72"/>
      <c r="E33" s="72"/>
    </row>
    <row r="34" spans="1:6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75"/>
      <c r="B35" s="40" t="s">
        <v>23</v>
      </c>
      <c r="C35" s="39"/>
      <c r="D35" s="39"/>
      <c r="E35" s="39"/>
    </row>
    <row r="36" spans="1:6" ht="16.5" customHeight="1" x14ac:dyDescent="0.3">
      <c r="A36" s="75"/>
      <c r="B36" s="40" t="s">
        <v>24</v>
      </c>
      <c r="C36" s="39"/>
      <c r="D36" s="39"/>
      <c r="E36" s="39"/>
    </row>
    <row r="37" spans="1:6" ht="15.75" customHeight="1" x14ac:dyDescent="0.25">
      <c r="A37" s="72"/>
      <c r="B37" s="72"/>
      <c r="C37" s="72"/>
      <c r="D37" s="72"/>
      <c r="E37" s="72"/>
    </row>
    <row r="38" spans="1:6" ht="16.5" customHeight="1" x14ac:dyDescent="0.3">
      <c r="A38" s="90" t="s">
        <v>1</v>
      </c>
      <c r="B38" s="59" t="s">
        <v>25</v>
      </c>
    </row>
    <row r="39" spans="1:6" ht="16.5" customHeight="1" x14ac:dyDescent="0.3">
      <c r="A39" s="75" t="s">
        <v>4</v>
      </c>
      <c r="B39" s="8" t="s">
        <v>135</v>
      </c>
      <c r="C39" s="72"/>
      <c r="D39" s="72"/>
      <c r="E39" s="72"/>
    </row>
    <row r="40" spans="1:6" ht="16.5" customHeight="1" x14ac:dyDescent="0.3">
      <c r="A40" s="75" t="s">
        <v>6</v>
      </c>
      <c r="B40" s="12">
        <v>99.54</v>
      </c>
      <c r="C40" s="72"/>
      <c r="D40" s="72"/>
      <c r="E40" s="72"/>
    </row>
    <row r="41" spans="1:6" ht="16.5" customHeight="1" x14ac:dyDescent="0.3">
      <c r="A41" s="8" t="s">
        <v>8</v>
      </c>
      <c r="B41" s="12">
        <v>31.16</v>
      </c>
      <c r="C41" s="72"/>
      <c r="D41" s="72"/>
      <c r="E41" s="72"/>
    </row>
    <row r="42" spans="1:6" ht="16.5" customHeight="1" x14ac:dyDescent="0.3">
      <c r="A42" s="8" t="s">
        <v>10</v>
      </c>
      <c r="B42" s="13">
        <f>B41/50*5/10</f>
        <v>0.31159999999999999</v>
      </c>
      <c r="C42" s="72"/>
      <c r="D42" s="72"/>
      <c r="E42" s="72"/>
    </row>
    <row r="43" spans="1:6" ht="15.75" customHeight="1" x14ac:dyDescent="0.25">
      <c r="A43" s="72"/>
      <c r="B43" s="72"/>
      <c r="C43" s="72"/>
      <c r="D43" s="72"/>
      <c r="E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16" t="s">
        <v>136</v>
      </c>
    </row>
    <row r="45" spans="1:6" ht="16.5" customHeight="1" x14ac:dyDescent="0.3">
      <c r="A45" s="17">
        <v>1</v>
      </c>
      <c r="B45" s="18">
        <v>8565949</v>
      </c>
      <c r="C45" s="18">
        <v>96003.199999999997</v>
      </c>
      <c r="D45" s="19">
        <v>1.1000000000000001</v>
      </c>
      <c r="E45" s="20">
        <v>10.199999999999999</v>
      </c>
      <c r="F45" s="20">
        <v>35</v>
      </c>
    </row>
    <row r="46" spans="1:6" ht="16.5" customHeight="1" x14ac:dyDescent="0.3">
      <c r="A46" s="17">
        <v>2</v>
      </c>
      <c r="B46" s="18">
        <v>8458773</v>
      </c>
      <c r="C46" s="18">
        <v>95069.4</v>
      </c>
      <c r="D46" s="19">
        <v>1.1000000000000001</v>
      </c>
      <c r="E46" s="19">
        <v>10.199999999999999</v>
      </c>
      <c r="F46" s="19">
        <v>35.1</v>
      </c>
    </row>
    <row r="47" spans="1:6" ht="16.5" customHeight="1" x14ac:dyDescent="0.3">
      <c r="A47" s="17">
        <v>3</v>
      </c>
      <c r="B47" s="18">
        <v>8491117</v>
      </c>
      <c r="C47" s="18">
        <v>95371</v>
      </c>
      <c r="D47" s="19">
        <v>1.1000000000000001</v>
      </c>
      <c r="E47" s="19">
        <v>10.199999999999999</v>
      </c>
      <c r="F47" s="19">
        <v>35</v>
      </c>
    </row>
    <row r="48" spans="1:6" ht="16.5" customHeight="1" x14ac:dyDescent="0.3">
      <c r="A48" s="17">
        <v>4</v>
      </c>
      <c r="B48" s="18">
        <v>8469404</v>
      </c>
      <c r="C48" s="18">
        <v>96381.1</v>
      </c>
      <c r="D48" s="19">
        <v>1.1000000000000001</v>
      </c>
      <c r="E48" s="19">
        <v>10.199999999999999</v>
      </c>
      <c r="F48" s="19">
        <v>35.299999999999997</v>
      </c>
    </row>
    <row r="49" spans="1:7" ht="16.5" customHeight="1" x14ac:dyDescent="0.3">
      <c r="A49" s="17">
        <v>5</v>
      </c>
      <c r="B49" s="18">
        <v>8548298</v>
      </c>
      <c r="C49" s="18">
        <v>98748.5</v>
      </c>
      <c r="D49" s="19">
        <v>1.1000000000000001</v>
      </c>
      <c r="E49" s="19">
        <v>10.199999999999999</v>
      </c>
      <c r="F49" s="19">
        <v>35.4</v>
      </c>
    </row>
    <row r="50" spans="1:7" ht="16.5" customHeight="1" x14ac:dyDescent="0.3">
      <c r="A50" s="17">
        <v>6</v>
      </c>
      <c r="B50" s="21">
        <v>8488729</v>
      </c>
      <c r="C50" s="21">
        <v>101550</v>
      </c>
      <c r="D50" s="22">
        <v>1.1000000000000001</v>
      </c>
      <c r="E50" s="22">
        <v>10.199999999999999</v>
      </c>
      <c r="F50" s="22">
        <v>35.5</v>
      </c>
    </row>
    <row r="51" spans="1:7" ht="16.5" customHeight="1" x14ac:dyDescent="0.3">
      <c r="A51" s="23" t="s">
        <v>18</v>
      </c>
      <c r="B51" s="24">
        <f>AVERAGE(B45:B50)</f>
        <v>8503711.666666666</v>
      </c>
      <c r="C51" s="25">
        <f>AVERAGE(C45:C50)</f>
        <v>97187.199999999997</v>
      </c>
      <c r="D51" s="26">
        <f>AVERAGE(D45:D50)</f>
        <v>1.0999999999999999</v>
      </c>
      <c r="E51" s="26">
        <f>AVERAGE(E45:E50)</f>
        <v>10.200000000000001</v>
      </c>
      <c r="F51" s="26">
        <f>AVERAGE(F45:F50)</f>
        <v>35.216666666666661</v>
      </c>
    </row>
    <row r="52" spans="1:7" ht="16.5" customHeight="1" x14ac:dyDescent="0.3">
      <c r="A52" s="27" t="s">
        <v>19</v>
      </c>
      <c r="B52" s="28">
        <f>(STDEV(B45:B50)/B51)</f>
        <v>5.1099448984155763E-3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7" customFormat="1" ht="15.75" customHeight="1" x14ac:dyDescent="0.25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7"/>
      <c r="D58" s="43"/>
      <c r="F58" s="44"/>
      <c r="G58" s="44"/>
    </row>
    <row r="59" spans="1:7" ht="15" customHeight="1" x14ac:dyDescent="0.3">
      <c r="B59" s="475" t="s">
        <v>26</v>
      </c>
      <c r="C59" s="475"/>
      <c r="E59" s="473" t="s">
        <v>27</v>
      </c>
      <c r="F59" s="46"/>
      <c r="G59" s="473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EMT</vt:lpstr>
      <vt:lpstr>Uniformity</vt:lpstr>
      <vt:lpstr>EMTRICITABINE</vt:lpstr>
      <vt:lpstr>Tenofovir Disoproxil Fumurate</vt:lpstr>
      <vt:lpstr>SST TDF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2017-11-11T12:29:32Z</cp:lastPrinted>
  <dcterms:created xsi:type="dcterms:W3CDTF">2005-07-05T10:19:27Z</dcterms:created>
  <dcterms:modified xsi:type="dcterms:W3CDTF">2017-11-11T12:38:31Z</dcterms:modified>
</cp:coreProperties>
</file>