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2" windowWidth="20772" windowHeight="9348" activeTab="2"/>
  </bookViews>
  <sheets>
    <sheet name="Uniformity" sheetId="3" r:id="rId1"/>
    <sheet name="SST" sheetId="1" r:id="rId2"/>
    <sheet name="ISONIAZID" sheetId="2" r:id="rId3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9" i="3"/>
  <c r="D26" i="3"/>
  <c r="D30" i="3"/>
  <c r="D34" i="3"/>
  <c r="D42" i="3"/>
  <c r="C45" i="3"/>
  <c r="C46" i="3"/>
  <c r="D25" i="3" s="1"/>
  <c r="B49" i="3"/>
  <c r="C50" i="3"/>
  <c r="D50" i="3"/>
  <c r="C124" i="2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B68" i="2"/>
  <c r="C56" i="2"/>
  <c r="B55" i="2"/>
  <c r="B45" i="2"/>
  <c r="F44" i="2"/>
  <c r="D44" i="2"/>
  <c r="F42" i="2"/>
  <c r="D42" i="2"/>
  <c r="G41" i="2"/>
  <c r="E41" i="2"/>
  <c r="B34" i="2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B69" i="2" l="1"/>
  <c r="D38" i="3"/>
  <c r="B57" i="2"/>
  <c r="D101" i="2"/>
  <c r="D102" i="2" s="1"/>
  <c r="I92" i="2"/>
  <c r="F97" i="2"/>
  <c r="F98" i="2" s="1"/>
  <c r="C49" i="3"/>
  <c r="D43" i="3"/>
  <c r="D39" i="3"/>
  <c r="D35" i="3"/>
  <c r="D31" i="3"/>
  <c r="D27" i="3"/>
  <c r="D49" i="3"/>
  <c r="D40" i="3"/>
  <c r="D36" i="3"/>
  <c r="D32" i="3"/>
  <c r="D28" i="3"/>
  <c r="D24" i="3"/>
  <c r="D41" i="3"/>
  <c r="D37" i="3"/>
  <c r="D33" i="3"/>
  <c r="D29" i="3"/>
  <c r="D98" i="2"/>
  <c r="F45" i="2"/>
  <c r="F46" i="2" s="1"/>
  <c r="D45" i="2"/>
  <c r="D46" i="2" s="1"/>
  <c r="D48" i="2"/>
  <c r="I39" i="2"/>
  <c r="G67" i="2"/>
  <c r="H67" i="2" s="1"/>
  <c r="G63" i="2"/>
  <c r="H63" i="2" s="1"/>
  <c r="D99" i="2" l="1"/>
  <c r="E92" i="2"/>
  <c r="E93" i="2"/>
  <c r="E94" i="2"/>
  <c r="E91" i="2"/>
  <c r="G93" i="2"/>
  <c r="F99" i="2"/>
  <c r="G92" i="2"/>
  <c r="G91" i="2"/>
  <c r="G94" i="2"/>
  <c r="D49" i="2"/>
  <c r="E38" i="2"/>
  <c r="G38" i="2"/>
  <c r="E39" i="2"/>
  <c r="G39" i="2"/>
  <c r="E40" i="2"/>
  <c r="G40" i="2"/>
  <c r="E95" i="2" l="1"/>
  <c r="D103" i="2"/>
  <c r="D105" i="2"/>
  <c r="G95" i="2"/>
  <c r="G42" i="2"/>
  <c r="D52" i="2"/>
  <c r="D50" i="2"/>
  <c r="E42" i="2"/>
  <c r="G65" i="2" l="1"/>
  <c r="H65" i="2" s="1"/>
  <c r="G60" i="2"/>
  <c r="H60" i="2" s="1"/>
  <c r="G64" i="2"/>
  <c r="H64" i="2" s="1"/>
  <c r="G68" i="2"/>
  <c r="H68" i="2" s="1"/>
  <c r="G69" i="2"/>
  <c r="H69" i="2" s="1"/>
  <c r="G66" i="2"/>
  <c r="H66" i="2" s="1"/>
  <c r="G62" i="2"/>
  <c r="H62" i="2" s="1"/>
  <c r="G61" i="2"/>
  <c r="H61" i="2" s="1"/>
  <c r="G70" i="2"/>
  <c r="H70" i="2" s="1"/>
  <c r="E112" i="2"/>
  <c r="F112" i="2" s="1"/>
  <c r="E110" i="2"/>
  <c r="F110" i="2" s="1"/>
  <c r="E108" i="2"/>
  <c r="E113" i="2"/>
  <c r="F113" i="2" s="1"/>
  <c r="E111" i="2"/>
  <c r="F111" i="2" s="1"/>
  <c r="E109" i="2"/>
  <c r="F109" i="2" s="1"/>
  <c r="D104" i="2"/>
  <c r="G71" i="2"/>
  <c r="D51" i="2"/>
  <c r="E115" i="2" l="1"/>
  <c r="E116" i="2" s="1"/>
  <c r="E119" i="2"/>
  <c r="E120" i="2"/>
  <c r="E117" i="2"/>
  <c r="F108" i="2"/>
  <c r="H71" i="2"/>
  <c r="G72" i="2"/>
  <c r="G73" i="2" s="1"/>
  <c r="G74" i="2"/>
  <c r="F119" i="2" l="1"/>
  <c r="D125" i="2"/>
  <c r="F115" i="2"/>
  <c r="F125" i="2"/>
  <c r="F120" i="2"/>
  <c r="F117" i="2"/>
  <c r="H74" i="2"/>
  <c r="H72" i="2"/>
  <c r="G76" i="2" s="1"/>
  <c r="G124" i="2" l="1"/>
  <c r="F116" i="2"/>
  <c r="H73" i="2"/>
</calcChain>
</file>

<file path=xl/sharedStrings.xml><?xml version="1.0" encoding="utf-8"?>
<sst xmlns="http://schemas.openxmlformats.org/spreadsheetml/2006/main" count="239" uniqueCount="141">
  <si>
    <t>HPLC System Suitability Report</t>
  </si>
  <si>
    <t>Analysis Data</t>
  </si>
  <si>
    <t>Assay</t>
  </si>
  <si>
    <t>Sample(s)</t>
  </si>
  <si>
    <t>Reference Substance:</t>
  </si>
  <si>
    <t>ISONIAZID TABLETS BP 100MG</t>
  </si>
  <si>
    <t>% age Purity:</t>
  </si>
  <si>
    <t>NDQD201708113</t>
  </si>
  <si>
    <t>Weight (mg):</t>
  </si>
  <si>
    <t>Isoniazid BP</t>
  </si>
  <si>
    <t>Standard Conc (mg/mL):</t>
  </si>
  <si>
    <t>Isoniazid BP 100mg</t>
  </si>
  <si>
    <t>2017-08-18 11:30:45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</si>
  <si>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</si>
  <si>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</si>
  <si>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</si>
  <si>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</si>
  <si>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</si>
  <si>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</si>
  <si>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</si>
  <si>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</si>
  <si>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</si>
  <si>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</si>
  <si>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</si>
  <si>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</si>
  <si>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</si>
  <si>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</si>
  <si>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</si>
  <si>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</si>
  <si>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</si>
  <si>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</si>
  <si>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</si>
  <si>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</si>
  <si>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</si>
  <si>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</si>
  <si>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</si>
  <si>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</si>
  <si>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</si>
  <si>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</si>
  <si>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</si>
  <si>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</si>
  <si>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</si>
  <si>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</si>
  <si>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</si>
  <si>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</si>
  <si>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</si>
  <si>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</si>
  <si>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</si>
  <si>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</si>
  <si>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</si>
  <si>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</si>
  <si>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</si>
  <si>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</si>
  <si>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</si>
  <si>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</si>
  <si>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</si>
  <si>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</si>
  <si>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</si>
  <si>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</si>
  <si>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</si>
  <si>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</si>
  <si>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</si>
  <si>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</si>
  <si>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</si>
  <si>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</si>
  <si>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</si>
  <si>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</si>
  <si>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</si>
  <si>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</si>
  <si>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</si>
  <si>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</si>
  <si>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</si>
  <si>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</si>
  <si>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</si>
  <si>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</si>
  <si>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</si>
  <si>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</si>
  <si>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</si>
  <si>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</si>
  <si>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</si>
  <si>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</si>
  <si>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</si>
  <si>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</si>
  <si>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</si>
  <si>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</si>
  <si>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</si>
  <si>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</si>
  <si>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</si>
  <si>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</si>
  <si>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</si>
  <si>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</si>
  <si>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</si>
  <si>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</si>
  <si>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</si>
  <si>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</si>
  <si>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</si>
  <si>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</si>
  <si>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</si>
  <si>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</si>
  <si>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</si>
  <si>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</si>
  <si>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</si>
  <si>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</si>
  <si>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</si>
  <si>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</si>
  <si>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</si>
  <si>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</si>
  <si>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</si>
  <si>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</si>
  <si>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</si>
  <si>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</si>
  <si>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</si>
  <si>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</si>
  <si>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</si>
  <si>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</si>
  <si>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</si>
  <si>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</si>
  <si>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</si>
  <si>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</si>
  <si>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</si>
  <si>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</si>
  <si>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</si>
  <si>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</si>
  <si>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</si>
  <si>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18/08/2017</t>
  </si>
  <si>
    <t>21/08/2017</t>
  </si>
  <si>
    <t>I8-4</t>
  </si>
  <si>
    <t>ISONIAZID</t>
  </si>
  <si>
    <t>% Deviation from mean</t>
  </si>
  <si>
    <t>Average</t>
  </si>
  <si>
    <t>Total</t>
  </si>
  <si>
    <t>% Deviation</t>
  </si>
  <si>
    <t>Tablet weight (mg)</t>
  </si>
  <si>
    <t>Uniformity of weight</t>
  </si>
  <si>
    <t>Uniformity of Weight Test Report</t>
  </si>
  <si>
    <t>NDQB201707046/NDQB201707047/NDQB201708113</t>
  </si>
  <si>
    <t>Isoniazid (WRS-I8-4)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</si>
  <si>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</si>
  <si>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</si>
  <si>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is below</t>
    </r>
    <r>
      <rPr>
        <b/>
        <sz val="12"/>
        <color rgb="FF000000"/>
        <rFont val="Book Antiqua"/>
        <family val="1"/>
      </rPr>
      <t xml:space="preserve"> 1.5</t>
    </r>
  </si>
  <si>
    <t>ISONIAZID TABLETS BP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</si>
</sst>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2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6" borderId="30" xfId="0" applyNumberFormat="1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10" fillId="3" borderId="48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9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0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0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1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2" fontId="10" fillId="6" borderId="50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8" xfId="0" applyNumberFormat="1" applyFont="1" applyFill="1" applyBorder="1" applyAlignment="1">
      <alignment horizontal="center"/>
    </xf>
    <xf numFmtId="173" fontId="10" fillId="6" borderId="50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10" fillId="3" borderId="14" xfId="1" applyFont="1" applyFill="1" applyBorder="1" applyAlignment="1" applyProtection="1">
      <alignment horizontal="center"/>
      <protection locked="0"/>
    </xf>
    <xf numFmtId="166" fontId="11" fillId="3" borderId="0" xfId="1" applyNumberFormat="1" applyFont="1" applyFill="1" applyAlignment="1" applyProtection="1">
      <alignment horizontal="center"/>
      <protection locked="0"/>
    </xf>
    <xf numFmtId="0" fontId="0" fillId="2" borderId="0" xfId="2" applyFont="1" applyFill="1"/>
    <xf numFmtId="0" fontId="1" fillId="2" borderId="0" xfId="2" applyFont="1" applyFill="1"/>
    <xf numFmtId="0" fontId="6" fillId="2" borderId="11" xfId="2" applyFont="1" applyFill="1" applyBorder="1"/>
    <xf numFmtId="0" fontId="6" fillId="2" borderId="0" xfId="2" applyFont="1" applyFill="1"/>
    <xf numFmtId="0" fontId="5" fillId="2" borderId="11" xfId="2" applyFont="1" applyFill="1" applyBorder="1"/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6" fillId="2" borderId="7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5" fillId="2" borderId="10" xfId="2" applyFont="1" applyFill="1" applyBorder="1"/>
    <xf numFmtId="0" fontId="23" fillId="2" borderId="0" xfId="2" applyFont="1" applyFill="1"/>
    <xf numFmtId="10" fontId="6" fillId="2" borderId="9" xfId="2" applyNumberFormat="1" applyFont="1" applyFill="1" applyBorder="1"/>
    <xf numFmtId="0" fontId="6" fillId="2" borderId="0" xfId="2" applyFont="1" applyFill="1" applyAlignment="1">
      <alignment horizontal="center"/>
    </xf>
    <xf numFmtId="0" fontId="6" fillId="2" borderId="9" xfId="2" applyFont="1" applyFill="1" applyBorder="1"/>
    <xf numFmtId="2" fontId="5" fillId="2" borderId="19" xfId="2" applyNumberFormat="1" applyFont="1" applyFill="1" applyBorder="1" applyAlignment="1">
      <alignment horizontal="center" vertical="center"/>
    </xf>
    <xf numFmtId="165" fontId="5" fillId="2" borderId="37" xfId="2" applyNumberFormat="1" applyFont="1" applyFill="1" applyBorder="1" applyAlignment="1">
      <alignment horizontal="center"/>
    </xf>
    <xf numFmtId="165" fontId="5" fillId="2" borderId="35" xfId="2" applyNumberFormat="1" applyFont="1" applyFill="1" applyBorder="1" applyAlignment="1">
      <alignment horizontal="center"/>
    </xf>
    <xf numFmtId="2" fontId="24" fillId="2" borderId="0" xfId="2" applyNumberFormat="1" applyFont="1" applyFill="1"/>
    <xf numFmtId="10" fontId="2" fillId="2" borderId="0" xfId="2" applyNumberFormat="1" applyFont="1" applyFill="1"/>
    <xf numFmtId="0" fontId="5" fillId="2" borderId="19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vertical="center"/>
    </xf>
    <xf numFmtId="2" fontId="24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164" fontId="5" fillId="2" borderId="19" xfId="2" applyNumberFormat="1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right" vertical="center"/>
    </xf>
    <xf numFmtId="170" fontId="2" fillId="2" borderId="0" xfId="2" applyNumberFormat="1" applyFont="1" applyFill="1" applyAlignment="1">
      <alignment horizontal="center"/>
    </xf>
    <xf numFmtId="170" fontId="6" fillId="2" borderId="0" xfId="2" applyNumberFormat="1" applyFont="1" applyFill="1" applyAlignment="1">
      <alignment horizontal="center"/>
    </xf>
    <xf numFmtId="170" fontId="6" fillId="2" borderId="19" xfId="2" applyNumberFormat="1" applyFont="1" applyFill="1" applyBorder="1" applyAlignment="1">
      <alignment horizontal="center" vertical="center"/>
    </xf>
    <xf numFmtId="10" fontId="2" fillId="2" borderId="0" xfId="2" applyNumberFormat="1" applyFont="1" applyFill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30" xfId="2" applyNumberFormat="1" applyFont="1" applyFill="1" applyBorder="1" applyAlignment="1">
      <alignment horizontal="center"/>
    </xf>
    <xf numFmtId="2" fontId="6" fillId="3" borderId="30" xfId="2" applyNumberFormat="1" applyFont="1" applyFill="1" applyBorder="1" applyProtection="1">
      <protection locked="0"/>
    </xf>
    <xf numFmtId="10" fontId="6" fillId="2" borderId="40" xfId="2" applyNumberFormat="1" applyFont="1" applyFill="1" applyBorder="1" applyAlignment="1">
      <alignment horizontal="center"/>
    </xf>
    <xf numFmtId="2" fontId="6" fillId="3" borderId="40" xfId="2" applyNumberFormat="1" applyFont="1" applyFill="1" applyBorder="1" applyProtection="1">
      <protection locked="0"/>
    </xf>
    <xf numFmtId="10" fontId="6" fillId="2" borderId="23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164" fontId="5" fillId="2" borderId="19" xfId="2" applyNumberFormat="1" applyFont="1" applyFill="1" applyBorder="1" applyAlignment="1">
      <alignment horizontal="center" wrapText="1"/>
    </xf>
    <xf numFmtId="164" fontId="1" fillId="2" borderId="0" xfId="2" applyNumberFormat="1" applyFont="1" applyFill="1"/>
    <xf numFmtId="0" fontId="4" fillId="2" borderId="0" xfId="2" applyFont="1" applyFill="1" applyAlignment="1">
      <alignment horizontal="left"/>
    </xf>
    <xf numFmtId="175" fontId="6" fillId="2" borderId="0" xfId="2" applyNumberFormat="1" applyFont="1" applyFill="1"/>
    <xf numFmtId="175" fontId="6" fillId="2" borderId="0" xfId="2" applyNumberFormat="1" applyFont="1" applyFill="1" applyAlignment="1">
      <alignment horizontal="center"/>
    </xf>
    <xf numFmtId="0" fontId="4" fillId="2" borderId="0" xfId="2" applyFont="1" applyFill="1"/>
    <xf numFmtId="0" fontId="25" fillId="2" borderId="0" xfId="2" applyFont="1" applyFill="1" applyAlignment="1">
      <alignment wrapText="1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center"/>
    </xf>
    <xf numFmtId="170" fontId="5" fillId="2" borderId="23" xfId="2" applyNumberFormat="1" applyFont="1" applyFill="1" applyBorder="1" applyAlignment="1">
      <alignment horizontal="center" vertical="center"/>
    </xf>
    <xf numFmtId="170" fontId="5" fillId="2" borderId="30" xfId="2" applyNumberFormat="1" applyFont="1" applyFill="1" applyBorder="1" applyAlignment="1">
      <alignment horizontal="center" vertical="center"/>
    </xf>
    <xf numFmtId="0" fontId="25" fillId="2" borderId="53" xfId="2" applyFont="1" applyFill="1" applyBorder="1" applyAlignment="1">
      <alignment horizontal="center" wrapText="1"/>
    </xf>
    <xf numFmtId="0" fontId="25" fillId="2" borderId="54" xfId="2" applyFont="1" applyFill="1" applyBorder="1" applyAlignment="1">
      <alignment horizontal="center" wrapText="1"/>
    </xf>
    <xf numFmtId="0" fontId="25" fillId="2" borderId="55" xfId="2" applyFont="1" applyFill="1" applyBorder="1" applyAlignment="1">
      <alignment horizontal="center" wrapText="1"/>
    </xf>
    <xf numFmtId="164" fontId="1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3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3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3" xfId="0" applyFont="1" applyFill="1" applyBorder="1" applyAlignment="1">
      <alignment horizontal="left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0" fontId="9" fillId="6" borderId="46" xfId="0" applyNumberFormat="1" applyFont="1" applyFill="1" applyBorder="1" applyAlignment="1">
      <alignment horizontal="center"/>
    </xf>
    <xf numFmtId="170" fontId="9" fillId="6" borderId="46" xfId="0" applyNumberFormat="1" applyFont="1" applyFill="1" applyBorder="1" applyAlignment="1" applyProtection="1">
      <alignment horizontal="center"/>
    </xf>
    <xf numFmtId="0" fontId="6" fillId="2" borderId="0" xfId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48" sqref="D48"/>
    </sheetView>
  </sheetViews>
  <sheetFormatPr defaultColWidth="9.109375" defaultRowHeight="13.8" x14ac:dyDescent="0.3"/>
  <cols>
    <col min="1" max="1" width="15.5546875" style="238" customWidth="1"/>
    <col min="2" max="2" width="18.44140625" style="238" customWidth="1"/>
    <col min="3" max="3" width="14.33203125" style="238" customWidth="1"/>
    <col min="4" max="4" width="15" style="238" customWidth="1"/>
    <col min="5" max="5" width="9.109375" style="238" customWidth="1"/>
    <col min="6" max="6" width="27.88671875" style="238" customWidth="1"/>
    <col min="7" max="7" width="12.33203125" style="238" customWidth="1"/>
    <col min="8" max="8" width="9.109375" style="238" customWidth="1"/>
    <col min="9" max="16384" width="9.109375" style="237"/>
  </cols>
  <sheetData>
    <row r="10" spans="1:7" ht="13.5" customHeight="1" thickBot="1" x14ac:dyDescent="0.35"/>
    <row r="11" spans="1:7" ht="13.5" customHeight="1" thickBot="1" x14ac:dyDescent="0.35">
      <c r="A11" s="288" t="s">
        <v>33</v>
      </c>
      <c r="B11" s="289"/>
      <c r="C11" s="289"/>
      <c r="D11" s="289"/>
      <c r="E11" s="289"/>
      <c r="F11" s="290"/>
      <c r="G11" s="280"/>
    </row>
    <row r="12" spans="1:7" ht="16.5" customHeight="1" x14ac:dyDescent="0.3">
      <c r="A12" s="285" t="s">
        <v>134</v>
      </c>
      <c r="B12" s="285"/>
      <c r="C12" s="285"/>
      <c r="D12" s="285"/>
      <c r="E12" s="285"/>
      <c r="F12" s="285"/>
      <c r="G12" s="279"/>
    </row>
    <row r="14" spans="1:7" ht="16.5" customHeight="1" x14ac:dyDescent="0.3">
      <c r="A14" s="284" t="s">
        <v>35</v>
      </c>
      <c r="B14" s="284"/>
      <c r="C14" s="240" t="s">
        <v>5</v>
      </c>
    </row>
    <row r="15" spans="1:7" ht="16.5" customHeight="1" x14ac:dyDescent="0.3">
      <c r="A15" s="284" t="s">
        <v>36</v>
      </c>
      <c r="B15" s="284"/>
      <c r="C15" s="240" t="s">
        <v>7</v>
      </c>
    </row>
    <row r="16" spans="1:7" ht="16.5" customHeight="1" x14ac:dyDescent="0.3">
      <c r="A16" s="284" t="s">
        <v>37</v>
      </c>
      <c r="B16" s="284"/>
      <c r="C16" s="240" t="s">
        <v>9</v>
      </c>
    </row>
    <row r="17" spans="1:5" ht="16.5" customHeight="1" x14ac:dyDescent="0.3">
      <c r="A17" s="284" t="s">
        <v>38</v>
      </c>
      <c r="B17" s="284"/>
      <c r="C17" s="240" t="s">
        <v>11</v>
      </c>
    </row>
    <row r="18" spans="1:5" ht="16.5" customHeight="1" x14ac:dyDescent="0.3">
      <c r="A18" s="284" t="s">
        <v>39</v>
      </c>
      <c r="B18" s="284"/>
      <c r="C18" s="278" t="s">
        <v>12</v>
      </c>
    </row>
    <row r="19" spans="1:5" ht="16.5" customHeight="1" x14ac:dyDescent="0.3">
      <c r="A19" s="284" t="s">
        <v>40</v>
      </c>
      <c r="B19" s="284"/>
      <c r="C19" s="278" t="e">
        <f>#REF!</f>
        <v>#REF!</v>
      </c>
    </row>
    <row r="20" spans="1:5" ht="16.5" customHeight="1" x14ac:dyDescent="0.3">
      <c r="A20" s="243"/>
      <c r="B20" s="243"/>
      <c r="C20" s="277"/>
    </row>
    <row r="21" spans="1:5" ht="16.5" customHeight="1" x14ac:dyDescent="0.3">
      <c r="A21" s="285" t="s">
        <v>1</v>
      </c>
      <c r="B21" s="285"/>
      <c r="C21" s="276" t="s">
        <v>133</v>
      </c>
      <c r="D21" s="248"/>
    </row>
    <row r="22" spans="1:5" ht="15.75" customHeight="1" thickBot="1" x14ac:dyDescent="0.35">
      <c r="A22" s="291"/>
      <c r="B22" s="291"/>
      <c r="C22" s="275"/>
      <c r="D22" s="291"/>
      <c r="E22" s="291"/>
    </row>
    <row r="23" spans="1:5" ht="33.75" customHeight="1" thickBot="1" x14ac:dyDescent="0.35">
      <c r="C23" s="274" t="s">
        <v>132</v>
      </c>
      <c r="D23" s="257" t="s">
        <v>131</v>
      </c>
      <c r="E23" s="273"/>
    </row>
    <row r="24" spans="1:5" ht="15.75" customHeight="1" x14ac:dyDescent="0.3">
      <c r="C24" s="271">
        <v>115.9</v>
      </c>
      <c r="D24" s="272">
        <f t="shared" ref="D24:D43" si="0">(C24-$C$46)/$C$46</f>
        <v>3.8586629364814324E-3</v>
      </c>
      <c r="E24" s="267"/>
    </row>
    <row r="25" spans="1:5" ht="15.75" customHeight="1" x14ac:dyDescent="0.3">
      <c r="C25" s="271">
        <v>114.13</v>
      </c>
      <c r="D25" s="270">
        <f t="shared" si="0"/>
        <v>-1.1472051760650425E-2</v>
      </c>
      <c r="E25" s="267"/>
    </row>
    <row r="26" spans="1:5" ht="15.75" customHeight="1" x14ac:dyDescent="0.3">
      <c r="C26" s="271">
        <v>113.35</v>
      </c>
      <c r="D26" s="270">
        <f t="shared" si="0"/>
        <v>-1.8227959932267824E-2</v>
      </c>
      <c r="E26" s="267"/>
    </row>
    <row r="27" spans="1:5" ht="15.75" customHeight="1" x14ac:dyDescent="0.3">
      <c r="C27" s="271">
        <v>112.68</v>
      </c>
      <c r="D27" s="270">
        <f t="shared" si="0"/>
        <v>-2.4031111823272399E-2</v>
      </c>
      <c r="E27" s="267"/>
    </row>
    <row r="28" spans="1:5" ht="15.75" customHeight="1" x14ac:dyDescent="0.3">
      <c r="C28" s="271">
        <v>116.26</v>
      </c>
      <c r="D28" s="270">
        <f t="shared" si="0"/>
        <v>6.9767744003048377E-3</v>
      </c>
      <c r="E28" s="267"/>
    </row>
    <row r="29" spans="1:5" ht="15.75" customHeight="1" x14ac:dyDescent="0.3">
      <c r="C29" s="271">
        <v>116.98</v>
      </c>
      <c r="D29" s="270">
        <f t="shared" si="0"/>
        <v>1.3212997327951649E-2</v>
      </c>
      <c r="E29" s="267"/>
    </row>
    <row r="30" spans="1:5" ht="15.75" customHeight="1" x14ac:dyDescent="0.3">
      <c r="C30" s="271">
        <v>116.34</v>
      </c>
      <c r="D30" s="270">
        <f t="shared" si="0"/>
        <v>7.669688058932248E-3</v>
      </c>
      <c r="E30" s="267"/>
    </row>
    <row r="31" spans="1:5" ht="15.75" customHeight="1" x14ac:dyDescent="0.3">
      <c r="C31" s="271">
        <v>116.52</v>
      </c>
      <c r="D31" s="270">
        <f t="shared" si="0"/>
        <v>9.2287437908438897E-3</v>
      </c>
      <c r="E31" s="267"/>
    </row>
    <row r="32" spans="1:5" ht="15.75" customHeight="1" x14ac:dyDescent="0.3">
      <c r="C32" s="271">
        <v>114.95</v>
      </c>
      <c r="D32" s="270">
        <f t="shared" si="0"/>
        <v>-4.3696867597192591E-3</v>
      </c>
      <c r="E32" s="267"/>
    </row>
    <row r="33" spans="1:7" ht="15.75" customHeight="1" x14ac:dyDescent="0.3">
      <c r="C33" s="271">
        <v>116.77</v>
      </c>
      <c r="D33" s="270">
        <f t="shared" si="0"/>
        <v>1.1394098974054591E-2</v>
      </c>
      <c r="E33" s="267"/>
    </row>
    <row r="34" spans="1:7" ht="15.75" customHeight="1" x14ac:dyDescent="0.3">
      <c r="C34" s="271">
        <v>116.02</v>
      </c>
      <c r="D34" s="270">
        <f t="shared" si="0"/>
        <v>4.8980334244224854E-3</v>
      </c>
      <c r="E34" s="267"/>
    </row>
    <row r="35" spans="1:7" ht="15.75" customHeight="1" x14ac:dyDescent="0.3">
      <c r="C35" s="271">
        <v>113.77</v>
      </c>
      <c r="D35" s="270">
        <f t="shared" si="0"/>
        <v>-1.4590163224473832E-2</v>
      </c>
      <c r="E35" s="267"/>
    </row>
    <row r="36" spans="1:7" ht="15.75" customHeight="1" x14ac:dyDescent="0.3">
      <c r="C36" s="271">
        <v>115.63</v>
      </c>
      <c r="D36" s="270">
        <f t="shared" si="0"/>
        <v>1.5200793386137856E-3</v>
      </c>
      <c r="E36" s="267"/>
    </row>
    <row r="37" spans="1:7" ht="15.75" customHeight="1" x14ac:dyDescent="0.3">
      <c r="C37" s="271">
        <v>113.97</v>
      </c>
      <c r="D37" s="270">
        <f t="shared" si="0"/>
        <v>-1.2857879077905246E-2</v>
      </c>
      <c r="E37" s="267"/>
    </row>
    <row r="38" spans="1:7" ht="15.75" customHeight="1" x14ac:dyDescent="0.3">
      <c r="C38" s="271">
        <v>117.28</v>
      </c>
      <c r="D38" s="270">
        <f t="shared" si="0"/>
        <v>1.5811423547804467E-2</v>
      </c>
      <c r="E38" s="267"/>
    </row>
    <row r="39" spans="1:7" ht="15.75" customHeight="1" x14ac:dyDescent="0.3">
      <c r="C39" s="271">
        <v>116.08</v>
      </c>
      <c r="D39" s="270">
        <f t="shared" si="0"/>
        <v>5.4177186683930737E-3</v>
      </c>
      <c r="E39" s="267"/>
    </row>
    <row r="40" spans="1:7" ht="15.75" customHeight="1" x14ac:dyDescent="0.3">
      <c r="C40" s="271">
        <v>117.28</v>
      </c>
      <c r="D40" s="270">
        <f t="shared" si="0"/>
        <v>1.5811423547804467E-2</v>
      </c>
      <c r="E40" s="267"/>
    </row>
    <row r="41" spans="1:7" ht="15.75" customHeight="1" x14ac:dyDescent="0.3">
      <c r="C41" s="271">
        <v>114.49</v>
      </c>
      <c r="D41" s="270">
        <f t="shared" si="0"/>
        <v>-8.3539402968270202E-3</v>
      </c>
      <c r="E41" s="267"/>
    </row>
    <row r="42" spans="1:7" ht="15.75" customHeight="1" x14ac:dyDescent="0.3">
      <c r="C42" s="271">
        <v>114.04</v>
      </c>
      <c r="D42" s="270">
        <f t="shared" si="0"/>
        <v>-1.2251579626606184E-2</v>
      </c>
      <c r="E42" s="267"/>
    </row>
    <row r="43" spans="1:7" ht="16.5" customHeight="1" thickBot="1" x14ac:dyDescent="0.35">
      <c r="C43" s="269">
        <v>116.65</v>
      </c>
      <c r="D43" s="268">
        <f t="shared" si="0"/>
        <v>1.0354728486113537E-2</v>
      </c>
      <c r="E43" s="267"/>
    </row>
    <row r="44" spans="1:7" ht="16.5" customHeight="1" thickBot="1" x14ac:dyDescent="0.35">
      <c r="C44" s="263"/>
      <c r="D44" s="267"/>
      <c r="E44" s="266"/>
    </row>
    <row r="45" spans="1:7" ht="16.5" customHeight="1" thickBot="1" x14ac:dyDescent="0.35">
      <c r="B45" s="262" t="s">
        <v>130</v>
      </c>
      <c r="C45" s="265">
        <f>SUM(C24:C44)</f>
        <v>2309.09</v>
      </c>
      <c r="D45" s="264"/>
      <c r="E45" s="263"/>
    </row>
    <row r="46" spans="1:7" ht="17.25" customHeight="1" thickBot="1" x14ac:dyDescent="0.35">
      <c r="B46" s="262" t="s">
        <v>129</v>
      </c>
      <c r="C46" s="261">
        <f>AVERAGE(C24:C44)</f>
        <v>115.45450000000001</v>
      </c>
      <c r="E46" s="259"/>
    </row>
    <row r="47" spans="1:7" ht="17.25" customHeight="1" thickBot="1" x14ac:dyDescent="0.35">
      <c r="A47" s="240"/>
      <c r="B47" s="260"/>
      <c r="D47" s="255"/>
      <c r="E47" s="259"/>
    </row>
    <row r="48" spans="1:7" ht="33.75" customHeight="1" thickBot="1" x14ac:dyDescent="0.35">
      <c r="B48" s="258" t="s">
        <v>129</v>
      </c>
      <c r="C48" s="257" t="s">
        <v>128</v>
      </c>
      <c r="D48" s="256"/>
      <c r="G48" s="255"/>
    </row>
    <row r="49" spans="1:6" ht="17.25" customHeight="1" thickBot="1" x14ac:dyDescent="0.35">
      <c r="B49" s="286">
        <f>C46</f>
        <v>115.45450000000001</v>
      </c>
      <c r="C49" s="254">
        <f>-IF(C46&lt;=80,10%,IF(C46&lt;250,7.5%,5%))</f>
        <v>-7.4999999999999997E-2</v>
      </c>
      <c r="D49" s="252">
        <f>IF(C46&lt;=80,C46*0.9,IF(C46&lt;250,C46*0.925,C46*0.95))</f>
        <v>106.79541250000001</v>
      </c>
    </row>
    <row r="50" spans="1:6" ht="17.25" customHeight="1" thickBot="1" x14ac:dyDescent="0.35">
      <c r="B50" s="287"/>
      <c r="C50" s="253">
        <f>IF(C46&lt;=80, 10%, IF(C46&lt;250, 7.5%, 5%))</f>
        <v>7.4999999999999997E-2</v>
      </c>
      <c r="D50" s="252">
        <f>IF(C46&lt;=80, C46*1.1, IF(C46&lt;250, C46*1.075, C46*1.05))</f>
        <v>124.11358750000001</v>
      </c>
    </row>
    <row r="51" spans="1:6" ht="16.5" customHeight="1" thickBot="1" x14ac:dyDescent="0.35">
      <c r="A51" s="251"/>
      <c r="B51" s="250"/>
      <c r="C51" s="240"/>
      <c r="D51" s="249"/>
      <c r="E51" s="240"/>
      <c r="F51" s="248"/>
    </row>
    <row r="52" spans="1:6" ht="16.5" customHeight="1" x14ac:dyDescent="0.3">
      <c r="A52" s="240"/>
      <c r="B52" s="247" t="s">
        <v>26</v>
      </c>
      <c r="C52" s="247"/>
      <c r="D52" s="245" t="s">
        <v>27</v>
      </c>
      <c r="E52" s="246"/>
      <c r="F52" s="245" t="s">
        <v>28</v>
      </c>
    </row>
    <row r="53" spans="1:6" ht="34.5" customHeight="1" x14ac:dyDescent="0.3">
      <c r="A53" s="243" t="s">
        <v>29</v>
      </c>
      <c r="B53" s="244"/>
      <c r="C53" s="240"/>
      <c r="D53" s="244"/>
      <c r="E53" s="240"/>
      <c r="F53" s="244"/>
    </row>
    <row r="54" spans="1:6" ht="34.5" customHeight="1" x14ac:dyDescent="0.3">
      <c r="A54" s="243" t="s">
        <v>30</v>
      </c>
      <c r="B54" s="241"/>
      <c r="C54" s="242"/>
      <c r="D54" s="241"/>
      <c r="E54" s="240"/>
      <c r="F54" s="239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9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38" sqref="E3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135</v>
      </c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14.98/50</f>
        <v>0.29960000000000003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65666928</v>
      </c>
      <c r="C24" s="18">
        <v>4281.6000000000004</v>
      </c>
      <c r="D24" s="19">
        <v>1.4</v>
      </c>
      <c r="E24" s="20">
        <v>3.5</v>
      </c>
    </row>
    <row r="25" spans="1:6" ht="16.5" customHeight="1" x14ac:dyDescent="0.3">
      <c r="A25" s="17">
        <v>2</v>
      </c>
      <c r="B25" s="18">
        <v>65621083</v>
      </c>
      <c r="C25" s="18">
        <v>4314.5</v>
      </c>
      <c r="D25" s="19">
        <v>1.4</v>
      </c>
      <c r="E25" s="19">
        <v>3.5</v>
      </c>
    </row>
    <row r="26" spans="1:6" ht="16.5" customHeight="1" x14ac:dyDescent="0.3">
      <c r="A26" s="17">
        <v>3</v>
      </c>
      <c r="B26" s="18">
        <v>65862894</v>
      </c>
      <c r="C26" s="18">
        <v>4290.6000000000004</v>
      </c>
      <c r="D26" s="19">
        <v>1.4</v>
      </c>
      <c r="E26" s="19">
        <v>3.5</v>
      </c>
    </row>
    <row r="27" spans="1:6" ht="16.5" customHeight="1" x14ac:dyDescent="0.3">
      <c r="A27" s="17">
        <v>4</v>
      </c>
      <c r="B27" s="18">
        <v>65973745</v>
      </c>
      <c r="C27" s="18">
        <v>4300.8</v>
      </c>
      <c r="D27" s="19">
        <v>1.4</v>
      </c>
      <c r="E27" s="19">
        <v>3.5</v>
      </c>
    </row>
    <row r="28" spans="1:6" ht="16.5" customHeight="1" x14ac:dyDescent="0.3">
      <c r="A28" s="17">
        <v>5</v>
      </c>
      <c r="B28" s="18">
        <v>65967107</v>
      </c>
      <c r="C28" s="18">
        <v>4278</v>
      </c>
      <c r="D28" s="19">
        <v>1.4</v>
      </c>
      <c r="E28" s="19">
        <v>3.5</v>
      </c>
    </row>
    <row r="29" spans="1:6" ht="16.5" customHeight="1" x14ac:dyDescent="0.3">
      <c r="A29" s="17">
        <v>6</v>
      </c>
      <c r="B29" s="21">
        <v>66082011</v>
      </c>
      <c r="C29" s="21">
        <v>4306.7</v>
      </c>
      <c r="D29" s="22">
        <v>1.4</v>
      </c>
      <c r="E29" s="22">
        <v>3.5</v>
      </c>
    </row>
    <row r="30" spans="1:6" ht="16.5" customHeight="1" x14ac:dyDescent="0.3">
      <c r="A30" s="23" t="s">
        <v>18</v>
      </c>
      <c r="B30" s="24">
        <f>AVERAGE(B24:B29)</f>
        <v>65862294.666666664</v>
      </c>
      <c r="C30" s="25">
        <f>AVERAGE(C24:C29)</f>
        <v>4295.3666666666668</v>
      </c>
      <c r="D30" s="26">
        <f>AVERAGE(D24:D29)</f>
        <v>1.4000000000000001</v>
      </c>
      <c r="E30" s="26">
        <f>AVERAGE(E24:E29)</f>
        <v>3.5</v>
      </c>
    </row>
    <row r="31" spans="1:6" ht="16.5" customHeight="1" x14ac:dyDescent="0.3">
      <c r="A31" s="27" t="s">
        <v>19</v>
      </c>
      <c r="B31" s="28">
        <f>(STDEV(B24:B29)/B30)</f>
        <v>2.783403994443559E-3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37" t="s">
        <v>137</v>
      </c>
      <c r="C34" s="38"/>
      <c r="D34" s="38"/>
      <c r="E34" s="39"/>
    </row>
    <row r="35" spans="1:6" ht="16.5" customHeight="1" x14ac:dyDescent="0.3">
      <c r="A35" s="11"/>
      <c r="B35" s="337" t="s">
        <v>138</v>
      </c>
      <c r="C35" s="38"/>
      <c r="D35" s="38"/>
      <c r="E35" s="39"/>
      <c r="F35" s="2"/>
    </row>
    <row r="36" spans="1:6" ht="16.5" customHeight="1" x14ac:dyDescent="0.3">
      <c r="A36" s="11"/>
      <c r="B36" s="337" t="s">
        <v>139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93" t="s">
        <v>26</v>
      </c>
      <c r="C59" s="29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zoomScale="80" zoomScaleNormal="80" zoomScalePageLayoutView="41" workbookViewId="0">
      <selection activeCell="C122" sqref="C12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24" t="s">
        <v>31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3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3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3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3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3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3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3">
      <c r="A8" s="325" t="s">
        <v>32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3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3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3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3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3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3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5">
      <c r="A15" s="52"/>
    </row>
    <row r="16" spans="1:9" ht="19.5" customHeight="1" x14ac:dyDescent="0.35">
      <c r="A16" s="297" t="s">
        <v>33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3">
      <c r="A17" s="300" t="s">
        <v>34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5">
      <c r="A18" s="54" t="s">
        <v>35</v>
      </c>
      <c r="B18" s="296" t="s">
        <v>140</v>
      </c>
      <c r="C18" s="296"/>
      <c r="D18" s="197"/>
      <c r="E18" s="55"/>
      <c r="F18" s="56"/>
      <c r="G18" s="56"/>
      <c r="H18" s="56"/>
    </row>
    <row r="19" spans="1:14" ht="26.25" customHeight="1" x14ac:dyDescent="0.5">
      <c r="A19" s="54" t="s">
        <v>36</v>
      </c>
      <c r="B19" s="57" t="s">
        <v>7</v>
      </c>
      <c r="C19" s="206">
        <v>1</v>
      </c>
      <c r="D19" s="56"/>
      <c r="E19" s="56"/>
      <c r="F19" s="56"/>
      <c r="G19" s="56"/>
      <c r="H19" s="56"/>
    </row>
    <row r="20" spans="1:14" ht="26.25" customHeight="1" x14ac:dyDescent="0.5">
      <c r="A20" s="54" t="s">
        <v>37</v>
      </c>
      <c r="B20" s="301" t="s">
        <v>9</v>
      </c>
      <c r="C20" s="301"/>
      <c r="D20" s="56"/>
      <c r="E20" s="56"/>
      <c r="F20" s="56"/>
      <c r="G20" s="56"/>
      <c r="H20" s="56"/>
    </row>
    <row r="21" spans="1:14" ht="26.25" customHeight="1" x14ac:dyDescent="0.5">
      <c r="A21" s="54" t="s">
        <v>38</v>
      </c>
      <c r="B21" s="301" t="s">
        <v>11</v>
      </c>
      <c r="C21" s="301"/>
      <c r="D21" s="301"/>
      <c r="E21" s="301"/>
      <c r="F21" s="301"/>
      <c r="G21" s="301"/>
      <c r="H21" s="301"/>
      <c r="I21" s="58"/>
    </row>
    <row r="22" spans="1:14" ht="26.25" customHeight="1" x14ac:dyDescent="0.5">
      <c r="A22" s="54" t="s">
        <v>39</v>
      </c>
      <c r="B22" s="236" t="s">
        <v>124</v>
      </c>
      <c r="C22" s="56"/>
      <c r="D22" s="56"/>
      <c r="E22" s="56"/>
      <c r="F22" s="56"/>
      <c r="G22" s="56"/>
      <c r="H22" s="56"/>
    </row>
    <row r="23" spans="1:14" ht="26.25" customHeight="1" x14ac:dyDescent="0.5">
      <c r="A23" s="54" t="s">
        <v>40</v>
      </c>
      <c r="B23" s="236" t="s">
        <v>125</v>
      </c>
      <c r="C23" s="56"/>
      <c r="D23" s="56"/>
      <c r="E23" s="56"/>
      <c r="F23" s="56"/>
      <c r="G23" s="56"/>
      <c r="H23" s="56"/>
    </row>
    <row r="24" spans="1:14" ht="18" x14ac:dyDescent="0.35">
      <c r="A24" s="54"/>
      <c r="B24" s="59"/>
    </row>
    <row r="25" spans="1:14" ht="18" x14ac:dyDescent="0.35">
      <c r="A25" s="60" t="s">
        <v>1</v>
      </c>
      <c r="B25" s="59"/>
    </row>
    <row r="26" spans="1:14" ht="26.25" customHeight="1" x14ac:dyDescent="0.45">
      <c r="A26" s="61" t="s">
        <v>4</v>
      </c>
      <c r="B26" s="296" t="s">
        <v>127</v>
      </c>
      <c r="C26" s="296"/>
    </row>
    <row r="27" spans="1:14" ht="26.25" customHeight="1" x14ac:dyDescent="0.5">
      <c r="A27" s="62" t="s">
        <v>41</v>
      </c>
      <c r="B27" s="302" t="s">
        <v>126</v>
      </c>
      <c r="C27" s="302"/>
    </row>
    <row r="28" spans="1:14" ht="27" customHeight="1" x14ac:dyDescent="0.45">
      <c r="A28" s="62" t="s">
        <v>6</v>
      </c>
      <c r="B28" s="63">
        <v>100.33</v>
      </c>
    </row>
    <row r="29" spans="1:14" s="14" customFormat="1" ht="27" customHeight="1" x14ac:dyDescent="0.5">
      <c r="A29" s="62" t="s">
        <v>42</v>
      </c>
      <c r="B29" s="64"/>
      <c r="C29" s="303" t="s">
        <v>43</v>
      </c>
      <c r="D29" s="304"/>
      <c r="E29" s="304"/>
      <c r="F29" s="304"/>
      <c r="G29" s="305"/>
      <c r="I29" s="65"/>
      <c r="J29" s="65"/>
      <c r="K29" s="65"/>
      <c r="L29" s="65"/>
    </row>
    <row r="30" spans="1:14" s="14" customFormat="1" ht="19.5" customHeight="1" x14ac:dyDescent="0.35">
      <c r="A30" s="62" t="s">
        <v>44</v>
      </c>
      <c r="B30" s="66">
        <f>B28-B29</f>
        <v>100.33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14" customFormat="1" ht="27" customHeight="1" x14ac:dyDescent="0.45">
      <c r="A31" s="62" t="s">
        <v>45</v>
      </c>
      <c r="B31" s="69">
        <v>1</v>
      </c>
      <c r="C31" s="306" t="s">
        <v>46</v>
      </c>
      <c r="D31" s="307"/>
      <c r="E31" s="307"/>
      <c r="F31" s="307"/>
      <c r="G31" s="307"/>
      <c r="H31" s="308"/>
      <c r="I31" s="65"/>
      <c r="J31" s="65"/>
      <c r="K31" s="65"/>
      <c r="L31" s="65"/>
    </row>
    <row r="32" spans="1:14" s="14" customFormat="1" ht="27" customHeight="1" x14ac:dyDescent="0.45">
      <c r="A32" s="62" t="s">
        <v>47</v>
      </c>
      <c r="B32" s="69">
        <v>1</v>
      </c>
      <c r="C32" s="306" t="s">
        <v>48</v>
      </c>
      <c r="D32" s="307"/>
      <c r="E32" s="307"/>
      <c r="F32" s="307"/>
      <c r="G32" s="307"/>
      <c r="H32" s="308"/>
      <c r="I32" s="65"/>
      <c r="J32" s="65"/>
      <c r="K32" s="65"/>
      <c r="L32" s="70"/>
      <c r="M32" s="70"/>
      <c r="N32" s="71"/>
    </row>
    <row r="33" spans="1:14" s="14" customFormat="1" ht="17.25" customHeight="1" x14ac:dyDescent="0.35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14" customFormat="1" ht="18" x14ac:dyDescent="0.35">
      <c r="A34" s="62" t="s">
        <v>49</v>
      </c>
      <c r="B34" s="74">
        <f>B31/B32</f>
        <v>1</v>
      </c>
      <c r="C34" s="53" t="s">
        <v>50</v>
      </c>
      <c r="D34" s="53"/>
      <c r="E34" s="53"/>
      <c r="F34" s="53"/>
      <c r="G34" s="53"/>
      <c r="I34" s="65"/>
      <c r="J34" s="65"/>
      <c r="K34" s="65"/>
      <c r="L34" s="70"/>
      <c r="M34" s="70"/>
      <c r="N34" s="71"/>
    </row>
    <row r="35" spans="1:14" s="14" customFormat="1" ht="19.5" customHeight="1" x14ac:dyDescent="0.35">
      <c r="A35" s="62"/>
      <c r="B35" s="66"/>
      <c r="G35" s="53"/>
      <c r="I35" s="65"/>
      <c r="J35" s="65"/>
      <c r="K35" s="65"/>
      <c r="L35" s="70"/>
      <c r="M35" s="70"/>
      <c r="N35" s="71"/>
    </row>
    <row r="36" spans="1:14" s="14" customFormat="1" ht="27" customHeight="1" x14ac:dyDescent="0.45">
      <c r="A36" s="75" t="s">
        <v>51</v>
      </c>
      <c r="B36" s="76">
        <v>50</v>
      </c>
      <c r="C36" s="53"/>
      <c r="D36" s="309" t="s">
        <v>52</v>
      </c>
      <c r="E36" s="310"/>
      <c r="F36" s="309" t="s">
        <v>53</v>
      </c>
      <c r="G36" s="311"/>
      <c r="J36" s="65"/>
      <c r="K36" s="65"/>
      <c r="L36" s="70"/>
      <c r="M36" s="70"/>
      <c r="N36" s="71"/>
    </row>
    <row r="37" spans="1:14" s="14" customFormat="1" ht="27" customHeight="1" x14ac:dyDescent="0.45">
      <c r="A37" s="77" t="s">
        <v>54</v>
      </c>
      <c r="B37" s="78">
        <v>1</v>
      </c>
      <c r="C37" s="79" t="s">
        <v>55</v>
      </c>
      <c r="D37" s="80" t="s">
        <v>56</v>
      </c>
      <c r="E37" s="81" t="s">
        <v>57</v>
      </c>
      <c r="F37" s="80" t="s">
        <v>56</v>
      </c>
      <c r="G37" s="82" t="s">
        <v>57</v>
      </c>
      <c r="I37" s="83" t="s">
        <v>58</v>
      </c>
      <c r="J37" s="65"/>
      <c r="K37" s="65"/>
      <c r="L37" s="70"/>
      <c r="M37" s="70"/>
      <c r="N37" s="71"/>
    </row>
    <row r="38" spans="1:14" s="14" customFormat="1" ht="26.25" customHeight="1" x14ac:dyDescent="0.45">
      <c r="A38" s="77" t="s">
        <v>59</v>
      </c>
      <c r="B38" s="78">
        <v>1</v>
      </c>
      <c r="C38" s="84">
        <v>1</v>
      </c>
      <c r="D38" s="234">
        <v>65690775</v>
      </c>
      <c r="E38" s="86">
        <f>IF(ISBLANK(D38),"-",$D$48/$D$45*D38)</f>
        <v>69932932.93679589</v>
      </c>
      <c r="F38" s="234">
        <v>78580442</v>
      </c>
      <c r="G38" s="87">
        <f>IF(ISBLANK(F38),"-",$D$48/$F$45*F38)</f>
        <v>68590677.147460446</v>
      </c>
      <c r="I38" s="88"/>
      <c r="J38" s="65"/>
      <c r="K38" s="65"/>
      <c r="L38" s="70"/>
      <c r="M38" s="70"/>
      <c r="N38" s="71"/>
    </row>
    <row r="39" spans="1:14" s="14" customFormat="1" ht="26.25" customHeight="1" x14ac:dyDescent="0.45">
      <c r="A39" s="77" t="s">
        <v>60</v>
      </c>
      <c r="B39" s="78">
        <v>1</v>
      </c>
      <c r="C39" s="89">
        <v>2</v>
      </c>
      <c r="D39" s="235">
        <v>65725687</v>
      </c>
      <c r="E39" s="91">
        <f>IF(ISBLANK(D39),"-",$D$48/$D$45*D39)</f>
        <v>69970099.472807825</v>
      </c>
      <c r="F39" s="235">
        <v>79042950</v>
      </c>
      <c r="G39" s="92">
        <f>IF(ISBLANK(F39),"-",$D$48/$F$45*F39)</f>
        <v>68994387.486810774</v>
      </c>
      <c r="I39" s="313">
        <f>ABS((F43/D43*D42)-F42)/D42</f>
        <v>1.3353204167064175E-2</v>
      </c>
      <c r="J39" s="65"/>
      <c r="K39" s="65"/>
      <c r="L39" s="70"/>
      <c r="M39" s="70"/>
      <c r="N39" s="71"/>
    </row>
    <row r="40" spans="1:14" ht="26.25" customHeight="1" x14ac:dyDescent="0.45">
      <c r="A40" s="77" t="s">
        <v>61</v>
      </c>
      <c r="B40" s="78">
        <v>1</v>
      </c>
      <c r="C40" s="89">
        <v>3</v>
      </c>
      <c r="D40" s="235">
        <v>65517107</v>
      </c>
      <c r="E40" s="91">
        <f>IF(ISBLANK(D40),"-",$D$48/$D$45*D40)</f>
        <v>69748049.860027984</v>
      </c>
      <c r="F40" s="235">
        <v>79932248</v>
      </c>
      <c r="G40" s="92">
        <f>IF(ISBLANK(F40),"-",$D$48/$F$45*F40)</f>
        <v>69770630.919061795</v>
      </c>
      <c r="I40" s="313"/>
      <c r="L40" s="70"/>
      <c r="M40" s="70"/>
      <c r="N40" s="93"/>
    </row>
    <row r="41" spans="1:14" ht="27" customHeight="1" x14ac:dyDescent="0.45">
      <c r="A41" s="77" t="s">
        <v>62</v>
      </c>
      <c r="B41" s="78">
        <v>1</v>
      </c>
      <c r="C41" s="94">
        <v>4</v>
      </c>
      <c r="D41" s="95"/>
      <c r="E41" s="96" t="str">
        <f>IF(ISBLANK(D41),"-",$D$48/$D$45*D41)</f>
        <v>-</v>
      </c>
      <c r="F41" s="95"/>
      <c r="G41" s="97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5">
      <c r="A42" s="77" t="s">
        <v>63</v>
      </c>
      <c r="B42" s="78">
        <v>1</v>
      </c>
      <c r="C42" s="99" t="s">
        <v>64</v>
      </c>
      <c r="D42" s="100">
        <f>AVERAGE(D38:D41)</f>
        <v>65644523</v>
      </c>
      <c r="E42" s="101">
        <f>AVERAGE(E38:E41)</f>
        <v>69883694.089877233</v>
      </c>
      <c r="F42" s="100">
        <f>AVERAGE(F38:F41)</f>
        <v>79185213.333333328</v>
      </c>
      <c r="G42" s="102">
        <f>AVERAGE(G38:G41)</f>
        <v>69118565.184444323</v>
      </c>
      <c r="H42" s="103"/>
    </row>
    <row r="43" spans="1:14" ht="26.25" customHeight="1" x14ac:dyDescent="0.45">
      <c r="A43" s="77" t="s">
        <v>65</v>
      </c>
      <c r="B43" s="78">
        <v>1</v>
      </c>
      <c r="C43" s="104" t="s">
        <v>66</v>
      </c>
      <c r="D43" s="105">
        <v>14.98</v>
      </c>
      <c r="E43" s="93"/>
      <c r="F43" s="105">
        <v>18.27</v>
      </c>
      <c r="H43" s="103"/>
    </row>
    <row r="44" spans="1:14" ht="26.25" customHeight="1" x14ac:dyDescent="0.45">
      <c r="A44" s="77" t="s">
        <v>67</v>
      </c>
      <c r="B44" s="78">
        <v>1</v>
      </c>
      <c r="C44" s="106" t="s">
        <v>68</v>
      </c>
      <c r="D44" s="107">
        <f>D43*$B$34</f>
        <v>14.98</v>
      </c>
      <c r="E44" s="108"/>
      <c r="F44" s="107">
        <f>F43*$B$34</f>
        <v>18.27</v>
      </c>
      <c r="H44" s="103"/>
    </row>
    <row r="45" spans="1:14" ht="19.5" customHeight="1" x14ac:dyDescent="0.35">
      <c r="A45" s="77" t="s">
        <v>69</v>
      </c>
      <c r="B45" s="109">
        <f>(B44/B43)*(B42/B41)*(B40/B39)*(B38/B37)*B36</f>
        <v>50</v>
      </c>
      <c r="C45" s="106" t="s">
        <v>70</v>
      </c>
      <c r="D45" s="110">
        <f>D44*$B$30/100</f>
        <v>15.029434000000002</v>
      </c>
      <c r="E45" s="111"/>
      <c r="F45" s="110">
        <f>F44*$B$30/100</f>
        <v>18.330290999999999</v>
      </c>
      <c r="H45" s="103"/>
    </row>
    <row r="46" spans="1:14" ht="19.5" customHeight="1" x14ac:dyDescent="0.35">
      <c r="A46" s="314" t="s">
        <v>71</v>
      </c>
      <c r="B46" s="315"/>
      <c r="C46" s="106" t="s">
        <v>72</v>
      </c>
      <c r="D46" s="112">
        <f>D45/$B$45</f>
        <v>0.30058868000000005</v>
      </c>
      <c r="E46" s="113"/>
      <c r="F46" s="114">
        <f>F45/$B$45</f>
        <v>0.36660581999999997</v>
      </c>
      <c r="H46" s="103"/>
    </row>
    <row r="47" spans="1:14" ht="27" customHeight="1" x14ac:dyDescent="0.45">
      <c r="A47" s="316"/>
      <c r="B47" s="317"/>
      <c r="C47" s="115" t="s">
        <v>73</v>
      </c>
      <c r="D47" s="116">
        <v>0.32</v>
      </c>
      <c r="E47" s="117"/>
      <c r="F47" s="113"/>
      <c r="H47" s="103"/>
    </row>
    <row r="48" spans="1:14" ht="18" x14ac:dyDescent="0.35">
      <c r="C48" s="118" t="s">
        <v>74</v>
      </c>
      <c r="D48" s="110">
        <f>D47*$B$45</f>
        <v>16</v>
      </c>
      <c r="F48" s="119"/>
      <c r="H48" s="103"/>
    </row>
    <row r="49" spans="1:12" ht="19.5" customHeight="1" x14ac:dyDescent="0.35">
      <c r="C49" s="120" t="s">
        <v>75</v>
      </c>
      <c r="D49" s="121">
        <f>D48/B34</f>
        <v>16</v>
      </c>
      <c r="F49" s="119"/>
      <c r="H49" s="103"/>
    </row>
    <row r="50" spans="1:12" ht="18" x14ac:dyDescent="0.35">
      <c r="C50" s="75" t="s">
        <v>76</v>
      </c>
      <c r="D50" s="122">
        <f>AVERAGE(E38:E41,G38:G41)</f>
        <v>69501129.637160778</v>
      </c>
      <c r="F50" s="123"/>
      <c r="H50" s="103"/>
    </row>
    <row r="51" spans="1:12" ht="18" x14ac:dyDescent="0.35">
      <c r="C51" s="77" t="s">
        <v>77</v>
      </c>
      <c r="D51" s="124">
        <f>STDEV(E38:E41,G38:G41)/D50</f>
        <v>8.2043307547888626E-3</v>
      </c>
      <c r="F51" s="123"/>
      <c r="H51" s="103"/>
    </row>
    <row r="52" spans="1:12" ht="19.5" customHeight="1" x14ac:dyDescent="0.35">
      <c r="C52" s="125" t="s">
        <v>20</v>
      </c>
      <c r="D52" s="126">
        <f>COUNT(E38:E41,G38:G41)</f>
        <v>6</v>
      </c>
      <c r="F52" s="123"/>
    </row>
    <row r="54" spans="1:12" ht="18" x14ac:dyDescent="0.35">
      <c r="A54" s="127" t="s">
        <v>1</v>
      </c>
      <c r="B54" s="128" t="s">
        <v>78</v>
      </c>
    </row>
    <row r="55" spans="1:12" ht="18" x14ac:dyDescent="0.35">
      <c r="A55" s="53" t="s">
        <v>79</v>
      </c>
      <c r="B55" s="129" t="str">
        <f>B21</f>
        <v>Isoniazid BP 100mg</v>
      </c>
    </row>
    <row r="56" spans="1:12" ht="26.25" customHeight="1" x14ac:dyDescent="0.45">
      <c r="A56" s="130" t="s">
        <v>80</v>
      </c>
      <c r="B56" s="131">
        <v>100</v>
      </c>
      <c r="C56" s="53" t="str">
        <f>B20</f>
        <v>Isoniazid BP</v>
      </c>
      <c r="H56" s="132"/>
    </row>
    <row r="57" spans="1:12" ht="18" x14ac:dyDescent="0.35">
      <c r="A57" s="129" t="s">
        <v>81</v>
      </c>
      <c r="B57" s="198">
        <f>Uniformity!C46</f>
        <v>115.45450000000001</v>
      </c>
      <c r="H57" s="132"/>
    </row>
    <row r="58" spans="1:12" ht="19.5" customHeight="1" x14ac:dyDescent="0.35">
      <c r="H58" s="132"/>
    </row>
    <row r="59" spans="1:12" s="14" customFormat="1" ht="27" customHeight="1" x14ac:dyDescent="0.45">
      <c r="A59" s="75" t="s">
        <v>82</v>
      </c>
      <c r="B59" s="76">
        <v>100</v>
      </c>
      <c r="C59" s="53"/>
      <c r="D59" s="133" t="s">
        <v>83</v>
      </c>
      <c r="E59" s="134" t="s">
        <v>55</v>
      </c>
      <c r="F59" s="134" t="s">
        <v>56</v>
      </c>
      <c r="G59" s="134" t="s">
        <v>84</v>
      </c>
      <c r="H59" s="79" t="s">
        <v>85</v>
      </c>
      <c r="L59" s="65"/>
    </row>
    <row r="60" spans="1:12" s="14" customFormat="1" ht="26.25" customHeight="1" x14ac:dyDescent="0.45">
      <c r="A60" s="77" t="s">
        <v>86</v>
      </c>
      <c r="B60" s="78">
        <v>1</v>
      </c>
      <c r="C60" s="318" t="s">
        <v>87</v>
      </c>
      <c r="D60" s="321">
        <v>37.07</v>
      </c>
      <c r="E60" s="135">
        <v>1</v>
      </c>
      <c r="F60" s="136">
        <v>69498724</v>
      </c>
      <c r="G60" s="199">
        <f>IF(ISBLANK(F60),"-",(F60/$D$50*$D$47*$B$68)*($B$57/$D$60))</f>
        <v>99.660537389740313</v>
      </c>
      <c r="H60" s="217">
        <f t="shared" ref="H60:H71" si="0">IF(ISBLANK(F60),"-",(G60/$B$56)*100)</f>
        <v>99.660537389740313</v>
      </c>
      <c r="L60" s="65"/>
    </row>
    <row r="61" spans="1:12" s="14" customFormat="1" ht="26.25" customHeight="1" x14ac:dyDescent="0.45">
      <c r="A61" s="77" t="s">
        <v>88</v>
      </c>
      <c r="B61" s="78">
        <v>1</v>
      </c>
      <c r="C61" s="319"/>
      <c r="D61" s="322"/>
      <c r="E61" s="137">
        <v>2</v>
      </c>
      <c r="F61" s="90">
        <v>70166068</v>
      </c>
      <c r="G61" s="200">
        <f>IF(ISBLANK(F61),"-",(F61/$D$50*$D$47*$B$68)*($B$57/$D$60))</f>
        <v>100.61750260918548</v>
      </c>
      <c r="H61" s="218">
        <f t="shared" si="0"/>
        <v>100.61750260918546</v>
      </c>
      <c r="L61" s="65"/>
    </row>
    <row r="62" spans="1:12" s="14" customFormat="1" ht="26.25" customHeight="1" x14ac:dyDescent="0.45">
      <c r="A62" s="77" t="s">
        <v>89</v>
      </c>
      <c r="B62" s="78">
        <v>1</v>
      </c>
      <c r="C62" s="319"/>
      <c r="D62" s="322"/>
      <c r="E62" s="137">
        <v>3</v>
      </c>
      <c r="F62" s="138">
        <v>70048569</v>
      </c>
      <c r="G62" s="200">
        <f>IF(ISBLANK(F62),"-",(F62/$D$50*$D$47*$B$68)*($B$57/$D$60))</f>
        <v>100.44901011308215</v>
      </c>
      <c r="H62" s="218">
        <f t="shared" si="0"/>
        <v>100.44901011308215</v>
      </c>
      <c r="L62" s="65"/>
    </row>
    <row r="63" spans="1:12" ht="27" customHeight="1" x14ac:dyDescent="0.45">
      <c r="A63" s="77" t="s">
        <v>90</v>
      </c>
      <c r="B63" s="78">
        <v>1</v>
      </c>
      <c r="C63" s="320"/>
      <c r="D63" s="323"/>
      <c r="E63" s="139">
        <v>4</v>
      </c>
      <c r="F63" s="140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5">
      <c r="A64" s="77" t="s">
        <v>91</v>
      </c>
      <c r="B64" s="78">
        <v>1</v>
      </c>
      <c r="C64" s="318" t="s">
        <v>92</v>
      </c>
      <c r="D64" s="321">
        <v>33.200000000000003</v>
      </c>
      <c r="E64" s="135">
        <v>1</v>
      </c>
      <c r="F64" s="136">
        <v>61899113</v>
      </c>
      <c r="G64" s="199">
        <f>IF(ISBLANK(F64),"-",(F64/$D$50*$D$47*$B$68)*($B$57/$D$64))</f>
        <v>99.109508338847306</v>
      </c>
      <c r="H64" s="217">
        <f t="shared" si="0"/>
        <v>99.109508338847306</v>
      </c>
    </row>
    <row r="65" spans="1:8" ht="26.25" customHeight="1" x14ac:dyDescent="0.45">
      <c r="A65" s="77" t="s">
        <v>93</v>
      </c>
      <c r="B65" s="78">
        <v>1</v>
      </c>
      <c r="C65" s="319"/>
      <c r="D65" s="322"/>
      <c r="E65" s="137">
        <v>2</v>
      </c>
      <c r="F65" s="90">
        <v>62671256</v>
      </c>
      <c r="G65" s="200">
        <f>IF(ISBLANK(F65),"-",(F65/$D$50*$D$47*$B$68)*($B$57/$D$64))</f>
        <v>100.34582190439521</v>
      </c>
      <c r="H65" s="218">
        <f t="shared" si="0"/>
        <v>100.34582190439521</v>
      </c>
    </row>
    <row r="66" spans="1:8" ht="26.25" customHeight="1" x14ac:dyDescent="0.45">
      <c r="A66" s="77" t="s">
        <v>94</v>
      </c>
      <c r="B66" s="78">
        <v>1</v>
      </c>
      <c r="C66" s="319"/>
      <c r="D66" s="322"/>
      <c r="E66" s="137">
        <v>3</v>
      </c>
      <c r="F66" s="90">
        <v>62427818</v>
      </c>
      <c r="G66" s="200">
        <f>IF(ISBLANK(F66),"-",(F66/$D$50*$D$47*$B$68)*($B$57/$D$64))</f>
        <v>99.956042159231629</v>
      </c>
      <c r="H66" s="218">
        <f t="shared" si="0"/>
        <v>99.956042159231629</v>
      </c>
    </row>
    <row r="67" spans="1:8" ht="27" customHeight="1" x14ac:dyDescent="0.45">
      <c r="A67" s="77" t="s">
        <v>95</v>
      </c>
      <c r="B67" s="78">
        <v>1</v>
      </c>
      <c r="C67" s="320"/>
      <c r="D67" s="323"/>
      <c r="E67" s="139">
        <v>4</v>
      </c>
      <c r="F67" s="140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5">
      <c r="A68" s="77" t="s">
        <v>96</v>
      </c>
      <c r="B68" s="141">
        <f>(B67/B66)*(B65/B64)*(B63/B62)*(B61/B60)*B59</f>
        <v>100</v>
      </c>
      <c r="C68" s="318" t="s">
        <v>97</v>
      </c>
      <c r="D68" s="321">
        <v>38.82</v>
      </c>
      <c r="E68" s="135">
        <v>1</v>
      </c>
      <c r="F68" s="136">
        <v>72724935</v>
      </c>
      <c r="G68" s="199">
        <f>IF(ISBLANK(F68),"-",(F68/$D$50*$D$47*$B$68)*($B$57/$D$68))</f>
        <v>99.58565642318527</v>
      </c>
      <c r="H68" s="218">
        <f t="shared" si="0"/>
        <v>99.58565642318527</v>
      </c>
    </row>
    <row r="69" spans="1:8" ht="27" customHeight="1" x14ac:dyDescent="0.5">
      <c r="A69" s="125" t="s">
        <v>98</v>
      </c>
      <c r="B69" s="142">
        <f>(D47*B68)/B56*B57</f>
        <v>36.945440000000005</v>
      </c>
      <c r="C69" s="319"/>
      <c r="D69" s="322"/>
      <c r="E69" s="137">
        <v>2</v>
      </c>
      <c r="F69" s="90">
        <v>73870071</v>
      </c>
      <c r="G69" s="200">
        <f>IF(ISBLANK(F69),"-",(F69/$D$50*$D$47*$B$68)*($B$57/$D$68))</f>
        <v>101.15374473091386</v>
      </c>
      <c r="H69" s="218">
        <f t="shared" si="0"/>
        <v>101.15374473091386</v>
      </c>
    </row>
    <row r="70" spans="1:8" ht="26.25" customHeight="1" x14ac:dyDescent="0.45">
      <c r="A70" s="331" t="s">
        <v>71</v>
      </c>
      <c r="B70" s="332"/>
      <c r="C70" s="319"/>
      <c r="D70" s="322"/>
      <c r="E70" s="137">
        <v>3</v>
      </c>
      <c r="F70" s="90">
        <v>73728437</v>
      </c>
      <c r="G70" s="200">
        <f>IF(ISBLANK(F70),"-",(F70/$D$50*$D$47*$B$68)*($B$57/$D$68))</f>
        <v>100.95979866740976</v>
      </c>
      <c r="H70" s="218">
        <f t="shared" si="0"/>
        <v>100.95979866740976</v>
      </c>
    </row>
    <row r="71" spans="1:8" ht="27" customHeight="1" x14ac:dyDescent="0.45">
      <c r="A71" s="333"/>
      <c r="B71" s="334"/>
      <c r="C71" s="330"/>
      <c r="D71" s="323"/>
      <c r="E71" s="139">
        <v>4</v>
      </c>
      <c r="F71" s="140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5">
      <c r="A72" s="143"/>
      <c r="B72" s="143"/>
      <c r="C72" s="143"/>
      <c r="D72" s="143"/>
      <c r="E72" s="143"/>
      <c r="F72" s="145" t="s">
        <v>64</v>
      </c>
      <c r="G72" s="205">
        <f>AVERAGE(G60:G71)</f>
        <v>100.20418025955456</v>
      </c>
      <c r="H72" s="220">
        <f>AVERAGE(H60:H71)</f>
        <v>100.20418025955456</v>
      </c>
    </row>
    <row r="73" spans="1:8" ht="26.25" customHeight="1" x14ac:dyDescent="0.45">
      <c r="C73" s="143"/>
      <c r="D73" s="143"/>
      <c r="E73" s="143"/>
      <c r="F73" s="146" t="s">
        <v>77</v>
      </c>
      <c r="G73" s="204">
        <f>STDEV(G60:G71)/G72</f>
        <v>6.75144739155109E-3</v>
      </c>
      <c r="H73" s="204">
        <f>STDEV(H60:H71)/H72</f>
        <v>6.7514473915510778E-3</v>
      </c>
    </row>
    <row r="74" spans="1:8" ht="27" customHeight="1" x14ac:dyDescent="0.45">
      <c r="A74" s="143"/>
      <c r="B74" s="143"/>
      <c r="C74" s="144"/>
      <c r="D74" s="144"/>
      <c r="E74" s="147"/>
      <c r="F74" s="148" t="s">
        <v>20</v>
      </c>
      <c r="G74" s="149">
        <f>COUNT(G60:G71)</f>
        <v>9</v>
      </c>
      <c r="H74" s="149">
        <f>COUNT(H60:H71)</f>
        <v>9</v>
      </c>
    </row>
    <row r="76" spans="1:8" ht="26.25" customHeight="1" x14ac:dyDescent="0.45">
      <c r="A76" s="61" t="s">
        <v>99</v>
      </c>
      <c r="B76" s="150" t="s">
        <v>100</v>
      </c>
      <c r="C76" s="326" t="str">
        <f>B26</f>
        <v>ISONIAZID</v>
      </c>
      <c r="D76" s="326"/>
      <c r="E76" s="151" t="s">
        <v>101</v>
      </c>
      <c r="F76" s="151"/>
      <c r="G76" s="233">
        <f>H72</f>
        <v>100.20418025955456</v>
      </c>
      <c r="H76" s="153"/>
    </row>
    <row r="77" spans="1:8" ht="18" x14ac:dyDescent="0.35">
      <c r="A77" s="60" t="s">
        <v>102</v>
      </c>
      <c r="B77" s="60" t="s">
        <v>103</v>
      </c>
    </row>
    <row r="78" spans="1:8" ht="18" x14ac:dyDescent="0.35">
      <c r="A78" s="60"/>
      <c r="B78" s="60"/>
    </row>
    <row r="79" spans="1:8" ht="26.25" customHeight="1" x14ac:dyDescent="0.45">
      <c r="A79" s="61" t="s">
        <v>4</v>
      </c>
      <c r="B79" s="312" t="str">
        <f>B26</f>
        <v>ISONIAZID</v>
      </c>
      <c r="C79" s="312"/>
    </row>
    <row r="80" spans="1:8" ht="26.25" customHeight="1" x14ac:dyDescent="0.45">
      <c r="A80" s="62" t="s">
        <v>41</v>
      </c>
      <c r="B80" s="312" t="str">
        <f>B27</f>
        <v>I8-4</v>
      </c>
      <c r="C80" s="312"/>
    </row>
    <row r="81" spans="1:12" ht="27" customHeight="1" x14ac:dyDescent="0.45">
      <c r="A81" s="62" t="s">
        <v>6</v>
      </c>
      <c r="B81" s="154">
        <f>B28</f>
        <v>100.33</v>
      </c>
    </row>
    <row r="82" spans="1:12" s="14" customFormat="1" ht="27" customHeight="1" x14ac:dyDescent="0.5">
      <c r="A82" s="62" t="s">
        <v>42</v>
      </c>
      <c r="B82" s="64">
        <v>0</v>
      </c>
      <c r="C82" s="303" t="s">
        <v>43</v>
      </c>
      <c r="D82" s="304"/>
      <c r="E82" s="304"/>
      <c r="F82" s="304"/>
      <c r="G82" s="305"/>
      <c r="I82" s="65"/>
      <c r="J82" s="65"/>
      <c r="K82" s="65"/>
      <c r="L82" s="65"/>
    </row>
    <row r="83" spans="1:12" s="14" customFormat="1" ht="19.5" customHeight="1" x14ac:dyDescent="0.35">
      <c r="A83" s="62" t="s">
        <v>44</v>
      </c>
      <c r="B83" s="66">
        <f>B81-B82</f>
        <v>100.33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14" customFormat="1" ht="27" customHeight="1" x14ac:dyDescent="0.45">
      <c r="A84" s="62" t="s">
        <v>45</v>
      </c>
      <c r="B84" s="69">
        <v>1</v>
      </c>
      <c r="C84" s="306" t="s">
        <v>104</v>
      </c>
      <c r="D84" s="307"/>
      <c r="E84" s="307"/>
      <c r="F84" s="307"/>
      <c r="G84" s="307"/>
      <c r="H84" s="308"/>
      <c r="I84" s="65"/>
      <c r="J84" s="65"/>
      <c r="K84" s="65"/>
      <c r="L84" s="65"/>
    </row>
    <row r="85" spans="1:12" s="14" customFormat="1" ht="27" customHeight="1" x14ac:dyDescent="0.45">
      <c r="A85" s="62" t="s">
        <v>47</v>
      </c>
      <c r="B85" s="69">
        <v>1</v>
      </c>
      <c r="C85" s="306" t="s">
        <v>105</v>
      </c>
      <c r="D85" s="307"/>
      <c r="E85" s="307"/>
      <c r="F85" s="307"/>
      <c r="G85" s="307"/>
      <c r="H85" s="308"/>
      <c r="I85" s="65"/>
      <c r="J85" s="65"/>
      <c r="K85" s="65"/>
      <c r="L85" s="65"/>
    </row>
    <row r="86" spans="1:12" s="14" customFormat="1" ht="18" x14ac:dyDescent="0.35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14" customFormat="1" ht="18" x14ac:dyDescent="0.35">
      <c r="A87" s="62" t="s">
        <v>49</v>
      </c>
      <c r="B87" s="74">
        <f>B84/B85</f>
        <v>1</v>
      </c>
      <c r="C87" s="53" t="s">
        <v>50</v>
      </c>
      <c r="D87" s="53"/>
      <c r="E87" s="53"/>
      <c r="F87" s="53"/>
      <c r="G87" s="53"/>
      <c r="I87" s="65"/>
      <c r="J87" s="65"/>
      <c r="K87" s="65"/>
      <c r="L87" s="65"/>
    </row>
    <row r="88" spans="1:12" ht="19.5" customHeight="1" x14ac:dyDescent="0.35">
      <c r="A88" s="60"/>
      <c r="B88" s="60"/>
    </row>
    <row r="89" spans="1:12" ht="27" customHeight="1" x14ac:dyDescent="0.45">
      <c r="A89" s="75" t="s">
        <v>51</v>
      </c>
      <c r="B89" s="76">
        <v>50</v>
      </c>
      <c r="D89" s="155" t="s">
        <v>52</v>
      </c>
      <c r="E89" s="156"/>
      <c r="F89" s="309" t="s">
        <v>53</v>
      </c>
      <c r="G89" s="311"/>
    </row>
    <row r="90" spans="1:12" ht="27" customHeight="1" x14ac:dyDescent="0.45">
      <c r="A90" s="77" t="s">
        <v>54</v>
      </c>
      <c r="B90" s="78">
        <v>2</v>
      </c>
      <c r="C90" s="157" t="s">
        <v>55</v>
      </c>
      <c r="D90" s="80" t="s">
        <v>56</v>
      </c>
      <c r="E90" s="81" t="s">
        <v>57</v>
      </c>
      <c r="F90" s="80" t="s">
        <v>56</v>
      </c>
      <c r="G90" s="158" t="s">
        <v>57</v>
      </c>
      <c r="I90" s="83" t="s">
        <v>58</v>
      </c>
    </row>
    <row r="91" spans="1:12" ht="26.25" customHeight="1" x14ac:dyDescent="0.45">
      <c r="A91" s="77" t="s">
        <v>59</v>
      </c>
      <c r="B91" s="78">
        <v>50</v>
      </c>
      <c r="C91" s="159">
        <v>1</v>
      </c>
      <c r="D91" s="85">
        <v>0.33900000000000002</v>
      </c>
      <c r="E91" s="86">
        <f>IF(ISBLANK(D91),"-",$D$101/$D$98*D91)</f>
        <v>0.46991124216653796</v>
      </c>
      <c r="F91" s="85">
        <v>0.435</v>
      </c>
      <c r="G91" s="87">
        <f>IF(ISBLANK(F91),"-",$D$101/$F$98*F91)</f>
        <v>0.49440022528829464</v>
      </c>
      <c r="I91" s="88"/>
    </row>
    <row r="92" spans="1:12" ht="26.25" customHeight="1" x14ac:dyDescent="0.45">
      <c r="A92" s="77" t="s">
        <v>60</v>
      </c>
      <c r="B92" s="78">
        <v>1</v>
      </c>
      <c r="C92" s="144">
        <v>2</v>
      </c>
      <c r="D92" s="90">
        <v>0.35099999999999998</v>
      </c>
      <c r="E92" s="91">
        <f>IF(ISBLANK(D92),"-",$D$101/$D$98*D92)</f>
        <v>0.48654526843791979</v>
      </c>
      <c r="F92" s="90">
        <v>0.434</v>
      </c>
      <c r="G92" s="92">
        <f>IF(ISBLANK(F92),"-",$D$101/$F$98*F92)</f>
        <v>0.49326367304625257</v>
      </c>
      <c r="I92" s="313">
        <f>ABS((F96/D96*D95)-F95)/D95</f>
        <v>3.2539375567808775E-2</v>
      </c>
    </row>
    <row r="93" spans="1:12" ht="26.25" customHeight="1" x14ac:dyDescent="0.45">
      <c r="A93" s="77" t="s">
        <v>61</v>
      </c>
      <c r="B93" s="78">
        <v>1</v>
      </c>
      <c r="C93" s="144">
        <v>3</v>
      </c>
      <c r="D93" s="90">
        <v>0.34899999999999998</v>
      </c>
      <c r="E93" s="91">
        <f>IF(ISBLANK(D93),"-",$D$101/$D$98*D93)</f>
        <v>0.48377293072602279</v>
      </c>
      <c r="F93" s="90">
        <v>0.432</v>
      </c>
      <c r="G93" s="92">
        <f>IF(ISBLANK(F93),"-",$D$101/$F$98*F93)</f>
        <v>0.49099056856216844</v>
      </c>
      <c r="I93" s="313"/>
    </row>
    <row r="94" spans="1:12" ht="27" customHeight="1" x14ac:dyDescent="0.45">
      <c r="A94" s="77" t="s">
        <v>62</v>
      </c>
      <c r="B94" s="78">
        <v>1</v>
      </c>
      <c r="C94" s="160">
        <v>4</v>
      </c>
      <c r="D94" s="95"/>
      <c r="E94" s="96" t="str">
        <f>IF(ISBLANK(D94),"-",$D$101/$D$98*D94)</f>
        <v>-</v>
      </c>
      <c r="F94" s="161"/>
      <c r="G94" s="97" t="str">
        <f>IF(ISBLANK(F94),"-",$D$101/$F$98*F94)</f>
        <v>-</v>
      </c>
      <c r="I94" s="98"/>
    </row>
    <row r="95" spans="1:12" ht="27" customHeight="1" x14ac:dyDescent="0.45">
      <c r="A95" s="77" t="s">
        <v>63</v>
      </c>
      <c r="B95" s="78">
        <v>1</v>
      </c>
      <c r="C95" s="162" t="s">
        <v>64</v>
      </c>
      <c r="D95" s="335">
        <f>AVERAGE(D91:D94)</f>
        <v>0.34633333333333333</v>
      </c>
      <c r="E95" s="101">
        <f>AVERAGE(E91:E94)</f>
        <v>0.48007648044349355</v>
      </c>
      <c r="F95" s="336">
        <f>AVERAGE(F91:F94)</f>
        <v>0.43366666666666664</v>
      </c>
      <c r="G95" s="163">
        <f>AVERAGE(G91:G94)</f>
        <v>0.49288482229890523</v>
      </c>
    </row>
    <row r="96" spans="1:12" ht="26.25" customHeight="1" x14ac:dyDescent="0.45">
      <c r="A96" s="77" t="s">
        <v>65</v>
      </c>
      <c r="B96" s="63">
        <v>1</v>
      </c>
      <c r="C96" s="164" t="s">
        <v>106</v>
      </c>
      <c r="D96" s="165">
        <v>14.98</v>
      </c>
      <c r="E96" s="93"/>
      <c r="F96" s="105">
        <v>18.27</v>
      </c>
    </row>
    <row r="97" spans="1:10" ht="26.25" customHeight="1" x14ac:dyDescent="0.45">
      <c r="A97" s="77" t="s">
        <v>67</v>
      </c>
      <c r="B97" s="63">
        <v>1</v>
      </c>
      <c r="C97" s="166" t="s">
        <v>107</v>
      </c>
      <c r="D97" s="167">
        <f>D96*$B$87</f>
        <v>14.98</v>
      </c>
      <c r="E97" s="108"/>
      <c r="F97" s="107">
        <f>F96*$B$87</f>
        <v>18.27</v>
      </c>
    </row>
    <row r="98" spans="1:10" ht="19.5" customHeight="1" x14ac:dyDescent="0.35">
      <c r="A98" s="77" t="s">
        <v>69</v>
      </c>
      <c r="B98" s="168">
        <f>(B97/B96)*(B95/B94)*(B93/B92)*(B91/B90)*B89</f>
        <v>1250</v>
      </c>
      <c r="C98" s="166" t="s">
        <v>108</v>
      </c>
      <c r="D98" s="169">
        <f>D97*$B$83/100</f>
        <v>15.029434000000002</v>
      </c>
      <c r="E98" s="111"/>
      <c r="F98" s="110">
        <f>F97*$B$83/100</f>
        <v>18.330290999999999</v>
      </c>
    </row>
    <row r="99" spans="1:10" ht="19.5" customHeight="1" x14ac:dyDescent="0.35">
      <c r="A99" s="314" t="s">
        <v>71</v>
      </c>
      <c r="B99" s="328"/>
      <c r="C99" s="166" t="s">
        <v>109</v>
      </c>
      <c r="D99" s="170">
        <f>D98/$B$98</f>
        <v>1.2023547200000002E-2</v>
      </c>
      <c r="E99" s="111"/>
      <c r="F99" s="114">
        <f>F98/$B$98</f>
        <v>1.46642328E-2</v>
      </c>
      <c r="G99" s="171"/>
      <c r="H99" s="103"/>
    </row>
    <row r="100" spans="1:10" ht="19.5" customHeight="1" x14ac:dyDescent="0.35">
      <c r="A100" s="316"/>
      <c r="B100" s="329"/>
      <c r="C100" s="166" t="s">
        <v>73</v>
      </c>
      <c r="D100" s="172">
        <f>$B$56/$B$116</f>
        <v>1.6666666666666666E-2</v>
      </c>
      <c r="F100" s="119"/>
      <c r="G100" s="173"/>
      <c r="H100" s="103"/>
    </row>
    <row r="101" spans="1:10" ht="18" x14ac:dyDescent="0.35">
      <c r="C101" s="166" t="s">
        <v>74</v>
      </c>
      <c r="D101" s="167">
        <f>D100*$B$98</f>
        <v>20.833333333333332</v>
      </c>
      <c r="F101" s="119"/>
      <c r="G101" s="171"/>
      <c r="H101" s="103"/>
    </row>
    <row r="102" spans="1:10" ht="19.5" customHeight="1" x14ac:dyDescent="0.35">
      <c r="C102" s="174" t="s">
        <v>75</v>
      </c>
      <c r="D102" s="175">
        <f>D101/B34</f>
        <v>20.833333333333332</v>
      </c>
      <c r="F102" s="123"/>
      <c r="G102" s="171"/>
      <c r="H102" s="103"/>
      <c r="J102" s="176"/>
    </row>
    <row r="103" spans="1:10" ht="18" x14ac:dyDescent="0.35">
      <c r="C103" s="177" t="s">
        <v>110</v>
      </c>
      <c r="D103" s="178">
        <f>AVERAGE(E91:E94,G91:G94)</f>
        <v>0.48648065137119939</v>
      </c>
      <c r="F103" s="123"/>
      <c r="G103" s="179"/>
      <c r="H103" s="103"/>
      <c r="J103" s="180"/>
    </row>
    <row r="104" spans="1:10" ht="18" x14ac:dyDescent="0.35">
      <c r="C104" s="146" t="s">
        <v>77</v>
      </c>
      <c r="D104" s="181">
        <f>STDEV(E91:E94,G91:G94)/D103</f>
        <v>1.8635614821068701E-2</v>
      </c>
      <c r="F104" s="123"/>
      <c r="G104" s="171"/>
      <c r="H104" s="103"/>
      <c r="J104" s="180"/>
    </row>
    <row r="105" spans="1:10" ht="19.5" customHeight="1" x14ac:dyDescent="0.35">
      <c r="C105" s="148" t="s">
        <v>20</v>
      </c>
      <c r="D105" s="182">
        <f>COUNT(E91:E94,G91:G94)</f>
        <v>6</v>
      </c>
      <c r="F105" s="123"/>
      <c r="G105" s="171"/>
      <c r="H105" s="103"/>
      <c r="J105" s="180"/>
    </row>
    <row r="106" spans="1:10" ht="19.5" customHeight="1" x14ac:dyDescent="0.35">
      <c r="A106" s="127"/>
      <c r="B106" s="127"/>
      <c r="C106" s="127"/>
      <c r="D106" s="127"/>
      <c r="E106" s="127"/>
    </row>
    <row r="107" spans="1:10" ht="27" customHeight="1" x14ac:dyDescent="0.45">
      <c r="A107" s="75" t="s">
        <v>111</v>
      </c>
      <c r="B107" s="76">
        <v>900</v>
      </c>
      <c r="C107" s="221" t="s">
        <v>112</v>
      </c>
      <c r="D107" s="221" t="s">
        <v>56</v>
      </c>
      <c r="E107" s="221" t="s">
        <v>113</v>
      </c>
      <c r="F107" s="183" t="s">
        <v>114</v>
      </c>
    </row>
    <row r="108" spans="1:10" ht="26.25" customHeight="1" x14ac:dyDescent="0.45">
      <c r="A108" s="77" t="s">
        <v>115</v>
      </c>
      <c r="B108" s="78">
        <v>3</v>
      </c>
      <c r="C108" s="224">
        <v>1</v>
      </c>
      <c r="D108" s="281">
        <v>0.44800000000000001</v>
      </c>
      <c r="E108" s="201">
        <f t="shared" ref="E108:E113" si="1">IF(ISBLANK(D108),"-",D108/$D$103*$D$100*$B$116)</f>
        <v>92.089993453442105</v>
      </c>
      <c r="F108" s="225">
        <f t="shared" ref="F108:F113" si="2">IF(ISBLANK(D108), "-", (E108/$B$56)*100)</f>
        <v>92.089993453442105</v>
      </c>
    </row>
    <row r="109" spans="1:10" ht="26.25" customHeight="1" x14ac:dyDescent="0.45">
      <c r="A109" s="77" t="s">
        <v>88</v>
      </c>
      <c r="B109" s="78">
        <v>20</v>
      </c>
      <c r="C109" s="222">
        <v>2</v>
      </c>
      <c r="D109" s="282">
        <v>0.44700000000000001</v>
      </c>
      <c r="E109" s="202">
        <f t="shared" si="1"/>
        <v>91.884435432340666</v>
      </c>
      <c r="F109" s="226">
        <f t="shared" si="2"/>
        <v>91.884435432340666</v>
      </c>
    </row>
    <row r="110" spans="1:10" ht="26.25" customHeight="1" x14ac:dyDescent="0.45">
      <c r="A110" s="77" t="s">
        <v>89</v>
      </c>
      <c r="B110" s="78">
        <v>1</v>
      </c>
      <c r="C110" s="222">
        <v>3</v>
      </c>
      <c r="D110" s="282">
        <v>0.44500000000000001</v>
      </c>
      <c r="E110" s="202">
        <f t="shared" si="1"/>
        <v>91.473319390137803</v>
      </c>
      <c r="F110" s="226">
        <f t="shared" si="2"/>
        <v>91.473319390137803</v>
      </c>
    </row>
    <row r="111" spans="1:10" ht="26.25" customHeight="1" x14ac:dyDescent="0.45">
      <c r="A111" s="77" t="s">
        <v>90</v>
      </c>
      <c r="B111" s="78">
        <v>1</v>
      </c>
      <c r="C111" s="222">
        <v>4</v>
      </c>
      <c r="D111" s="282">
        <v>0.43099999999999999</v>
      </c>
      <c r="E111" s="202">
        <f t="shared" si="1"/>
        <v>88.595507094717732</v>
      </c>
      <c r="F111" s="226">
        <f t="shared" si="2"/>
        <v>88.595507094717732</v>
      </c>
    </row>
    <row r="112" spans="1:10" ht="26.25" customHeight="1" x14ac:dyDescent="0.45">
      <c r="A112" s="77" t="s">
        <v>91</v>
      </c>
      <c r="B112" s="78">
        <v>1</v>
      </c>
      <c r="C112" s="222">
        <v>5</v>
      </c>
      <c r="D112" s="282">
        <v>0.44600000000000001</v>
      </c>
      <c r="E112" s="202">
        <f t="shared" si="1"/>
        <v>91.678877411239228</v>
      </c>
      <c r="F112" s="226">
        <f t="shared" si="2"/>
        <v>91.678877411239228</v>
      </c>
    </row>
    <row r="113" spans="1:10" ht="27" customHeight="1" x14ac:dyDescent="0.45">
      <c r="A113" s="77" t="s">
        <v>93</v>
      </c>
      <c r="B113" s="78">
        <v>1</v>
      </c>
      <c r="C113" s="223">
        <v>6</v>
      </c>
      <c r="D113" s="283">
        <v>0.438</v>
      </c>
      <c r="E113" s="203">
        <f t="shared" si="1"/>
        <v>90.034413242427775</v>
      </c>
      <c r="F113" s="227">
        <f t="shared" si="2"/>
        <v>90.034413242427775</v>
      </c>
    </row>
    <row r="114" spans="1:10" ht="27" customHeight="1" x14ac:dyDescent="0.45">
      <c r="A114" s="77" t="s">
        <v>94</v>
      </c>
      <c r="B114" s="78">
        <v>1</v>
      </c>
      <c r="C114" s="184"/>
      <c r="D114" s="144"/>
      <c r="E114" s="52"/>
      <c r="F114" s="228"/>
    </row>
    <row r="115" spans="1:10" ht="26.25" customHeight="1" x14ac:dyDescent="0.45">
      <c r="A115" s="77" t="s">
        <v>95</v>
      </c>
      <c r="B115" s="78">
        <v>1</v>
      </c>
      <c r="C115" s="184"/>
      <c r="D115" s="208" t="s">
        <v>64</v>
      </c>
      <c r="E115" s="210">
        <f>AVERAGE(E108:E113)</f>
        <v>90.95942433738422</v>
      </c>
      <c r="F115" s="229">
        <f>AVERAGE(F108:F113)</f>
        <v>90.95942433738422</v>
      </c>
    </row>
    <row r="116" spans="1:10" ht="27" customHeight="1" x14ac:dyDescent="0.45">
      <c r="A116" s="77" t="s">
        <v>96</v>
      </c>
      <c r="B116" s="109">
        <f>(B115/B114)*(B113/B112)*(B111/B110)*(B109/B108)*B107</f>
        <v>6000</v>
      </c>
      <c r="C116" s="185"/>
      <c r="D116" s="209" t="s">
        <v>77</v>
      </c>
      <c r="E116" s="207">
        <f>STDEV(E108:E113)/E115</f>
        <v>1.5041411337666658E-2</v>
      </c>
      <c r="F116" s="186">
        <f>STDEV(F108:F113)/F115</f>
        <v>1.5041411337666658E-2</v>
      </c>
      <c r="I116" s="52"/>
    </row>
    <row r="117" spans="1:10" ht="27" customHeight="1" x14ac:dyDescent="0.45">
      <c r="A117" s="314" t="s">
        <v>71</v>
      </c>
      <c r="B117" s="315"/>
      <c r="C117" s="187"/>
      <c r="D117" s="148" t="s">
        <v>20</v>
      </c>
      <c r="E117" s="212">
        <f>COUNT(E108:E113)</f>
        <v>6</v>
      </c>
      <c r="F117" s="213">
        <f>COUNT(F108:F113)</f>
        <v>6</v>
      </c>
      <c r="I117" s="52"/>
      <c r="J117" s="180"/>
    </row>
    <row r="118" spans="1:10" ht="26.25" customHeight="1" x14ac:dyDescent="0.35">
      <c r="A118" s="316"/>
      <c r="B118" s="317"/>
      <c r="C118" s="52"/>
      <c r="D118" s="211"/>
      <c r="E118" s="294" t="s">
        <v>116</v>
      </c>
      <c r="F118" s="295"/>
      <c r="G118" s="52"/>
      <c r="H118" s="52"/>
      <c r="I118" s="52"/>
    </row>
    <row r="119" spans="1:10" ht="25.5" customHeight="1" x14ac:dyDescent="0.45">
      <c r="A119" s="196"/>
      <c r="B119" s="73"/>
      <c r="C119" s="52"/>
      <c r="D119" s="209" t="s">
        <v>117</v>
      </c>
      <c r="E119" s="214">
        <f>MIN(E108:E113)</f>
        <v>88.595507094717732</v>
      </c>
      <c r="F119" s="230">
        <f>MIN(F108:F113)</f>
        <v>88.595507094717732</v>
      </c>
      <c r="G119" s="52"/>
      <c r="H119" s="52"/>
      <c r="I119" s="52"/>
    </row>
    <row r="120" spans="1:10" ht="24" customHeight="1" x14ac:dyDescent="0.45">
      <c r="A120" s="196"/>
      <c r="B120" s="73"/>
      <c r="C120" s="52"/>
      <c r="D120" s="120" t="s">
        <v>118</v>
      </c>
      <c r="E120" s="215">
        <f>MAX(E108:E113)</f>
        <v>92.089993453442105</v>
      </c>
      <c r="F120" s="231">
        <f>MAX(F108:F113)</f>
        <v>92.089993453442105</v>
      </c>
      <c r="G120" s="52"/>
      <c r="H120" s="52"/>
      <c r="I120" s="52"/>
    </row>
    <row r="121" spans="1:10" ht="27" customHeight="1" x14ac:dyDescent="0.35">
      <c r="A121" s="196"/>
      <c r="B121" s="73"/>
      <c r="C121" s="52"/>
      <c r="D121" s="52"/>
      <c r="E121" s="52"/>
      <c r="F121" s="144"/>
      <c r="G121" s="52"/>
      <c r="H121" s="52"/>
      <c r="I121" s="52"/>
    </row>
    <row r="122" spans="1:10" ht="25.5" customHeight="1" x14ac:dyDescent="0.35">
      <c r="A122" s="196"/>
      <c r="B122" s="73"/>
      <c r="C122" s="52"/>
      <c r="D122" s="52"/>
      <c r="E122" s="52"/>
      <c r="F122" s="144"/>
      <c r="G122" s="52"/>
      <c r="H122" s="52"/>
      <c r="I122" s="52"/>
    </row>
    <row r="123" spans="1:10" ht="18" x14ac:dyDescent="0.35">
      <c r="A123" s="196"/>
      <c r="B123" s="73"/>
      <c r="C123" s="52"/>
      <c r="D123" s="52"/>
      <c r="E123" s="52"/>
      <c r="F123" s="144"/>
      <c r="G123" s="52"/>
      <c r="H123" s="52"/>
      <c r="I123" s="52"/>
    </row>
    <row r="124" spans="1:10" ht="45.75" customHeight="1" x14ac:dyDescent="0.85">
      <c r="A124" s="61" t="s">
        <v>99</v>
      </c>
      <c r="B124" s="150" t="s">
        <v>119</v>
      </c>
      <c r="C124" s="326" t="str">
        <f>B26</f>
        <v>ISONIAZID</v>
      </c>
      <c r="D124" s="326"/>
      <c r="E124" s="151" t="s">
        <v>120</v>
      </c>
      <c r="F124" s="151"/>
      <c r="G124" s="232">
        <f>F115</f>
        <v>90.95942433738422</v>
      </c>
      <c r="H124" s="52"/>
      <c r="I124" s="52"/>
    </row>
    <row r="125" spans="1:10" ht="45.75" customHeight="1" x14ac:dyDescent="0.85">
      <c r="A125" s="61"/>
      <c r="B125" s="150" t="s">
        <v>121</v>
      </c>
      <c r="C125" s="62" t="s">
        <v>122</v>
      </c>
      <c r="D125" s="232">
        <f>MIN(F108:F113)</f>
        <v>88.595507094717732</v>
      </c>
      <c r="E125" s="162" t="s">
        <v>123</v>
      </c>
      <c r="F125" s="232">
        <f>MAX(F108:F113)</f>
        <v>92.089993453442105</v>
      </c>
      <c r="G125" s="152"/>
      <c r="H125" s="52"/>
      <c r="I125" s="52"/>
    </row>
    <row r="126" spans="1:10" ht="19.5" customHeight="1" x14ac:dyDescent="0.35">
      <c r="A126" s="188"/>
      <c r="B126" s="188"/>
      <c r="C126" s="189"/>
      <c r="D126" s="189"/>
      <c r="E126" s="189"/>
      <c r="F126" s="189"/>
      <c r="G126" s="189"/>
      <c r="H126" s="189"/>
    </row>
    <row r="127" spans="1:10" ht="18" x14ac:dyDescent="0.35">
      <c r="B127" s="327" t="s">
        <v>26</v>
      </c>
      <c r="C127" s="327"/>
      <c r="E127" s="157" t="s">
        <v>27</v>
      </c>
      <c r="F127" s="190"/>
      <c r="G127" s="327" t="s">
        <v>28</v>
      </c>
      <c r="H127" s="327"/>
    </row>
    <row r="128" spans="1:10" ht="69.900000000000006" customHeight="1" x14ac:dyDescent="0.35">
      <c r="A128" s="191" t="s">
        <v>29</v>
      </c>
      <c r="B128" s="192"/>
      <c r="C128" s="192"/>
      <c r="E128" s="192"/>
      <c r="F128" s="52"/>
      <c r="G128" s="193"/>
      <c r="H128" s="193"/>
    </row>
    <row r="129" spans="1:9" ht="69.900000000000006" customHeight="1" x14ac:dyDescent="0.35">
      <c r="A129" s="191" t="s">
        <v>30</v>
      </c>
      <c r="B129" s="194"/>
      <c r="C129" s="194"/>
      <c r="E129" s="194"/>
      <c r="F129" s="52"/>
      <c r="G129" s="195"/>
      <c r="H129" s="195"/>
    </row>
    <row r="130" spans="1:9" ht="18" x14ac:dyDescent="0.35">
      <c r="A130" s="143"/>
      <c r="B130" s="143"/>
      <c r="C130" s="144"/>
      <c r="D130" s="144"/>
      <c r="E130" s="144"/>
      <c r="F130" s="147"/>
      <c r="G130" s="144"/>
      <c r="H130" s="144"/>
      <c r="I130" s="52"/>
    </row>
    <row r="131" spans="1:9" ht="18" x14ac:dyDescent="0.35">
      <c r="A131" s="143"/>
      <c r="B131" s="143"/>
      <c r="C131" s="144"/>
      <c r="D131" s="144"/>
      <c r="E131" s="144"/>
      <c r="F131" s="147"/>
      <c r="G131" s="144"/>
      <c r="H131" s="144"/>
      <c r="I131" s="52"/>
    </row>
    <row r="132" spans="1:9" ht="18" x14ac:dyDescent="0.35">
      <c r="A132" s="143"/>
      <c r="B132" s="143"/>
      <c r="C132" s="144"/>
      <c r="D132" s="144"/>
      <c r="E132" s="144"/>
      <c r="F132" s="147"/>
      <c r="G132" s="144"/>
      <c r="H132" s="144"/>
      <c r="I132" s="52"/>
    </row>
    <row r="133" spans="1:9" ht="18" x14ac:dyDescent="0.35">
      <c r="A133" s="143"/>
      <c r="B133" s="143"/>
      <c r="C133" s="144"/>
      <c r="D133" s="144"/>
      <c r="E133" s="144"/>
      <c r="F133" s="147"/>
      <c r="G133" s="144"/>
      <c r="H133" s="144"/>
      <c r="I133" s="52"/>
    </row>
    <row r="134" spans="1:9" ht="18" x14ac:dyDescent="0.35">
      <c r="A134" s="143"/>
      <c r="B134" s="143"/>
      <c r="C134" s="144"/>
      <c r="D134" s="144"/>
      <c r="E134" s="144"/>
      <c r="F134" s="147"/>
      <c r="G134" s="144"/>
      <c r="H134" s="144"/>
      <c r="I134" s="52"/>
    </row>
    <row r="135" spans="1:9" ht="18" x14ac:dyDescent="0.35">
      <c r="A135" s="143"/>
      <c r="B135" s="143"/>
      <c r="C135" s="144"/>
      <c r="D135" s="144"/>
      <c r="E135" s="144"/>
      <c r="F135" s="147"/>
      <c r="G135" s="144"/>
      <c r="H135" s="144"/>
      <c r="I135" s="52"/>
    </row>
    <row r="136" spans="1:9" ht="18" x14ac:dyDescent="0.35">
      <c r="A136" s="143"/>
      <c r="B136" s="143"/>
      <c r="C136" s="144"/>
      <c r="D136" s="144"/>
      <c r="E136" s="144"/>
      <c r="F136" s="147"/>
      <c r="G136" s="144"/>
      <c r="H136" s="144"/>
      <c r="I136" s="52"/>
    </row>
    <row r="137" spans="1:9" ht="18" x14ac:dyDescent="0.35">
      <c r="A137" s="143"/>
      <c r="B137" s="143"/>
      <c r="C137" s="144"/>
      <c r="D137" s="144"/>
      <c r="E137" s="144"/>
      <c r="F137" s="147"/>
      <c r="G137" s="144"/>
      <c r="H137" s="144"/>
      <c r="I137" s="52"/>
    </row>
    <row r="138" spans="1:9" ht="18" x14ac:dyDescent="0.35">
      <c r="A138" s="143"/>
      <c r="B138" s="143"/>
      <c r="C138" s="144"/>
      <c r="D138" s="144"/>
      <c r="E138" s="144"/>
      <c r="F138" s="147"/>
      <c r="G138" s="144"/>
      <c r="H138" s="144"/>
      <c r="I138" s="52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Uniformity</vt:lpstr>
      <vt:lpstr>SST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2017-08-23T07:22:59Z</cp:lastPrinted>
  <dcterms:created xsi:type="dcterms:W3CDTF">2005-07-05T10:19:27Z</dcterms:created>
  <dcterms:modified xsi:type="dcterms:W3CDTF">2017-09-11T15:19:20Z</dcterms:modified>
</cp:coreProperties>
</file>