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Jan\"/>
    </mc:Choice>
  </mc:AlternateContent>
  <bookViews>
    <workbookView xWindow="0" yWindow="0" windowWidth="20490" windowHeight="7650" activeTab="3"/>
  </bookViews>
  <sheets>
    <sheet name="artemether" sheetId="7" r:id="rId1"/>
    <sheet name="SST ARTEMETHER" sheetId="1" r:id="rId2"/>
    <sheet name="Uniformity" sheetId="2" r:id="rId3"/>
    <sheet name="lumefantrine" sheetId="4" r:id="rId4"/>
    <sheet name="SST LUMEFANTRINE" sheetId="5" r:id="rId5"/>
  </sheets>
  <externalReferences>
    <externalReference r:id="rId6"/>
  </externalReferences>
  <definedNames>
    <definedName name="_xlnm.Print_Area" localSheetId="0">artemether!$A$1:$H$145</definedName>
    <definedName name="_xlnm.Print_Area" localSheetId="3">lumefantrine!$A$1:$I$129</definedName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C141" i="7" l="1"/>
  <c r="B137" i="7"/>
  <c r="C124" i="7"/>
  <c r="B120" i="7"/>
  <c r="D102" i="7" s="1"/>
  <c r="D103" i="7" s="1"/>
  <c r="B100" i="7"/>
  <c r="F99" i="7"/>
  <c r="F97" i="7"/>
  <c r="D97" i="7"/>
  <c r="G96" i="7"/>
  <c r="E96" i="7"/>
  <c r="B89" i="7"/>
  <c r="D99" i="7" s="1"/>
  <c r="B83" i="7"/>
  <c r="B84" i="7" s="1"/>
  <c r="B80" i="7"/>
  <c r="C76" i="7"/>
  <c r="H71" i="7"/>
  <c r="G71" i="7"/>
  <c r="B68" i="7"/>
  <c r="B69" i="7" s="1"/>
  <c r="H67" i="7"/>
  <c r="G67" i="7"/>
  <c r="H63" i="7"/>
  <c r="G63" i="7"/>
  <c r="H62" i="7"/>
  <c r="G62" i="7"/>
  <c r="H61" i="7"/>
  <c r="G61" i="7"/>
  <c r="H60" i="7"/>
  <c r="G60" i="7"/>
  <c r="B57" i="7"/>
  <c r="C56" i="7"/>
  <c r="B55" i="7"/>
  <c r="D48" i="7"/>
  <c r="B45" i="7"/>
  <c r="F42" i="7"/>
  <c r="D42" i="7"/>
  <c r="G41" i="7"/>
  <c r="E41" i="7"/>
  <c r="B34" i="7"/>
  <c r="F44" i="7" s="1"/>
  <c r="F45" i="7" s="1"/>
  <c r="B30" i="7"/>
  <c r="E93" i="7" l="1"/>
  <c r="D104" i="7"/>
  <c r="G95" i="7"/>
  <c r="E94" i="7"/>
  <c r="E39" i="7"/>
  <c r="D100" i="7"/>
  <c r="D101" i="7" s="1"/>
  <c r="F100" i="7"/>
  <c r="F101" i="7" s="1"/>
  <c r="F46" i="7"/>
  <c r="G39" i="7"/>
  <c r="D44" i="7"/>
  <c r="D45" i="7" s="1"/>
  <c r="D46" i="7" s="1"/>
  <c r="D49" i="7"/>
  <c r="G38" i="7"/>
  <c r="G42" i="7" s="1"/>
  <c r="G40" i="7"/>
  <c r="E38" i="7"/>
  <c r="E40" i="7"/>
  <c r="G93" i="7" l="1"/>
  <c r="D52" i="7"/>
  <c r="D50" i="7"/>
  <c r="E42" i="7"/>
  <c r="E97" i="7"/>
  <c r="G94" i="7"/>
  <c r="E95" i="7"/>
  <c r="D107" i="7" l="1"/>
  <c r="D105" i="7"/>
  <c r="E114" i="7" s="1"/>
  <c r="F114" i="7" s="1"/>
  <c r="D51" i="7"/>
  <c r="G68" i="7"/>
  <c r="H68" i="7" s="1"/>
  <c r="G69" i="7"/>
  <c r="H69" i="7" s="1"/>
  <c r="G66" i="7"/>
  <c r="H66" i="7" s="1"/>
  <c r="G64" i="7"/>
  <c r="H64" i="7" s="1"/>
  <c r="G70" i="7"/>
  <c r="H70" i="7" s="1"/>
  <c r="G65" i="7"/>
  <c r="H65" i="7" s="1"/>
  <c r="G97" i="7"/>
  <c r="D106" i="7" l="1"/>
  <c r="E129" i="7"/>
  <c r="F129" i="7" s="1"/>
  <c r="E130" i="7"/>
  <c r="F130" i="7" s="1"/>
  <c r="E116" i="7"/>
  <c r="F116" i="7" s="1"/>
  <c r="E115" i="7"/>
  <c r="F115" i="7" s="1"/>
  <c r="E133" i="7"/>
  <c r="F133" i="7" s="1"/>
  <c r="E132" i="7"/>
  <c r="F132" i="7" s="1"/>
  <c r="E117" i="7"/>
  <c r="F117" i="7" s="1"/>
  <c r="E112" i="7"/>
  <c r="F112" i="7" s="1"/>
  <c r="E113" i="7"/>
  <c r="F113" i="7" s="1"/>
  <c r="E131" i="7"/>
  <c r="F131" i="7" s="1"/>
  <c r="E134" i="7"/>
  <c r="F134" i="7" s="1"/>
  <c r="H74" i="7"/>
  <c r="H72" i="7"/>
  <c r="F136" i="7" l="1"/>
  <c r="F119" i="7"/>
  <c r="F120" i="7" s="1"/>
  <c r="F138" i="7"/>
  <c r="F121" i="7"/>
  <c r="G141" i="7"/>
  <c r="F137" i="7"/>
  <c r="H73" i="7"/>
  <c r="G76" i="7"/>
  <c r="G124" i="7" l="1"/>
  <c r="B42" i="1"/>
  <c r="B21" i="5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1"/>
  <c r="C124" i="4" l="1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D50" i="2"/>
  <c r="C49" i="2"/>
  <c r="B49" i="2"/>
  <c r="C46" i="2"/>
  <c r="C50" i="2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57" i="4" l="1"/>
  <c r="B69" i="4" s="1"/>
  <c r="D101" i="4"/>
  <c r="I92" i="4"/>
  <c r="I39" i="4"/>
  <c r="F45" i="4"/>
  <c r="F46" i="4" s="1"/>
  <c r="G39" i="4"/>
  <c r="G41" i="4"/>
  <c r="D49" i="4"/>
  <c r="D98" i="4"/>
  <c r="F98" i="4"/>
  <c r="D24" i="2"/>
  <c r="D28" i="2"/>
  <c r="D32" i="2"/>
  <c r="D36" i="2"/>
  <c r="D40" i="2"/>
  <c r="D49" i="2"/>
  <c r="D44" i="4"/>
  <c r="D45" i="4" s="1"/>
  <c r="D46" i="4" s="1"/>
  <c r="D102" i="4"/>
  <c r="E92" i="4" l="1"/>
  <c r="G38" i="4"/>
  <c r="G40" i="4"/>
  <c r="G93" i="4"/>
  <c r="G92" i="4"/>
  <c r="E91" i="4"/>
  <c r="E94" i="4"/>
  <c r="E41" i="4"/>
  <c r="E39" i="4"/>
  <c r="F99" i="4"/>
  <c r="G91" i="4"/>
  <c r="G94" i="4"/>
  <c r="E40" i="4"/>
  <c r="D99" i="4"/>
  <c r="E93" i="4"/>
  <c r="E38" i="4"/>
  <c r="G42" i="4" l="1"/>
  <c r="G95" i="4"/>
  <c r="E95" i="4"/>
  <c r="D103" i="4"/>
  <c r="E111" i="4" s="1"/>
  <c r="F111" i="4" s="1"/>
  <c r="D105" i="4"/>
  <c r="D50" i="4"/>
  <c r="E42" i="4"/>
  <c r="D52" i="4"/>
  <c r="E113" i="4"/>
  <c r="F113" i="4" s="1"/>
  <c r="E112" i="4" l="1"/>
  <c r="F112" i="4" s="1"/>
  <c r="D104" i="4"/>
  <c r="E108" i="4"/>
  <c r="E109" i="4"/>
  <c r="F109" i="4" s="1"/>
  <c r="E110" i="4"/>
  <c r="F110" i="4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71" i="4"/>
  <c r="H71" i="4" s="1"/>
  <c r="G60" i="4"/>
  <c r="G68" i="4"/>
  <c r="H68" i="4" s="1"/>
  <c r="G69" i="4"/>
  <c r="H69" i="4" s="1"/>
  <c r="G66" i="4"/>
  <c r="H66" i="4" s="1"/>
  <c r="G64" i="4"/>
  <c r="H64" i="4" s="1"/>
  <c r="G62" i="4"/>
  <c r="H62" i="4" s="1"/>
  <c r="E115" i="4" l="1"/>
  <c r="E116" i="4" s="1"/>
  <c r="F108" i="4"/>
  <c r="F125" i="4" s="1"/>
  <c r="E117" i="4"/>
  <c r="E119" i="4"/>
  <c r="E120" i="4"/>
  <c r="G74" i="4"/>
  <c r="G72" i="4"/>
  <c r="G73" i="4" s="1"/>
  <c r="H60" i="4"/>
  <c r="D125" i="4" l="1"/>
  <c r="F117" i="4"/>
  <c r="F119" i="4"/>
  <c r="F120" i="4"/>
  <c r="F115" i="4"/>
  <c r="G124" i="4" s="1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<sst xmlns="http://schemas.openxmlformats.org/spreadsheetml/2006/main" count="473" uniqueCount="173">
  <si>
    <t>HPLC System Suitability Report</t>
  </si>
  <si>
    <t>Analysis Data</t>
  </si>
  <si>
    <t>Assay</t>
  </si>
  <si>
    <t>Sample(s)</t>
  </si>
  <si>
    <t>Reference Substance:</t>
  </si>
  <si>
    <t>ARTEMETHER 20MG LUMEFANTRINE 120MG DISPERSIBLE  TABLETS</t>
  </si>
  <si>
    <t>% age Purity:</t>
  </si>
  <si>
    <t>NDQD201708114</t>
  </si>
  <si>
    <t>Weight (mg):</t>
  </si>
  <si>
    <t>Artemether &amp; Lumefantrine</t>
  </si>
  <si>
    <t>Standard Conc (mg/mL):</t>
  </si>
  <si>
    <t>Each tablet contains Artemether 20mg and Lumefantrine 120mg</t>
  </si>
  <si>
    <t>2017-08-18 11:48:02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</si>
  <si>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</si>
  <si>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</si>
  <si>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</si>
  <si>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</si>
  <si>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</si>
  <si>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</si>
  <si>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</si>
  <si>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</si>
  <si>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</si>
  <si>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</si>
  <si>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</si>
  <si>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</si>
  <si>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</si>
  <si>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</si>
  <si>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</si>
  <si>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</si>
  <si>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</si>
  <si>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</si>
  <si>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</si>
  <si>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</si>
  <si>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</si>
  <si>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</si>
  <si>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</si>
  <si>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</si>
  <si>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</si>
  <si>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</si>
  <si>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</si>
  <si>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</si>
  <si>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</si>
  <si>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</si>
  <si>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</si>
  <si>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</si>
  <si>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</si>
  <si>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</si>
  <si>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</si>
  <si>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</si>
  <si>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</si>
  <si>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</si>
  <si>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</si>
  <si>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</si>
  <si>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</si>
  <si>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</si>
  <si>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</si>
  <si>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</si>
  <si>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</si>
  <si>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</si>
  <si>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</si>
  <si>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</si>
  <si>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</si>
  <si>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</si>
  <si>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</si>
  <si>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</si>
  <si>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</si>
  <si>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</si>
  <si>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</si>
  <si>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</si>
  <si>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</si>
  <si>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</si>
  <si>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</si>
  <si>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</si>
  <si>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</si>
  <si>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</si>
  <si>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</si>
  <si>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</si>
  <si>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</si>
  <si>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</si>
  <si>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</si>
  <si>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</si>
  <si>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</si>
  <si>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</si>
  <si>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</si>
  <si>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</si>
  <si>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</si>
  <si>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</si>
  <si>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</si>
  <si>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</si>
  <si>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</si>
  <si>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</si>
  <si>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</si>
  <si>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</si>
  <si>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</si>
  <si>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</si>
  <si>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</si>
  <si>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</si>
  <si>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</si>
  <si>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</si>
  <si>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</si>
  <si>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</si>
  <si>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</si>
  <si>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</si>
  <si>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</si>
  <si>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</si>
  <si>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</si>
  <si>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</si>
  <si>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</si>
  <si>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</si>
  <si>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</si>
  <si>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</si>
  <si>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</si>
  <si>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</si>
  <si>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</si>
  <si>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</si>
  <si>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</si>
  <si>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</si>
  <si>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</si>
  <si>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</si>
  <si>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</si>
  <si>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</si>
  <si>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</si>
  <si>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</si>
  <si>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</si>
  <si>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</si>
  <si>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</si>
  <si>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</si>
  <si>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</si>
  <si>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</si>
  <si>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</si>
  <si>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</si>
  <si>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</si>
  <si>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LUMEFANTRINE</t>
  </si>
  <si>
    <t>L1-0</t>
  </si>
  <si>
    <t>Artemether</t>
  </si>
  <si>
    <r>
      <t>The Assymetry of all peaks were below</t>
    </r>
    <r>
      <rPr>
        <b/>
        <sz val="12"/>
        <color rgb="FF000000"/>
        <rFont val="Book Antiqua"/>
      </rPr>
      <t xml:space="preserve"> 2.6</t>
    </r>
  </si>
  <si>
    <t>Lumefantrine</t>
  </si>
  <si>
    <t>Artemether 20MG &amp; Lumefantrine</t>
  </si>
  <si>
    <t>Each Tablet contains Artemether 20mg &amp;Lumefantrine120mg</t>
  </si>
  <si>
    <t>29-01-2018</t>
  </si>
  <si>
    <t>Initial    Standard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</si>
  <si>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</si>
  <si>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</si>
  <si>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</si>
  <si>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</si>
  <si>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</si>
  <si>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</si>
  <si>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</si>
  <si>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</si>
  <si>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</si>
  <si>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Desired Concetration (mg/mL):</t>
  </si>
  <si>
    <t>Average Tablet Weight (mg):</t>
  </si>
  <si>
    <t>Initial    Sample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</si>
  <si>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</si>
  <si>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</si>
  <si>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</si>
  <si>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</si>
  <si>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</si>
  <si>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</si>
  <si>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</si>
  <si>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</si>
  <si>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</si>
  <si>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</si>
  <si>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</si>
  <si>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</si>
  <si>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45 Minutes</t>
  </si>
  <si>
    <t>1HR</t>
  </si>
  <si>
    <t>tablet No.</t>
  </si>
  <si>
    <t>3HRS</t>
  </si>
  <si>
    <t>NQCL-WRS-A5-5</t>
  </si>
  <si>
    <t>NQCL-PRS-A5-6</t>
  </si>
  <si>
    <r>
      <t>The Assymetry of all peaks were below</t>
    </r>
    <r>
      <rPr>
        <b/>
        <sz val="12"/>
        <color rgb="FF000000"/>
        <rFont val="Book Antiqua"/>
      </rPr>
      <t xml:space="preserve"> 4.5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</si>
  <si>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2.5%.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</si>
</sst>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4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u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6" fillId="2" borderId="0" xfId="2" applyFont="1" applyFill="1" applyAlignment="1">
      <alignment horizontal="center" vertical="center"/>
    </xf>
    <xf numFmtId="0" fontId="27" fillId="2" borderId="0" xfId="2" applyFont="1" applyFill="1"/>
    <xf numFmtId="0" fontId="28" fillId="2" borderId="0" xfId="2" applyFont="1" applyFill="1" applyAlignment="1">
      <alignment horizontal="center" vertical="center"/>
    </xf>
    <xf numFmtId="0" fontId="29" fillId="2" borderId="18" xfId="2" applyFont="1" applyFill="1" applyBorder="1" applyAlignment="1">
      <alignment horizontal="center"/>
    </xf>
    <xf numFmtId="0" fontId="29" fillId="2" borderId="19" xfId="2" applyFont="1" applyFill="1" applyBorder="1" applyAlignment="1">
      <alignment horizontal="center"/>
    </xf>
    <xf numFmtId="0" fontId="29" fillId="2" borderId="20" xfId="2" applyFont="1" applyFill="1" applyBorder="1" applyAlignment="1">
      <alignment horizontal="center"/>
    </xf>
    <xf numFmtId="0" fontId="30" fillId="2" borderId="0" xfId="2" applyFont="1" applyFill="1"/>
    <xf numFmtId="0" fontId="25" fillId="2" borderId="0" xfId="2" applyFill="1"/>
    <xf numFmtId="0" fontId="31" fillId="2" borderId="0" xfId="2" applyFont="1" applyFill="1"/>
    <xf numFmtId="0" fontId="31" fillId="3" borderId="0" xfId="2" applyFont="1" applyFill="1" applyAlignment="1" applyProtection="1">
      <alignment horizontal="left"/>
      <protection locked="0"/>
    </xf>
    <xf numFmtId="0" fontId="31" fillId="3" borderId="0" xfId="2" applyFont="1" applyFill="1" applyAlignment="1" applyProtection="1">
      <alignment horizontal="left"/>
      <protection locked="0"/>
    </xf>
    <xf numFmtId="0" fontId="32" fillId="3" borderId="0" xfId="2" applyFont="1" applyFill="1" applyAlignment="1" applyProtection="1">
      <alignment horizontal="left"/>
      <protection locked="0"/>
    </xf>
    <xf numFmtId="0" fontId="32" fillId="2" borderId="0" xfId="2" applyFont="1" applyFill="1"/>
    <xf numFmtId="0" fontId="32" fillId="3" borderId="0" xfId="2" applyFont="1" applyFill="1" applyProtection="1">
      <protection locked="0"/>
    </xf>
    <xf numFmtId="169" fontId="32" fillId="3" borderId="0" xfId="2" applyNumberFormat="1" applyFont="1" applyFill="1" applyAlignment="1" applyProtection="1">
      <alignment horizontal="left"/>
      <protection locked="0"/>
    </xf>
    <xf numFmtId="169" fontId="32" fillId="2" borderId="0" xfId="2" applyNumberFormat="1" applyFont="1" applyFill="1" applyAlignment="1">
      <alignment horizontal="left"/>
    </xf>
    <xf numFmtId="0" fontId="30" fillId="2" borderId="0" xfId="2" applyFont="1" applyFill="1" applyAlignment="1">
      <alignment horizontal="left"/>
    </xf>
    <xf numFmtId="0" fontId="31" fillId="2" borderId="0" xfId="2" applyFont="1" applyFill="1" applyAlignment="1">
      <alignment horizontal="right"/>
    </xf>
    <xf numFmtId="0" fontId="33" fillId="3" borderId="0" xfId="2" applyFont="1" applyFill="1" applyAlignment="1" applyProtection="1">
      <alignment horizontal="center"/>
      <protection locked="0"/>
    </xf>
    <xf numFmtId="0" fontId="32" fillId="3" borderId="0" xfId="2" applyFont="1" applyFill="1"/>
    <xf numFmtId="0" fontId="32" fillId="2" borderId="0" xfId="2" applyFont="1" applyFill="1" applyAlignment="1">
      <alignment horizontal="right"/>
    </xf>
    <xf numFmtId="0" fontId="34" fillId="2" borderId="18" xfId="2" applyFont="1" applyFill="1" applyBorder="1" applyAlignment="1">
      <alignment horizontal="justify" vertical="center" wrapText="1"/>
    </xf>
    <xf numFmtId="0" fontId="34" fillId="2" borderId="19" xfId="2" applyFont="1" applyFill="1" applyBorder="1" applyAlignment="1">
      <alignment horizontal="justify" vertical="center" wrapText="1"/>
    </xf>
    <xf numFmtId="0" fontId="34" fillId="2" borderId="20" xfId="2" applyFont="1" applyFill="1" applyBorder="1" applyAlignment="1">
      <alignment horizontal="justify" vertical="center" wrapText="1"/>
    </xf>
    <xf numFmtId="0" fontId="35" fillId="2" borderId="0" xfId="2" applyFont="1" applyFill="1"/>
    <xf numFmtId="0" fontId="36" fillId="2" borderId="0" xfId="2" applyFont="1" applyFill="1" applyAlignment="1">
      <alignment vertical="center" wrapText="1"/>
    </xf>
    <xf numFmtId="0" fontId="31" fillId="2" borderId="0" xfId="2" applyFont="1" applyFill="1" applyAlignment="1">
      <alignment horizontal="center"/>
    </xf>
    <xf numFmtId="0" fontId="37" fillId="2" borderId="0" xfId="2" applyFont="1" applyFill="1"/>
    <xf numFmtId="0" fontId="38" fillId="2" borderId="0" xfId="2" applyFont="1" applyFill="1"/>
    <xf numFmtId="2" fontId="33" fillId="3" borderId="0" xfId="2" applyNumberFormat="1" applyFont="1" applyFill="1" applyAlignment="1" applyProtection="1">
      <alignment horizontal="center"/>
      <protection locked="0"/>
    </xf>
    <xf numFmtId="0" fontId="34" fillId="2" borderId="18" xfId="2" applyFont="1" applyFill="1" applyBorder="1" applyAlignment="1">
      <alignment horizontal="left" vertical="center" wrapText="1"/>
    </xf>
    <xf numFmtId="0" fontId="34" fillId="2" borderId="19" xfId="2" applyFont="1" applyFill="1" applyBorder="1" applyAlignment="1">
      <alignment horizontal="left" vertical="center" wrapText="1"/>
    </xf>
    <xf numFmtId="0" fontId="34" fillId="2" borderId="20" xfId="2" applyFont="1" applyFill="1" applyBorder="1" applyAlignment="1">
      <alignment horizontal="left" vertical="center" wrapText="1"/>
    </xf>
    <xf numFmtId="0" fontId="31" fillId="2" borderId="0" xfId="2" applyFont="1" applyFill="1" applyAlignment="1">
      <alignment vertical="center" wrapText="1"/>
    </xf>
    <xf numFmtId="0" fontId="39" fillId="2" borderId="0" xfId="2" applyFont="1" applyFill="1"/>
    <xf numFmtId="2" fontId="31" fillId="2" borderId="0" xfId="2" applyNumberFormat="1" applyFont="1" applyFill="1" applyAlignment="1">
      <alignment horizontal="center"/>
    </xf>
    <xf numFmtId="0" fontId="34" fillId="2" borderId="0" xfId="2" applyFont="1" applyFill="1" applyAlignment="1">
      <alignment horizontal="left" vertical="center" wrapText="1"/>
    </xf>
    <xf numFmtId="170" fontId="31" fillId="2" borderId="0" xfId="2" applyNumberFormat="1" applyFont="1" applyFill="1" applyAlignment="1">
      <alignment horizontal="center"/>
    </xf>
    <xf numFmtId="0" fontId="32" fillId="2" borderId="21" xfId="2" applyFont="1" applyFill="1" applyBorder="1" applyAlignment="1">
      <alignment horizontal="right"/>
    </xf>
    <xf numFmtId="0" fontId="33" fillId="3" borderId="22" xfId="2" applyFont="1" applyFill="1" applyBorder="1" applyAlignment="1" applyProtection="1">
      <alignment horizontal="center"/>
      <protection locked="0"/>
    </xf>
    <xf numFmtId="0" fontId="31" fillId="2" borderId="47" xfId="2" applyFont="1" applyFill="1" applyBorder="1" applyAlignment="1">
      <alignment horizontal="center"/>
    </xf>
    <xf numFmtId="0" fontId="31" fillId="2" borderId="55" xfId="2" applyFont="1" applyFill="1" applyBorder="1" applyAlignment="1">
      <alignment horizontal="center"/>
    </xf>
    <xf numFmtId="0" fontId="32" fillId="2" borderId="23" xfId="2" applyFont="1" applyFill="1" applyBorder="1" applyAlignment="1">
      <alignment horizontal="right"/>
    </xf>
    <xf numFmtId="0" fontId="33" fillId="3" borderId="24" xfId="2" applyFont="1" applyFill="1" applyBorder="1" applyAlignment="1" applyProtection="1">
      <alignment horizontal="center"/>
      <protection locked="0"/>
    </xf>
    <xf numFmtId="0" fontId="31" fillId="2" borderId="22" xfId="2" applyFont="1" applyFill="1" applyBorder="1" applyAlignment="1">
      <alignment horizontal="center"/>
    </xf>
    <xf numFmtId="0" fontId="31" fillId="2" borderId="25" xfId="2" applyFont="1" applyFill="1" applyBorder="1" applyAlignment="1">
      <alignment horizontal="center"/>
    </xf>
    <xf numFmtId="0" fontId="31" fillId="2" borderId="26" xfId="2" applyFont="1" applyFill="1" applyBorder="1" applyAlignment="1">
      <alignment horizontal="center"/>
    </xf>
    <xf numFmtId="0" fontId="31" fillId="2" borderId="30" xfId="2" applyFont="1" applyFill="1" applyBorder="1" applyAlignment="1">
      <alignment horizontal="center"/>
    </xf>
    <xf numFmtId="0" fontId="32" fillId="2" borderId="28" xfId="2" applyFont="1" applyFill="1" applyBorder="1" applyAlignment="1">
      <alignment horizontal="center"/>
    </xf>
    <xf numFmtId="0" fontId="33" fillId="3" borderId="29" xfId="2" applyFont="1" applyFill="1" applyBorder="1" applyAlignment="1" applyProtection="1">
      <alignment horizontal="center"/>
      <protection locked="0"/>
    </xf>
    <xf numFmtId="171" fontId="32" fillId="2" borderId="26" xfId="2" applyNumberFormat="1" applyFont="1" applyFill="1" applyBorder="1" applyAlignment="1">
      <alignment horizontal="center"/>
    </xf>
    <xf numFmtId="171" fontId="32" fillId="2" borderId="30" xfId="2" applyNumberFormat="1" applyFont="1" applyFill="1" applyBorder="1" applyAlignment="1">
      <alignment horizontal="center"/>
    </xf>
    <xf numFmtId="0" fontId="32" fillId="2" borderId="24" xfId="2" applyFont="1" applyFill="1" applyBorder="1" applyAlignment="1">
      <alignment horizontal="center"/>
    </xf>
    <xf numFmtId="0" fontId="33" fillId="3" borderId="23" xfId="2" applyFont="1" applyFill="1" applyBorder="1" applyAlignment="1" applyProtection="1">
      <alignment horizontal="center"/>
      <protection locked="0"/>
    </xf>
    <xf numFmtId="171" fontId="32" fillId="2" borderId="31" xfId="2" applyNumberFormat="1" applyFont="1" applyFill="1" applyBorder="1" applyAlignment="1">
      <alignment horizontal="center"/>
    </xf>
    <xf numFmtId="171" fontId="32" fillId="2" borderId="32" xfId="2" applyNumberFormat="1" applyFont="1" applyFill="1" applyBorder="1" applyAlignment="1">
      <alignment horizontal="center"/>
    </xf>
    <xf numFmtId="0" fontId="32" fillId="2" borderId="33" xfId="2" applyFont="1" applyFill="1" applyBorder="1" applyAlignment="1">
      <alignment horizontal="center"/>
    </xf>
    <xf numFmtId="0" fontId="33" fillId="3" borderId="34" xfId="2" applyFont="1" applyFill="1" applyBorder="1" applyAlignment="1" applyProtection="1">
      <alignment horizontal="center"/>
      <protection locked="0"/>
    </xf>
    <xf numFmtId="171" fontId="32" fillId="2" borderId="35" xfId="2" applyNumberFormat="1" applyFont="1" applyFill="1" applyBorder="1" applyAlignment="1">
      <alignment horizontal="center"/>
    </xf>
    <xf numFmtId="171" fontId="32" fillId="2" borderId="36" xfId="2" applyNumberFormat="1" applyFont="1" applyFill="1" applyBorder="1" applyAlignment="1">
      <alignment horizontal="center"/>
    </xf>
    <xf numFmtId="0" fontId="32" fillId="2" borderId="24" xfId="2" applyFont="1" applyFill="1" applyBorder="1" applyAlignment="1">
      <alignment horizontal="right"/>
    </xf>
    <xf numFmtId="1" fontId="31" fillId="6" borderId="53" xfId="2" applyNumberFormat="1" applyFont="1" applyFill="1" applyBorder="1" applyAlignment="1">
      <alignment horizontal="center"/>
    </xf>
    <xf numFmtId="171" fontId="31" fillId="6" borderId="38" xfId="2" applyNumberFormat="1" applyFont="1" applyFill="1" applyBorder="1" applyAlignment="1">
      <alignment horizontal="center"/>
    </xf>
    <xf numFmtId="1" fontId="31" fillId="6" borderId="37" xfId="2" applyNumberFormat="1" applyFont="1" applyFill="1" applyBorder="1" applyAlignment="1">
      <alignment horizontal="center"/>
    </xf>
    <xf numFmtId="171" fontId="31" fillId="6" borderId="39" xfId="2" applyNumberFormat="1" applyFont="1" applyFill="1" applyBorder="1" applyAlignment="1">
      <alignment horizontal="center"/>
    </xf>
    <xf numFmtId="0" fontId="27" fillId="2" borderId="0" xfId="2" applyFont="1" applyFill="1" applyAlignment="1">
      <alignment horizontal="center"/>
    </xf>
    <xf numFmtId="0" fontId="32" fillId="2" borderId="51" xfId="2" applyFont="1" applyFill="1" applyBorder="1" applyAlignment="1">
      <alignment horizontal="right"/>
    </xf>
    <xf numFmtId="0" fontId="33" fillId="3" borderId="52" xfId="2" applyFont="1" applyFill="1" applyBorder="1" applyAlignment="1" applyProtection="1">
      <alignment horizontal="center"/>
      <protection locked="0"/>
    </xf>
    <xf numFmtId="0" fontId="33" fillId="3" borderId="16" xfId="2" applyFont="1" applyFill="1" applyBorder="1" applyAlignment="1" applyProtection="1">
      <alignment horizontal="center"/>
      <protection locked="0"/>
    </xf>
    <xf numFmtId="0" fontId="32" fillId="2" borderId="25" xfId="2" applyFont="1" applyFill="1" applyBorder="1" applyAlignment="1">
      <alignment horizontal="right"/>
    </xf>
    <xf numFmtId="2" fontId="32" fillId="6" borderId="27" xfId="2" applyNumberFormat="1" applyFont="1" applyFill="1" applyBorder="1" applyAlignment="1">
      <alignment horizontal="center"/>
    </xf>
    <xf numFmtId="0" fontId="32" fillId="2" borderId="0" xfId="2" applyFont="1" applyFill="1" applyAlignment="1">
      <alignment horizontal="center"/>
    </xf>
    <xf numFmtId="2" fontId="32" fillId="6" borderId="41" xfId="2" applyNumberFormat="1" applyFont="1" applyFill="1" applyBorder="1" applyAlignment="1">
      <alignment horizontal="center"/>
    </xf>
    <xf numFmtId="2" fontId="32" fillId="7" borderId="27" xfId="2" applyNumberFormat="1" applyFont="1" applyFill="1" applyBorder="1" applyAlignment="1">
      <alignment horizontal="center"/>
    </xf>
    <xf numFmtId="2" fontId="32" fillId="2" borderId="0" xfId="2" applyNumberFormat="1" applyFont="1" applyFill="1" applyAlignment="1">
      <alignment horizontal="center"/>
    </xf>
    <xf numFmtId="2" fontId="32" fillId="7" borderId="41" xfId="2" applyNumberFormat="1" applyFont="1" applyFill="1" applyBorder="1" applyAlignment="1">
      <alignment horizontal="center"/>
    </xf>
    <xf numFmtId="0" fontId="34" fillId="2" borderId="21" xfId="2" applyFont="1" applyFill="1" applyBorder="1" applyAlignment="1">
      <alignment horizontal="left" vertical="center" wrapText="1"/>
    </xf>
    <xf numFmtId="0" fontId="34" fillId="2" borderId="22" xfId="2" applyFont="1" applyFill="1" applyBorder="1" applyAlignment="1">
      <alignment horizontal="left" vertical="center" wrapText="1"/>
    </xf>
    <xf numFmtId="2" fontId="32" fillId="6" borderId="17" xfId="2" applyNumberFormat="1" applyFont="1" applyFill="1" applyBorder="1" applyAlignment="1">
      <alignment horizontal="center"/>
    </xf>
    <xf numFmtId="0" fontId="34" fillId="2" borderId="43" xfId="2" applyFont="1" applyFill="1" applyBorder="1" applyAlignment="1">
      <alignment horizontal="left" vertical="center" wrapText="1"/>
    </xf>
    <xf numFmtId="0" fontId="34" fillId="2" borderId="44" xfId="2" applyFont="1" applyFill="1" applyBorder="1" applyAlignment="1">
      <alignment horizontal="left" vertical="center" wrapText="1"/>
    </xf>
    <xf numFmtId="0" fontId="33" fillId="3" borderId="27" xfId="2" applyFont="1" applyFill="1" applyBorder="1" applyAlignment="1" applyProtection="1">
      <alignment horizontal="center"/>
      <protection locked="0"/>
    </xf>
    <xf numFmtId="1" fontId="32" fillId="2" borderId="0" xfId="2" applyNumberFormat="1" applyFont="1" applyFill="1" applyAlignment="1">
      <alignment horizontal="center"/>
    </xf>
    <xf numFmtId="0" fontId="32" fillId="2" borderId="53" xfId="2" applyFont="1" applyFill="1" applyBorder="1" applyAlignment="1">
      <alignment horizontal="right"/>
    </xf>
    <xf numFmtId="2" fontId="32" fillId="7" borderId="30" xfId="2" applyNumberFormat="1" applyFont="1" applyFill="1" applyBorder="1" applyAlignment="1">
      <alignment horizontal="center"/>
    </xf>
    <xf numFmtId="171" fontId="32" fillId="2" borderId="0" xfId="2" applyNumberFormat="1" applyFont="1" applyFill="1" applyAlignment="1">
      <alignment horizontal="center"/>
    </xf>
    <xf numFmtId="0" fontId="32" fillId="2" borderId="16" xfId="2" applyFont="1" applyFill="1" applyBorder="1" applyAlignment="1">
      <alignment horizontal="right"/>
    </xf>
    <xf numFmtId="171" fontId="31" fillId="7" borderId="16" xfId="2" applyNumberFormat="1" applyFont="1" applyFill="1" applyBorder="1" applyAlignment="1">
      <alignment horizontal="center"/>
    </xf>
    <xf numFmtId="0" fontId="32" fillId="2" borderId="41" xfId="2" applyFont="1" applyFill="1" applyBorder="1" applyAlignment="1">
      <alignment horizontal="right"/>
    </xf>
    <xf numFmtId="10" fontId="32" fillId="6" borderId="41" xfId="2" applyNumberFormat="1" applyFont="1" applyFill="1" applyBorder="1" applyAlignment="1">
      <alignment horizontal="center"/>
    </xf>
    <xf numFmtId="0" fontId="32" fillId="2" borderId="17" xfId="2" applyFont="1" applyFill="1" applyBorder="1" applyAlignment="1">
      <alignment horizontal="right"/>
    </xf>
    <xf numFmtId="0" fontId="32" fillId="7" borderId="17" xfId="2" applyFont="1" applyFill="1" applyBorder="1" applyAlignment="1">
      <alignment horizontal="center"/>
    </xf>
    <xf numFmtId="0" fontId="31" fillId="2" borderId="0" xfId="2" applyFont="1" applyFill="1" applyAlignment="1">
      <alignment horizontal="left"/>
    </xf>
    <xf numFmtId="0" fontId="32" fillId="2" borderId="0" xfId="2" applyFont="1" applyFill="1" applyAlignment="1">
      <alignment horizontal="left"/>
    </xf>
    <xf numFmtId="166" fontId="31" fillId="2" borderId="0" xfId="2" applyNumberFormat="1" applyFont="1" applyFill="1" applyAlignment="1" applyProtection="1">
      <alignment horizontal="center"/>
      <protection locked="0"/>
    </xf>
    <xf numFmtId="2" fontId="31" fillId="2" borderId="13" xfId="2" applyNumberFormat="1" applyFont="1" applyFill="1" applyBorder="1" applyAlignment="1">
      <alignment horizontal="center"/>
    </xf>
    <xf numFmtId="0" fontId="31" fillId="2" borderId="13" xfId="2" applyFont="1" applyFill="1" applyBorder="1" applyAlignment="1">
      <alignment horizontal="center"/>
    </xf>
    <xf numFmtId="0" fontId="31" fillId="2" borderId="13" xfId="2" applyFont="1" applyFill="1" applyBorder="1" applyAlignment="1">
      <alignment horizontal="center" vertical="center"/>
    </xf>
    <xf numFmtId="2" fontId="33" fillId="3" borderId="13" xfId="2" applyNumberFormat="1" applyFont="1" applyFill="1" applyBorder="1" applyAlignment="1" applyProtection="1">
      <alignment horizontal="center" vertical="center"/>
      <protection locked="0"/>
    </xf>
    <xf numFmtId="0" fontId="32" fillId="2" borderId="13" xfId="2" applyFont="1" applyFill="1" applyBorder="1" applyAlignment="1">
      <alignment horizontal="center"/>
    </xf>
    <xf numFmtId="0" fontId="33" fillId="3" borderId="21" xfId="2" applyFont="1" applyFill="1" applyBorder="1" applyAlignment="1" applyProtection="1">
      <alignment horizontal="center"/>
      <protection locked="0"/>
    </xf>
    <xf numFmtId="2" fontId="32" fillId="2" borderId="21" xfId="2" applyNumberFormat="1" applyFont="1" applyFill="1" applyBorder="1" applyAlignment="1">
      <alignment horizontal="center"/>
    </xf>
    <xf numFmtId="10" fontId="32" fillId="2" borderId="13" xfId="2" applyNumberFormat="1" applyFont="1" applyFill="1" applyBorder="1" applyAlignment="1">
      <alignment horizontal="center" vertical="center"/>
    </xf>
    <xf numFmtId="0" fontId="31" fillId="2" borderId="14" xfId="2" applyFont="1" applyFill="1" applyBorder="1" applyAlignment="1">
      <alignment horizontal="center" vertical="center"/>
    </xf>
    <xf numFmtId="2" fontId="33" fillId="3" borderId="14" xfId="2" applyNumberFormat="1" applyFont="1" applyFill="1" applyBorder="1" applyAlignment="1" applyProtection="1">
      <alignment horizontal="center" vertical="center"/>
      <protection locked="0"/>
    </xf>
    <xf numFmtId="0" fontId="32" fillId="2" borderId="14" xfId="2" applyFont="1" applyFill="1" applyBorder="1" applyAlignment="1">
      <alignment horizontal="center"/>
    </xf>
    <xf numFmtId="2" fontId="32" fillId="2" borderId="23" xfId="2" applyNumberFormat="1" applyFont="1" applyFill="1" applyBorder="1" applyAlignment="1">
      <alignment horizontal="center"/>
    </xf>
    <xf numFmtId="10" fontId="32" fillId="2" borderId="14" xfId="2" applyNumberFormat="1" applyFont="1" applyFill="1" applyBorder="1" applyAlignment="1">
      <alignment horizontal="center" vertical="center"/>
    </xf>
    <xf numFmtId="0" fontId="31" fillId="2" borderId="15" xfId="2" applyFont="1" applyFill="1" applyBorder="1" applyAlignment="1">
      <alignment horizontal="center" vertical="center"/>
    </xf>
    <xf numFmtId="2" fontId="33" fillId="3" borderId="15" xfId="2" applyNumberFormat="1" applyFont="1" applyFill="1" applyBorder="1" applyAlignment="1" applyProtection="1">
      <alignment horizontal="center" vertical="center"/>
      <protection locked="0"/>
    </xf>
    <xf numFmtId="0" fontId="32" fillId="2" borderId="15" xfId="2" applyFont="1" applyFill="1" applyBorder="1" applyAlignment="1">
      <alignment horizontal="center"/>
    </xf>
    <xf numFmtId="0" fontId="33" fillId="3" borderId="43" xfId="2" applyFont="1" applyFill="1" applyBorder="1" applyAlignment="1" applyProtection="1">
      <alignment horizontal="center"/>
      <protection locked="0"/>
    </xf>
    <xf numFmtId="2" fontId="32" fillId="2" borderId="13" xfId="2" applyNumberFormat="1" applyFont="1" applyFill="1" applyBorder="1" applyAlignment="1">
      <alignment horizontal="center"/>
    </xf>
    <xf numFmtId="10" fontId="32" fillId="2" borderId="22" xfId="2" applyNumberFormat="1" applyFont="1" applyFill="1" applyBorder="1" applyAlignment="1">
      <alignment horizontal="center" vertical="center"/>
    </xf>
    <xf numFmtId="2" fontId="32" fillId="2" borderId="14" xfId="2" applyNumberFormat="1" applyFont="1" applyFill="1" applyBorder="1" applyAlignment="1">
      <alignment horizontal="center"/>
    </xf>
    <xf numFmtId="10" fontId="32" fillId="2" borderId="24" xfId="2" applyNumberFormat="1" applyFont="1" applyFill="1" applyBorder="1" applyAlignment="1">
      <alignment horizontal="center" vertical="center"/>
    </xf>
    <xf numFmtId="2" fontId="32" fillId="2" borderId="15" xfId="2" applyNumberFormat="1" applyFont="1" applyFill="1" applyBorder="1" applyAlignment="1">
      <alignment horizontal="center"/>
    </xf>
    <xf numFmtId="10" fontId="32" fillId="2" borderId="44" xfId="2" applyNumberFormat="1" applyFont="1" applyFill="1" applyBorder="1" applyAlignment="1">
      <alignment horizontal="center" vertical="center"/>
    </xf>
    <xf numFmtId="0" fontId="31" fillId="2" borderId="24" xfId="2" applyFont="1" applyFill="1" applyBorder="1" applyAlignment="1">
      <alignment horizontal="center"/>
    </xf>
    <xf numFmtId="0" fontId="32" fillId="2" borderId="43" xfId="2" applyFont="1" applyFill="1" applyBorder="1" applyAlignment="1">
      <alignment horizontal="right"/>
    </xf>
    <xf numFmtId="2" fontId="32" fillId="2" borderId="44" xfId="2" applyNumberFormat="1" applyFont="1" applyFill="1" applyBorder="1" applyAlignment="1">
      <alignment horizontal="center"/>
    </xf>
    <xf numFmtId="0" fontId="34" fillId="2" borderId="21" xfId="2" applyFont="1" applyFill="1" applyBorder="1" applyAlignment="1">
      <alignment horizontal="center" vertical="center" wrapText="1"/>
    </xf>
    <xf numFmtId="0" fontId="34" fillId="2" borderId="22" xfId="2" applyFont="1" applyFill="1" applyBorder="1" applyAlignment="1">
      <alignment horizontal="center" vertical="center" wrapText="1"/>
    </xf>
    <xf numFmtId="0" fontId="34" fillId="2" borderId="43" xfId="2" applyFont="1" applyFill="1" applyBorder="1" applyAlignment="1">
      <alignment horizontal="center" vertical="center" wrapText="1"/>
    </xf>
    <xf numFmtId="0" fontId="34" fillId="2" borderId="44" xfId="2" applyFont="1" applyFill="1" applyBorder="1" applyAlignment="1">
      <alignment horizontal="center" vertical="center" wrapText="1"/>
    </xf>
    <xf numFmtId="10" fontId="32" fillId="2" borderId="15" xfId="2" applyNumberFormat="1" applyFont="1" applyFill="1" applyBorder="1" applyAlignment="1">
      <alignment horizontal="center" vertical="center"/>
    </xf>
    <xf numFmtId="0" fontId="32" fillId="2" borderId="45" xfId="2" applyFont="1" applyFill="1" applyBorder="1" applyAlignment="1">
      <alignment horizontal="right"/>
    </xf>
    <xf numFmtId="10" fontId="33" fillId="7" borderId="33" xfId="2" applyNumberFormat="1" applyFont="1" applyFill="1" applyBorder="1" applyAlignment="1">
      <alignment horizontal="center"/>
    </xf>
    <xf numFmtId="10" fontId="33" fillId="6" borderId="54" xfId="2" applyNumberFormat="1" applyFont="1" applyFill="1" applyBorder="1" applyAlignment="1">
      <alignment horizontal="center"/>
    </xf>
    <xf numFmtId="0" fontId="33" fillId="7" borderId="46" xfId="2" applyFont="1" applyFill="1" applyBorder="1" applyAlignment="1">
      <alignment horizontal="center"/>
    </xf>
    <xf numFmtId="0" fontId="31" fillId="2" borderId="0" xfId="2" applyFont="1" applyFill="1" applyAlignment="1">
      <alignment horizontal="center"/>
    </xf>
    <xf numFmtId="165" fontId="31" fillId="2" borderId="0" xfId="2" applyNumberFormat="1" applyFont="1" applyFill="1" applyAlignment="1">
      <alignment horizontal="center"/>
    </xf>
    <xf numFmtId="0" fontId="41" fillId="3" borderId="0" xfId="2" applyFont="1" applyFill="1" applyAlignment="1" applyProtection="1">
      <alignment horizontal="center"/>
      <protection locked="0"/>
    </xf>
    <xf numFmtId="0" fontId="31" fillId="2" borderId="47" xfId="2" applyFont="1" applyFill="1" applyBorder="1" applyAlignment="1">
      <alignment horizontal="center"/>
    </xf>
    <xf numFmtId="0" fontId="31" fillId="2" borderId="40" xfId="2" applyFont="1" applyFill="1" applyBorder="1" applyAlignment="1">
      <alignment horizontal="center"/>
    </xf>
    <xf numFmtId="0" fontId="31" fillId="2" borderId="10" xfId="2" applyFont="1" applyFill="1" applyBorder="1" applyAlignment="1">
      <alignment horizontal="center"/>
    </xf>
    <xf numFmtId="0" fontId="32" fillId="2" borderId="48" xfId="2" applyFont="1" applyFill="1" applyBorder="1" applyAlignment="1">
      <alignment horizontal="center"/>
    </xf>
    <xf numFmtId="0" fontId="32" fillId="2" borderId="7" xfId="2" applyFont="1" applyFill="1" applyBorder="1" applyAlignment="1">
      <alignment horizontal="center"/>
    </xf>
    <xf numFmtId="171" fontId="33" fillId="3" borderId="34" xfId="2" applyNumberFormat="1" applyFont="1" applyFill="1" applyBorder="1" applyAlignment="1" applyProtection="1">
      <alignment horizontal="center"/>
      <protection locked="0"/>
    </xf>
    <xf numFmtId="1" fontId="31" fillId="6" borderId="49" xfId="2" applyNumberFormat="1" applyFont="1" applyFill="1" applyBorder="1" applyAlignment="1">
      <alignment horizontal="center"/>
    </xf>
    <xf numFmtId="1" fontId="31" fillId="6" borderId="50" xfId="2" applyNumberFormat="1" applyFont="1" applyFill="1" applyBorder="1" applyAlignment="1">
      <alignment horizontal="center"/>
    </xf>
    <xf numFmtId="1" fontId="31" fillId="6" borderId="15" xfId="2" applyNumberFormat="1" applyFont="1" applyFill="1" applyBorder="1" applyAlignment="1">
      <alignment horizontal="center"/>
    </xf>
    <xf numFmtId="2" fontId="27" fillId="2" borderId="0" xfId="2" applyNumberFormat="1" applyFont="1" applyFill="1" applyAlignment="1">
      <alignment horizontal="center"/>
    </xf>
    <xf numFmtId="0" fontId="31" fillId="2" borderId="0" xfId="2" applyFont="1" applyFill="1" applyAlignment="1">
      <alignment horizontal="center" wrapText="1"/>
    </xf>
    <xf numFmtId="10" fontId="32" fillId="2" borderId="0" xfId="2" applyNumberFormat="1" applyFont="1" applyFill="1" applyAlignment="1">
      <alignment horizontal="center"/>
    </xf>
    <xf numFmtId="10" fontId="31" fillId="6" borderId="41" xfId="2" applyNumberFormat="1" applyFont="1" applyFill="1" applyBorder="1" applyAlignment="1">
      <alignment horizontal="center"/>
    </xf>
    <xf numFmtId="0" fontId="31" fillId="7" borderId="17" xfId="2" applyFont="1" applyFill="1" applyBorder="1" applyAlignment="1">
      <alignment horizontal="center"/>
    </xf>
    <xf numFmtId="0" fontId="31" fillId="2" borderId="57" xfId="2" applyFont="1" applyFill="1" applyBorder="1" applyAlignment="1">
      <alignment horizontal="center"/>
    </xf>
    <xf numFmtId="0" fontId="31" fillId="2" borderId="58" xfId="2" applyFont="1" applyFill="1" applyBorder="1"/>
    <xf numFmtId="0" fontId="31" fillId="2" borderId="22" xfId="2" applyFont="1" applyFill="1" applyBorder="1" applyAlignment="1">
      <alignment horizontal="center" wrapText="1"/>
    </xf>
    <xf numFmtId="0" fontId="32" fillId="2" borderId="23" xfId="2" applyFont="1" applyFill="1" applyBorder="1" applyAlignment="1">
      <alignment horizontal="center"/>
    </xf>
    <xf numFmtId="1" fontId="33" fillId="3" borderId="31" xfId="2" applyNumberFormat="1" applyFont="1" applyFill="1" applyBorder="1" applyAlignment="1" applyProtection="1">
      <alignment horizontal="center"/>
      <protection locked="0"/>
    </xf>
    <xf numFmtId="2" fontId="32" fillId="2" borderId="26" xfId="2" applyNumberFormat="1" applyFont="1" applyFill="1" applyBorder="1" applyAlignment="1">
      <alignment horizontal="center"/>
    </xf>
    <xf numFmtId="10" fontId="32" fillId="2" borderId="30" xfId="2" applyNumberFormat="1" applyFont="1" applyFill="1" applyBorder="1" applyAlignment="1">
      <alignment horizontal="center"/>
    </xf>
    <xf numFmtId="2" fontId="32" fillId="2" borderId="31" xfId="2" applyNumberFormat="1" applyFont="1" applyFill="1" applyBorder="1" applyAlignment="1">
      <alignment horizontal="center"/>
    </xf>
    <xf numFmtId="10" fontId="32" fillId="2" borderId="32" xfId="2" applyNumberFormat="1" applyFont="1" applyFill="1" applyBorder="1" applyAlignment="1">
      <alignment horizontal="center"/>
    </xf>
    <xf numFmtId="0" fontId="32" fillId="2" borderId="34" xfId="2" applyFont="1" applyFill="1" applyBorder="1" applyAlignment="1">
      <alignment horizontal="center"/>
    </xf>
    <xf numFmtId="1" fontId="33" fillId="3" borderId="35" xfId="2" applyNumberFormat="1" applyFont="1" applyFill="1" applyBorder="1" applyAlignment="1" applyProtection="1">
      <alignment horizontal="center"/>
      <protection locked="0"/>
    </xf>
    <xf numFmtId="2" fontId="32" fillId="2" borderId="35" xfId="2" applyNumberFormat="1" applyFont="1" applyFill="1" applyBorder="1" applyAlignment="1">
      <alignment horizontal="center"/>
    </xf>
    <xf numFmtId="10" fontId="32" fillId="2" borderId="36" xfId="2" applyNumberFormat="1" applyFont="1" applyFill="1" applyBorder="1" applyAlignment="1">
      <alignment horizontal="center"/>
    </xf>
    <xf numFmtId="2" fontId="32" fillId="2" borderId="24" xfId="2" applyNumberFormat="1" applyFont="1" applyFill="1" applyBorder="1" applyAlignment="1">
      <alignment horizontal="center"/>
    </xf>
    <xf numFmtId="171" fontId="31" fillId="2" borderId="0" xfId="2" applyNumberFormat="1" applyFont="1" applyFill="1" applyAlignment="1">
      <alignment horizontal="center"/>
    </xf>
    <xf numFmtId="171" fontId="32" fillId="2" borderId="2" xfId="2" applyNumberFormat="1" applyFont="1" applyFill="1" applyBorder="1" applyAlignment="1">
      <alignment horizontal="right"/>
    </xf>
    <xf numFmtId="10" fontId="31" fillId="7" borderId="27" xfId="2" applyNumberFormat="1" applyFont="1" applyFill="1" applyBorder="1" applyAlignment="1">
      <alignment horizontal="center"/>
    </xf>
    <xf numFmtId="0" fontId="32" fillId="2" borderId="23" xfId="2" applyFont="1" applyFill="1" applyBorder="1"/>
    <xf numFmtId="0" fontId="32" fillId="2" borderId="6" xfId="2" applyFont="1" applyFill="1" applyBorder="1"/>
    <xf numFmtId="10" fontId="31" fillId="6" borderId="27" xfId="2" applyNumberFormat="1" applyFont="1" applyFill="1" applyBorder="1" applyAlignment="1">
      <alignment horizontal="center"/>
    </xf>
    <xf numFmtId="0" fontId="32" fillId="2" borderId="43" xfId="2" applyFont="1" applyFill="1" applyBorder="1"/>
    <xf numFmtId="0" fontId="32" fillId="2" borderId="59" xfId="2" applyFont="1" applyFill="1" applyBorder="1" applyAlignment="1">
      <alignment horizontal="center"/>
    </xf>
    <xf numFmtId="0" fontId="32" fillId="2" borderId="60" xfId="2" applyFont="1" applyFill="1" applyBorder="1" applyAlignment="1">
      <alignment horizontal="right"/>
    </xf>
    <xf numFmtId="2" fontId="32" fillId="2" borderId="4" xfId="2" applyNumberFormat="1" applyFont="1" applyFill="1" applyBorder="1" applyAlignment="1">
      <alignment horizontal="center"/>
    </xf>
    <xf numFmtId="10" fontId="32" fillId="2" borderId="28" xfId="2" applyNumberFormat="1" applyFont="1" applyFill="1" applyBorder="1" applyAlignment="1">
      <alignment horizontal="center"/>
    </xf>
    <xf numFmtId="2" fontId="32" fillId="2" borderId="3" xfId="2" applyNumberFormat="1" applyFont="1" applyFill="1" applyBorder="1" applyAlignment="1">
      <alignment horizontal="center"/>
    </xf>
    <xf numFmtId="10" fontId="32" fillId="2" borderId="24" xfId="2" applyNumberFormat="1" applyFont="1" applyFill="1" applyBorder="1" applyAlignment="1">
      <alignment horizontal="center"/>
    </xf>
    <xf numFmtId="2" fontId="32" fillId="2" borderId="5" xfId="2" applyNumberFormat="1" applyFont="1" applyFill="1" applyBorder="1" applyAlignment="1">
      <alignment horizontal="center"/>
    </xf>
    <xf numFmtId="10" fontId="32" fillId="2" borderId="33" xfId="2" applyNumberFormat="1" applyFont="1" applyFill="1" applyBorder="1" applyAlignment="1">
      <alignment horizontal="center"/>
    </xf>
    <xf numFmtId="10" fontId="33" fillId="7" borderId="27" xfId="2" applyNumberFormat="1" applyFont="1" applyFill="1" applyBorder="1" applyAlignment="1">
      <alignment horizontal="center"/>
    </xf>
    <xf numFmtId="10" fontId="33" fillId="6" borderId="27" xfId="2" applyNumberFormat="1" applyFont="1" applyFill="1" applyBorder="1" applyAlignment="1">
      <alignment horizontal="center"/>
    </xf>
    <xf numFmtId="0" fontId="33" fillId="7" borderId="17" xfId="2" applyFont="1" applyFill="1" applyBorder="1" applyAlignment="1">
      <alignment horizontal="center"/>
    </xf>
    <xf numFmtId="165" fontId="33" fillId="2" borderId="0" xfId="2" applyNumberFormat="1" applyFont="1" applyFill="1" applyAlignment="1">
      <alignment horizontal="center"/>
    </xf>
    <xf numFmtId="0" fontId="31" fillId="2" borderId="10" xfId="2" applyFont="1" applyFill="1" applyBorder="1" applyAlignment="1">
      <alignment horizontal="center"/>
    </xf>
    <xf numFmtId="0" fontId="32" fillId="2" borderId="10" xfId="2" applyFont="1" applyFill="1" applyBorder="1" applyAlignment="1">
      <alignment horizontal="center"/>
    </xf>
    <xf numFmtId="0" fontId="32" fillId="2" borderId="7" xfId="2" applyFont="1" applyFill="1" applyBorder="1" applyProtection="1">
      <protection locked="0"/>
    </xf>
    <xf numFmtId="0" fontId="32" fillId="2" borderId="7" xfId="2" applyFont="1" applyFill="1" applyBorder="1"/>
    <xf numFmtId="0" fontId="31" fillId="2" borderId="11" xfId="2" applyFont="1" applyFill="1" applyBorder="1" applyProtection="1">
      <protection locked="0"/>
    </xf>
    <xf numFmtId="0" fontId="31" fillId="2" borderId="11" xfId="2" applyFont="1" applyFill="1" applyBorder="1"/>
    <xf numFmtId="0" fontId="32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1\Analysts\SARAH%20MUTHONI\2018\JANUARY\NDQD201708114%20Artemet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emether"/>
      <sheetName val="SST ARTEMETHER"/>
      <sheetName val="Uniformity"/>
      <sheetName val="lumefantrine"/>
      <sheetName val="SST LUMEFANTRINE"/>
    </sheetNames>
    <sheetDataSet>
      <sheetData sheetId="0" refreshError="1"/>
      <sheetData sheetId="1" refreshError="1"/>
      <sheetData sheetId="2">
        <row r="46">
          <cell r="C46">
            <v>355.85449999999986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7"/>
  <sheetViews>
    <sheetView view="pageBreakPreview" topLeftCell="A48" zoomScale="40" zoomScaleNormal="46" zoomScaleSheetLayoutView="40" workbookViewId="0">
      <selection activeCell="D60" sqref="D60:D63"/>
    </sheetView>
  </sheetViews>
  <sheetFormatPr defaultColWidth="9.140625" defaultRowHeight="13.5" x14ac:dyDescent="0.25"/>
  <cols>
    <col min="1" max="1" width="55.42578125" style="339" customWidth="1"/>
    <col min="2" max="2" width="33.7109375" style="339" customWidth="1"/>
    <col min="3" max="3" width="42.28515625" style="339" customWidth="1"/>
    <col min="4" max="4" width="30.5703125" style="339" customWidth="1"/>
    <col min="5" max="5" width="39.85546875" style="339" customWidth="1"/>
    <col min="6" max="6" width="30.7109375" style="339" customWidth="1"/>
    <col min="7" max="7" width="39.85546875" style="339" customWidth="1"/>
    <col min="8" max="8" width="41.140625" style="339" customWidth="1"/>
    <col min="9" max="9" width="30.28515625" style="339" customWidth="1"/>
    <col min="10" max="10" width="30.42578125" style="339" customWidth="1"/>
    <col min="11" max="11" width="21.28515625" style="339" customWidth="1"/>
    <col min="12" max="12" width="9.140625" style="339" customWidth="1"/>
    <col min="13" max="16384" width="9.140625" style="345"/>
  </cols>
  <sheetData>
    <row r="1" spans="1:8" x14ac:dyDescent="0.25">
      <c r="A1" s="338" t="s">
        <v>45</v>
      </c>
      <c r="B1" s="338"/>
      <c r="C1" s="338"/>
      <c r="D1" s="338"/>
      <c r="E1" s="338"/>
      <c r="F1" s="338"/>
      <c r="G1" s="338"/>
      <c r="H1" s="338"/>
    </row>
    <row r="2" spans="1:8" x14ac:dyDescent="0.25">
      <c r="A2" s="338"/>
      <c r="B2" s="338"/>
      <c r="C2" s="338"/>
      <c r="D2" s="338"/>
      <c r="E2" s="338"/>
      <c r="F2" s="338"/>
      <c r="G2" s="338"/>
      <c r="H2" s="338"/>
    </row>
    <row r="3" spans="1:8" x14ac:dyDescent="0.25">
      <c r="A3" s="338"/>
      <c r="B3" s="338"/>
      <c r="C3" s="338"/>
      <c r="D3" s="338"/>
      <c r="E3" s="338"/>
      <c r="F3" s="338"/>
      <c r="G3" s="338"/>
      <c r="H3" s="338"/>
    </row>
    <row r="4" spans="1:8" x14ac:dyDescent="0.25">
      <c r="A4" s="338"/>
      <c r="B4" s="338"/>
      <c r="C4" s="338"/>
      <c r="D4" s="338"/>
      <c r="E4" s="338"/>
      <c r="F4" s="338"/>
      <c r="G4" s="338"/>
      <c r="H4" s="338"/>
    </row>
    <row r="5" spans="1:8" x14ac:dyDescent="0.25">
      <c r="A5" s="338"/>
      <c r="B5" s="338"/>
      <c r="C5" s="338"/>
      <c r="D5" s="338"/>
      <c r="E5" s="338"/>
      <c r="F5" s="338"/>
      <c r="G5" s="338"/>
      <c r="H5" s="338"/>
    </row>
    <row r="6" spans="1:8" x14ac:dyDescent="0.25">
      <c r="A6" s="338"/>
      <c r="B6" s="338"/>
      <c r="C6" s="338"/>
      <c r="D6" s="338"/>
      <c r="E6" s="338"/>
      <c r="F6" s="338"/>
      <c r="G6" s="338"/>
      <c r="H6" s="338"/>
    </row>
    <row r="7" spans="1:8" x14ac:dyDescent="0.25">
      <c r="A7" s="338"/>
      <c r="B7" s="338"/>
      <c r="C7" s="338"/>
      <c r="D7" s="338"/>
      <c r="E7" s="338"/>
      <c r="F7" s="338"/>
      <c r="G7" s="338"/>
      <c r="H7" s="338"/>
    </row>
    <row r="8" spans="1:8" x14ac:dyDescent="0.25">
      <c r="A8" s="340" t="s">
        <v>46</v>
      </c>
      <c r="B8" s="340"/>
      <c r="C8" s="340"/>
      <c r="D8" s="340"/>
      <c r="E8" s="340"/>
      <c r="F8" s="340"/>
      <c r="G8" s="340"/>
      <c r="H8" s="340"/>
    </row>
    <row r="9" spans="1:8" x14ac:dyDescent="0.25">
      <c r="A9" s="340"/>
      <c r="B9" s="340"/>
      <c r="C9" s="340"/>
      <c r="D9" s="340"/>
      <c r="E9" s="340"/>
      <c r="F9" s="340"/>
      <c r="G9" s="340"/>
      <c r="H9" s="340"/>
    </row>
    <row r="10" spans="1:8" x14ac:dyDescent="0.25">
      <c r="A10" s="340"/>
      <c r="B10" s="340"/>
      <c r="C10" s="340"/>
      <c r="D10" s="340"/>
      <c r="E10" s="340"/>
      <c r="F10" s="340"/>
      <c r="G10" s="340"/>
      <c r="H10" s="340"/>
    </row>
    <row r="11" spans="1:8" x14ac:dyDescent="0.25">
      <c r="A11" s="340"/>
      <c r="B11" s="340"/>
      <c r="C11" s="340"/>
      <c r="D11" s="340"/>
      <c r="E11" s="340"/>
      <c r="F11" s="340"/>
      <c r="G11" s="340"/>
      <c r="H11" s="340"/>
    </row>
    <row r="12" spans="1:8" x14ac:dyDescent="0.25">
      <c r="A12" s="340"/>
      <c r="B12" s="340"/>
      <c r="C12" s="340"/>
      <c r="D12" s="340"/>
      <c r="E12" s="340"/>
      <c r="F12" s="340"/>
      <c r="G12" s="340"/>
      <c r="H12" s="340"/>
    </row>
    <row r="13" spans="1:8" x14ac:dyDescent="0.25">
      <c r="A13" s="340"/>
      <c r="B13" s="340"/>
      <c r="C13" s="340"/>
      <c r="D13" s="340"/>
      <c r="E13" s="340"/>
      <c r="F13" s="340"/>
      <c r="G13" s="340"/>
      <c r="H13" s="340"/>
    </row>
    <row r="14" spans="1:8" x14ac:dyDescent="0.25">
      <c r="A14" s="340"/>
      <c r="B14" s="340"/>
      <c r="C14" s="340"/>
      <c r="D14" s="340"/>
      <c r="E14" s="340"/>
      <c r="F14" s="340"/>
      <c r="G14" s="340"/>
      <c r="H14" s="340"/>
    </row>
    <row r="15" spans="1:8" ht="14.25" thickBot="1" x14ac:dyDescent="0.3"/>
    <row r="16" spans="1:8" ht="16.5" thickBot="1" x14ac:dyDescent="0.3">
      <c r="A16" s="341" t="s">
        <v>31</v>
      </c>
      <c r="B16" s="342"/>
      <c r="C16" s="342"/>
      <c r="D16" s="342"/>
      <c r="E16" s="342"/>
      <c r="F16" s="342"/>
      <c r="G16" s="342"/>
      <c r="H16" s="343"/>
    </row>
    <row r="17" spans="1:14" ht="18.75" x14ac:dyDescent="0.3">
      <c r="A17" s="344" t="s">
        <v>47</v>
      </c>
      <c r="B17" s="344"/>
    </row>
    <row r="18" spans="1:14" ht="18.75" x14ac:dyDescent="0.3">
      <c r="A18" s="346" t="s">
        <v>33</v>
      </c>
      <c r="B18" s="347" t="s">
        <v>137</v>
      </c>
      <c r="C18" s="347"/>
      <c r="D18" s="348"/>
      <c r="E18" s="348"/>
    </row>
    <row r="19" spans="1:14" ht="18.75" x14ac:dyDescent="0.3">
      <c r="A19" s="346" t="s">
        <v>34</v>
      </c>
      <c r="B19" s="349" t="s">
        <v>7</v>
      </c>
      <c r="C19" s="350">
        <v>24</v>
      </c>
    </row>
    <row r="20" spans="1:14" ht="18.75" x14ac:dyDescent="0.3">
      <c r="A20" s="346" t="s">
        <v>35</v>
      </c>
      <c r="B20" s="349" t="s">
        <v>134</v>
      </c>
    </row>
    <row r="21" spans="1:14" ht="18.75" x14ac:dyDescent="0.3">
      <c r="A21" s="346" t="s">
        <v>36</v>
      </c>
      <c r="B21" s="351" t="s">
        <v>138</v>
      </c>
      <c r="C21" s="351"/>
      <c r="D21" s="351"/>
      <c r="E21" s="351"/>
      <c r="F21" s="351"/>
      <c r="G21" s="351"/>
      <c r="H21" s="351"/>
      <c r="I21" s="351"/>
    </row>
    <row r="22" spans="1:14" ht="18.75" x14ac:dyDescent="0.3">
      <c r="A22" s="346" t="s">
        <v>37</v>
      </c>
      <c r="B22" s="352">
        <v>43087</v>
      </c>
    </row>
    <row r="23" spans="1:14" ht="18.75" x14ac:dyDescent="0.3">
      <c r="A23" s="346" t="s">
        <v>38</v>
      </c>
      <c r="B23" s="352" t="s">
        <v>139</v>
      </c>
    </row>
    <row r="24" spans="1:14" ht="18.75" x14ac:dyDescent="0.3">
      <c r="A24" s="346"/>
      <c r="B24" s="353"/>
    </row>
    <row r="25" spans="1:14" ht="18.75" x14ac:dyDescent="0.3">
      <c r="A25" s="354" t="s">
        <v>1</v>
      </c>
      <c r="B25" s="353"/>
    </row>
    <row r="26" spans="1:14" ht="26.25" customHeight="1" x14ac:dyDescent="0.4">
      <c r="A26" s="355" t="s">
        <v>4</v>
      </c>
      <c r="B26" s="356" t="s">
        <v>134</v>
      </c>
      <c r="C26" s="357"/>
    </row>
    <row r="27" spans="1:14" ht="26.25" customHeight="1" x14ac:dyDescent="0.4">
      <c r="A27" s="358" t="s">
        <v>48</v>
      </c>
      <c r="B27" s="356" t="s">
        <v>169</v>
      </c>
    </row>
    <row r="28" spans="1:14" ht="27" customHeight="1" thickBot="1" x14ac:dyDescent="0.45">
      <c r="A28" s="358" t="s">
        <v>6</v>
      </c>
      <c r="B28" s="356">
        <v>99.65</v>
      </c>
    </row>
    <row r="29" spans="1:14" s="362" customFormat="1" ht="27" thickBot="1" x14ac:dyDescent="0.45">
      <c r="A29" s="358" t="s">
        <v>49</v>
      </c>
      <c r="B29" s="356">
        <v>0</v>
      </c>
      <c r="C29" s="359" t="s">
        <v>50</v>
      </c>
      <c r="D29" s="360"/>
      <c r="E29" s="360"/>
      <c r="F29" s="360"/>
      <c r="G29" s="361"/>
      <c r="I29" s="363"/>
      <c r="J29" s="363"/>
      <c r="K29" s="363"/>
      <c r="L29" s="363"/>
    </row>
    <row r="30" spans="1:14" s="362" customFormat="1" ht="19.5" customHeight="1" thickBot="1" x14ac:dyDescent="0.35">
      <c r="A30" s="358" t="s">
        <v>51</v>
      </c>
      <c r="B30" s="364">
        <f>B28-B29</f>
        <v>99.65</v>
      </c>
      <c r="C30" s="365"/>
      <c r="D30" s="365"/>
      <c r="E30" s="365"/>
      <c r="F30" s="365"/>
      <c r="G30" s="366"/>
      <c r="I30" s="363"/>
      <c r="J30" s="363"/>
      <c r="K30" s="363"/>
      <c r="L30" s="363"/>
    </row>
    <row r="31" spans="1:14" s="362" customFormat="1" ht="27" thickBot="1" x14ac:dyDescent="0.45">
      <c r="A31" s="358" t="s">
        <v>52</v>
      </c>
      <c r="B31" s="367">
        <v>1</v>
      </c>
      <c r="C31" s="368" t="s">
        <v>53</v>
      </c>
      <c r="D31" s="369"/>
      <c r="E31" s="369"/>
      <c r="F31" s="369"/>
      <c r="G31" s="369"/>
      <c r="H31" s="370"/>
      <c r="I31" s="363"/>
      <c r="J31" s="363"/>
      <c r="K31" s="363"/>
      <c r="L31" s="363"/>
    </row>
    <row r="32" spans="1:14" s="362" customFormat="1" ht="27" thickBot="1" x14ac:dyDescent="0.45">
      <c r="A32" s="358" t="s">
        <v>54</v>
      </c>
      <c r="B32" s="367">
        <v>1</v>
      </c>
      <c r="C32" s="368" t="s">
        <v>55</v>
      </c>
      <c r="D32" s="369"/>
      <c r="E32" s="369"/>
      <c r="F32" s="369"/>
      <c r="G32" s="369"/>
      <c r="H32" s="370"/>
      <c r="I32" s="363"/>
      <c r="J32" s="363"/>
      <c r="K32" s="363"/>
      <c r="L32" s="371"/>
      <c r="M32" s="371"/>
      <c r="N32" s="372"/>
    </row>
    <row r="33" spans="1:14" s="362" customFormat="1" ht="18.75" x14ac:dyDescent="0.3">
      <c r="A33" s="358"/>
      <c r="B33" s="373"/>
      <c r="C33" s="374"/>
      <c r="D33" s="374"/>
      <c r="E33" s="374"/>
      <c r="F33" s="374"/>
      <c r="G33" s="374"/>
      <c r="H33" s="374"/>
      <c r="I33" s="363"/>
      <c r="J33" s="363"/>
      <c r="K33" s="363"/>
      <c r="L33" s="371"/>
      <c r="M33" s="371"/>
      <c r="N33" s="372"/>
    </row>
    <row r="34" spans="1:14" s="362" customFormat="1" ht="18.75" x14ac:dyDescent="0.3">
      <c r="A34" s="358" t="s">
        <v>56</v>
      </c>
      <c r="B34" s="375">
        <f>B31/B32</f>
        <v>1</v>
      </c>
      <c r="C34" s="350" t="s">
        <v>57</v>
      </c>
      <c r="D34" s="350"/>
      <c r="E34" s="350"/>
      <c r="F34" s="350"/>
      <c r="G34" s="350"/>
      <c r="I34" s="363"/>
      <c r="J34" s="363"/>
      <c r="K34" s="363"/>
      <c r="L34" s="371"/>
      <c r="M34" s="371"/>
      <c r="N34" s="372"/>
    </row>
    <row r="35" spans="1:14" s="362" customFormat="1" ht="19.5" customHeight="1" thickBot="1" x14ac:dyDescent="0.35">
      <c r="A35" s="358"/>
      <c r="B35" s="364"/>
      <c r="G35" s="350"/>
      <c r="I35" s="363"/>
      <c r="J35" s="363"/>
      <c r="K35" s="363"/>
      <c r="L35" s="371"/>
      <c r="M35" s="371"/>
      <c r="N35" s="372"/>
    </row>
    <row r="36" spans="1:14" s="362" customFormat="1" ht="27" customHeight="1" thickBot="1" x14ac:dyDescent="0.45">
      <c r="A36" s="376" t="s">
        <v>140</v>
      </c>
      <c r="B36" s="377">
        <v>25</v>
      </c>
      <c r="C36" s="350"/>
      <c r="D36" s="378" t="s">
        <v>59</v>
      </c>
      <c r="E36" s="379"/>
      <c r="F36" s="378" t="s">
        <v>60</v>
      </c>
      <c r="G36" s="379"/>
      <c r="J36" s="363"/>
      <c r="K36" s="363"/>
      <c r="L36" s="371"/>
      <c r="M36" s="371"/>
      <c r="N36" s="372"/>
    </row>
    <row r="37" spans="1:14" s="362" customFormat="1" ht="26.25" x14ac:dyDescent="0.4">
      <c r="A37" s="380" t="s">
        <v>141</v>
      </c>
      <c r="B37" s="381">
        <v>5</v>
      </c>
      <c r="C37" s="382" t="s">
        <v>142</v>
      </c>
      <c r="D37" s="383" t="s">
        <v>63</v>
      </c>
      <c r="E37" s="384" t="s">
        <v>64</v>
      </c>
      <c r="F37" s="383" t="s">
        <v>63</v>
      </c>
      <c r="G37" s="385" t="s">
        <v>64</v>
      </c>
      <c r="J37" s="363"/>
      <c r="K37" s="363"/>
      <c r="L37" s="371"/>
      <c r="M37" s="371"/>
      <c r="N37" s="372"/>
    </row>
    <row r="38" spans="1:14" s="362" customFormat="1" ht="26.25" customHeight="1" x14ac:dyDescent="0.4">
      <c r="A38" s="380" t="s">
        <v>143</v>
      </c>
      <c r="B38" s="381">
        <v>10</v>
      </c>
      <c r="C38" s="386">
        <v>1</v>
      </c>
      <c r="D38" s="387">
        <v>1321724</v>
      </c>
      <c r="E38" s="388">
        <f>IF(ISBLANK(D38),"-",$D$48/$D$45*D38)</f>
        <v>120798.38633760967</v>
      </c>
      <c r="F38" s="387">
        <v>1629899</v>
      </c>
      <c r="G38" s="389">
        <f>IF(ISBLANK(F38),"-",$D$48/$F$45*F38)</f>
        <v>116830.26306357967</v>
      </c>
      <c r="J38" s="363"/>
      <c r="K38" s="363"/>
      <c r="L38" s="371"/>
      <c r="M38" s="371"/>
      <c r="N38" s="372"/>
    </row>
    <row r="39" spans="1:14" s="362" customFormat="1" ht="26.25" customHeight="1" x14ac:dyDescent="0.4">
      <c r="A39" s="380" t="s">
        <v>144</v>
      </c>
      <c r="B39" s="381">
        <v>1</v>
      </c>
      <c r="C39" s="390">
        <v>2</v>
      </c>
      <c r="D39" s="391">
        <v>1325079</v>
      </c>
      <c r="E39" s="392">
        <f>IF(ISBLANK(D39),"-",$D$48/$D$45*D39)</f>
        <v>121105.01509381193</v>
      </c>
      <c r="F39" s="391">
        <v>1630473</v>
      </c>
      <c r="G39" s="393">
        <f>IF(ISBLANK(F39),"-",$D$48/$F$45*F39)</f>
        <v>116871.40706759371</v>
      </c>
      <c r="J39" s="363"/>
      <c r="K39" s="363"/>
      <c r="L39" s="371"/>
      <c r="M39" s="371"/>
      <c r="N39" s="372"/>
    </row>
    <row r="40" spans="1:14" ht="26.25" customHeight="1" x14ac:dyDescent="0.4">
      <c r="A40" s="380" t="s">
        <v>145</v>
      </c>
      <c r="B40" s="381">
        <v>1</v>
      </c>
      <c r="C40" s="390">
        <v>3</v>
      </c>
      <c r="D40" s="391">
        <v>1322536</v>
      </c>
      <c r="E40" s="392">
        <f>IF(ISBLANK(D40),"-",$D$48/$D$45*D40)</f>
        <v>120872.59872212121</v>
      </c>
      <c r="F40" s="391">
        <v>1636336</v>
      </c>
      <c r="G40" s="393">
        <f>IF(ISBLANK(F40),"-",$D$48/$F$45*F40)</f>
        <v>117291.66368002293</v>
      </c>
      <c r="L40" s="371"/>
      <c r="M40" s="371"/>
      <c r="N40" s="350"/>
    </row>
    <row r="41" spans="1:14" ht="26.25" customHeight="1" x14ac:dyDescent="0.4">
      <c r="A41" s="380" t="s">
        <v>146</v>
      </c>
      <c r="B41" s="381">
        <v>1</v>
      </c>
      <c r="C41" s="394">
        <v>4</v>
      </c>
      <c r="D41" s="395"/>
      <c r="E41" s="396" t="str">
        <f>IF(ISBLANK(D41),"-",$D$48/$D$45*D41)</f>
        <v>-</v>
      </c>
      <c r="F41" s="395"/>
      <c r="G41" s="397" t="str">
        <f>IF(ISBLANK(F41),"-",$D$48/$F$45*F41)</f>
        <v>-</v>
      </c>
      <c r="L41" s="371"/>
      <c r="M41" s="371"/>
      <c r="N41" s="350"/>
    </row>
    <row r="42" spans="1:14" ht="27" customHeight="1" thickBot="1" x14ac:dyDescent="0.45">
      <c r="A42" s="380" t="s">
        <v>147</v>
      </c>
      <c r="B42" s="381">
        <v>1</v>
      </c>
      <c r="C42" s="398" t="s">
        <v>71</v>
      </c>
      <c r="D42" s="399">
        <f>AVERAGE(D38:D41)</f>
        <v>1323113</v>
      </c>
      <c r="E42" s="400">
        <f>AVERAGE(E38:E41)</f>
        <v>120925.33338451428</v>
      </c>
      <c r="F42" s="401">
        <f>AVERAGE(F38:F41)</f>
        <v>1632236</v>
      </c>
      <c r="G42" s="402">
        <f>AVERAGE(G38:G41)</f>
        <v>116997.77793706545</v>
      </c>
      <c r="H42" s="403"/>
    </row>
    <row r="43" spans="1:14" ht="26.25" customHeight="1" x14ac:dyDescent="0.4">
      <c r="A43" s="380" t="s">
        <v>148</v>
      </c>
      <c r="B43" s="356">
        <v>1</v>
      </c>
      <c r="C43" s="404" t="s">
        <v>113</v>
      </c>
      <c r="D43" s="405">
        <v>10.98</v>
      </c>
      <c r="E43" s="350"/>
      <c r="F43" s="406">
        <v>14</v>
      </c>
      <c r="H43" s="403"/>
    </row>
    <row r="44" spans="1:14" ht="26.25" customHeight="1" x14ac:dyDescent="0.4">
      <c r="A44" s="380" t="s">
        <v>149</v>
      </c>
      <c r="B44" s="356">
        <v>1</v>
      </c>
      <c r="C44" s="407" t="s">
        <v>114</v>
      </c>
      <c r="D44" s="408">
        <f>D43*$B$34</f>
        <v>10.98</v>
      </c>
      <c r="E44" s="409"/>
      <c r="F44" s="410">
        <f>F43*$B$34</f>
        <v>14</v>
      </c>
      <c r="H44" s="403"/>
    </row>
    <row r="45" spans="1:14" ht="19.5" customHeight="1" thickBot="1" x14ac:dyDescent="0.35">
      <c r="A45" s="380" t="s">
        <v>76</v>
      </c>
      <c r="B45" s="364">
        <f>(B44/B43)*(B42/B41)*(B40/B39)*(B38/B37)*B36</f>
        <v>50</v>
      </c>
      <c r="C45" s="407" t="s">
        <v>77</v>
      </c>
      <c r="D45" s="411">
        <f>D44*$B$30/100</f>
        <v>10.941570000000002</v>
      </c>
      <c r="E45" s="412"/>
      <c r="F45" s="413">
        <f>F44*$B$30/100</f>
        <v>13.951000000000001</v>
      </c>
      <c r="H45" s="403"/>
    </row>
    <row r="46" spans="1:14" ht="19.5" thickBot="1" x14ac:dyDescent="0.35">
      <c r="A46" s="414" t="s">
        <v>78</v>
      </c>
      <c r="B46" s="415"/>
      <c r="C46" s="407" t="s">
        <v>79</v>
      </c>
      <c r="D46" s="408">
        <f>D45/$B$45</f>
        <v>0.21883140000000004</v>
      </c>
      <c r="E46" s="412"/>
      <c r="F46" s="416">
        <f>F45/$B$45</f>
        <v>0.27901999999999999</v>
      </c>
      <c r="H46" s="403"/>
    </row>
    <row r="47" spans="1:14" ht="27" customHeight="1" thickBot="1" x14ac:dyDescent="0.45">
      <c r="A47" s="417"/>
      <c r="B47" s="418"/>
      <c r="C47" s="407" t="s">
        <v>150</v>
      </c>
      <c r="D47" s="419">
        <v>0.02</v>
      </c>
      <c r="F47" s="420"/>
      <c r="H47" s="403"/>
    </row>
    <row r="48" spans="1:14" ht="18.75" x14ac:dyDescent="0.3">
      <c r="C48" s="407" t="s">
        <v>81</v>
      </c>
      <c r="D48" s="408">
        <f>D47*$B$45</f>
        <v>1</v>
      </c>
      <c r="F48" s="420"/>
      <c r="H48" s="403"/>
    </row>
    <row r="49" spans="1:12" ht="19.5" customHeight="1" thickBot="1" x14ac:dyDescent="0.35">
      <c r="C49" s="421" t="s">
        <v>82</v>
      </c>
      <c r="D49" s="422">
        <f>D48/B34</f>
        <v>1</v>
      </c>
      <c r="F49" s="423"/>
      <c r="H49" s="403"/>
    </row>
    <row r="50" spans="1:12" ht="18.75" x14ac:dyDescent="0.3">
      <c r="C50" s="424" t="s">
        <v>83</v>
      </c>
      <c r="D50" s="425">
        <f>AVERAGE(E38:E41,G38:G41)</f>
        <v>118961.55566078985</v>
      </c>
      <c r="F50" s="423"/>
      <c r="H50" s="403"/>
    </row>
    <row r="51" spans="1:12" ht="18.75" x14ac:dyDescent="0.3">
      <c r="C51" s="426" t="s">
        <v>84</v>
      </c>
      <c r="D51" s="427">
        <f>STDEV(E38:E41,G38:G41)/D50</f>
        <v>1.815405920728445E-2</v>
      </c>
      <c r="F51" s="423"/>
    </row>
    <row r="52" spans="1:12" ht="19.5" customHeight="1" thickBot="1" x14ac:dyDescent="0.35">
      <c r="C52" s="428" t="s">
        <v>20</v>
      </c>
      <c r="D52" s="429">
        <f>COUNT(E38:E41,G38:G41)</f>
        <v>6</v>
      </c>
      <c r="F52" s="423"/>
    </row>
    <row r="54" spans="1:12" ht="18.75" x14ac:dyDescent="0.3">
      <c r="A54" s="344" t="s">
        <v>1</v>
      </c>
      <c r="B54" s="430" t="s">
        <v>85</v>
      </c>
    </row>
    <row r="55" spans="1:12" ht="18.75" x14ac:dyDescent="0.3">
      <c r="A55" s="350" t="s">
        <v>86</v>
      </c>
      <c r="B55" s="431" t="str">
        <f>B21</f>
        <v>Each Tablet contains Artemether 20mg &amp;Lumefantrine120mg</v>
      </c>
    </row>
    <row r="56" spans="1:12" ht="26.25" customHeight="1" x14ac:dyDescent="0.4">
      <c r="A56" s="431" t="s">
        <v>87</v>
      </c>
      <c r="B56" s="356">
        <v>20</v>
      </c>
      <c r="C56" s="350" t="str">
        <f>B20</f>
        <v>Artemether</v>
      </c>
      <c r="H56" s="409"/>
    </row>
    <row r="57" spans="1:12" ht="18.75" x14ac:dyDescent="0.3">
      <c r="A57" s="431" t="s">
        <v>151</v>
      </c>
      <c r="B57" s="432">
        <f>[1]Uniformity!C46</f>
        <v>355.85449999999986</v>
      </c>
      <c r="H57" s="409"/>
    </row>
    <row r="58" spans="1:12" ht="19.5" customHeight="1" thickBot="1" x14ac:dyDescent="0.35">
      <c r="H58" s="409"/>
    </row>
    <row r="59" spans="1:12" s="362" customFormat="1" ht="27" customHeight="1" thickBot="1" x14ac:dyDescent="0.45">
      <c r="A59" s="376" t="s">
        <v>152</v>
      </c>
      <c r="B59" s="377">
        <v>100</v>
      </c>
      <c r="C59" s="350"/>
      <c r="D59" s="433" t="s">
        <v>90</v>
      </c>
      <c r="E59" s="434" t="s">
        <v>62</v>
      </c>
      <c r="F59" s="434" t="s">
        <v>63</v>
      </c>
      <c r="G59" s="434" t="s">
        <v>91</v>
      </c>
      <c r="H59" s="382" t="s">
        <v>92</v>
      </c>
      <c r="L59" s="363"/>
    </row>
    <row r="60" spans="1:12" s="362" customFormat="1" ht="26.25" x14ac:dyDescent="0.4">
      <c r="A60" s="380" t="s">
        <v>153</v>
      </c>
      <c r="B60" s="381">
        <v>1</v>
      </c>
      <c r="C60" s="435" t="s">
        <v>94</v>
      </c>
      <c r="D60" s="436"/>
      <c r="E60" s="437">
        <v>1</v>
      </c>
      <c r="F60" s="438"/>
      <c r="G60" s="439" t="str">
        <f>IF(ISBLANK(F60),"-",(F60/$D$50*$D$47*$B$68)*($B$57/$D$60))</f>
        <v>-</v>
      </c>
      <c r="H60" s="440" t="str">
        <f t="shared" ref="H60:H71" si="0">IF(ISBLANK(F60),"-",G60/$B$56)</f>
        <v>-</v>
      </c>
      <c r="L60" s="363"/>
    </row>
    <row r="61" spans="1:12" s="362" customFormat="1" ht="26.25" customHeight="1" x14ac:dyDescent="0.4">
      <c r="A61" s="380" t="s">
        <v>154</v>
      </c>
      <c r="B61" s="381">
        <v>1</v>
      </c>
      <c r="C61" s="441"/>
      <c r="D61" s="442"/>
      <c r="E61" s="443">
        <v>2</v>
      </c>
      <c r="F61" s="391"/>
      <c r="G61" s="444" t="str">
        <f>IF(ISBLANK(F61),"-",(F61/$D$50*$D$47*$B$68)*($B$57/$D$60))</f>
        <v>-</v>
      </c>
      <c r="H61" s="445" t="str">
        <f t="shared" si="0"/>
        <v>-</v>
      </c>
      <c r="L61" s="363"/>
    </row>
    <row r="62" spans="1:12" s="362" customFormat="1" ht="26.25" customHeight="1" x14ac:dyDescent="0.4">
      <c r="A62" s="380" t="s">
        <v>155</v>
      </c>
      <c r="B62" s="381">
        <v>1</v>
      </c>
      <c r="C62" s="441"/>
      <c r="D62" s="442"/>
      <c r="E62" s="443">
        <v>3</v>
      </c>
      <c r="F62" s="391"/>
      <c r="G62" s="444" t="str">
        <f>IF(ISBLANK(F62),"-",(F62/$D$50*$D$47*$B$68)*($B$57/$D$60))</f>
        <v>-</v>
      </c>
      <c r="H62" s="445" t="str">
        <f t="shared" si="0"/>
        <v>-</v>
      </c>
      <c r="L62" s="363"/>
    </row>
    <row r="63" spans="1:12" ht="27" thickBot="1" x14ac:dyDescent="0.45">
      <c r="A63" s="380" t="s">
        <v>156</v>
      </c>
      <c r="B63" s="381">
        <v>1</v>
      </c>
      <c r="C63" s="446"/>
      <c r="D63" s="447"/>
      <c r="E63" s="448">
        <v>4</v>
      </c>
      <c r="F63" s="449"/>
      <c r="G63" s="444" t="str">
        <f>IF(ISBLANK(F63),"-",(F63/$D$50*$D$47*$B$68)*($B$57/$D$60))</f>
        <v>-</v>
      </c>
      <c r="H63" s="445" t="str">
        <f t="shared" si="0"/>
        <v>-</v>
      </c>
    </row>
    <row r="64" spans="1:12" ht="26.25" customHeight="1" x14ac:dyDescent="0.4">
      <c r="A64" s="380" t="s">
        <v>157</v>
      </c>
      <c r="B64" s="381">
        <v>1</v>
      </c>
      <c r="C64" s="435" t="s">
        <v>99</v>
      </c>
      <c r="D64" s="436">
        <v>365.18</v>
      </c>
      <c r="E64" s="437">
        <v>1</v>
      </c>
      <c r="F64" s="438">
        <v>1242236</v>
      </c>
      <c r="G64" s="450">
        <f>IF(ISBLANK(F64),"-",(F64/$D$50*$D$47*$B$68)*($B$57/$D$64))</f>
        <v>20.351337175472064</v>
      </c>
      <c r="H64" s="451">
        <f t="shared" si="0"/>
        <v>1.0175668587736033</v>
      </c>
    </row>
    <row r="65" spans="1:8" ht="26.25" customHeight="1" x14ac:dyDescent="0.4">
      <c r="A65" s="380" t="s">
        <v>158</v>
      </c>
      <c r="B65" s="381">
        <v>1</v>
      </c>
      <c r="C65" s="441"/>
      <c r="D65" s="442"/>
      <c r="E65" s="443">
        <v>2</v>
      </c>
      <c r="F65" s="391">
        <v>1236264</v>
      </c>
      <c r="G65" s="452">
        <f>IF(ISBLANK(F65),"-",(F65/$D$50*$D$47*$B$68)*($B$57/$D$64))</f>
        <v>20.253498934097703</v>
      </c>
      <c r="H65" s="453">
        <f t="shared" si="0"/>
        <v>1.0126749467048852</v>
      </c>
    </row>
    <row r="66" spans="1:8" ht="26.25" customHeight="1" x14ac:dyDescent="0.4">
      <c r="A66" s="380" t="s">
        <v>159</v>
      </c>
      <c r="B66" s="381">
        <v>1</v>
      </c>
      <c r="C66" s="441"/>
      <c r="D66" s="442"/>
      <c r="E66" s="443">
        <v>3</v>
      </c>
      <c r="F66" s="391">
        <v>1228727</v>
      </c>
      <c r="G66" s="452">
        <f>IF(ISBLANK(F66),"-",(F66/$D$50*$D$47*$B$68)*($B$57/$D$64))</f>
        <v>20.130021568853472</v>
      </c>
      <c r="H66" s="453">
        <f t="shared" si="0"/>
        <v>1.0065010784426736</v>
      </c>
    </row>
    <row r="67" spans="1:8" ht="27" thickBot="1" x14ac:dyDescent="0.45">
      <c r="A67" s="380" t="s">
        <v>160</v>
      </c>
      <c r="B67" s="381">
        <v>1</v>
      </c>
      <c r="C67" s="446"/>
      <c r="D67" s="447"/>
      <c r="E67" s="448">
        <v>4</v>
      </c>
      <c r="F67" s="449"/>
      <c r="G67" s="454" t="str">
        <f>IF(ISBLANK(F67),"-",(F67/$D$50*$D$47*$B$68)*($B$57/$D$64))</f>
        <v>-</v>
      </c>
      <c r="H67" s="455" t="str">
        <f t="shared" si="0"/>
        <v>-</v>
      </c>
    </row>
    <row r="68" spans="1:8" ht="26.25" x14ac:dyDescent="0.4">
      <c r="A68" s="380" t="s">
        <v>103</v>
      </c>
      <c r="B68" s="456">
        <f>(B67/B66)*(B65/B64)*(B63/B62)*(B61/B60)*B59</f>
        <v>100</v>
      </c>
      <c r="C68" s="435" t="s">
        <v>104</v>
      </c>
      <c r="D68" s="436">
        <v>350.03</v>
      </c>
      <c r="E68" s="437">
        <v>1</v>
      </c>
      <c r="F68" s="438">
        <v>1166033</v>
      </c>
      <c r="G68" s="450">
        <f>IF(ISBLANK(F68),"-",(F68/$D$50*$D$47*$B$68)*($B$57/$D$68))</f>
        <v>19.929729149897344</v>
      </c>
      <c r="H68" s="445">
        <f t="shared" si="0"/>
        <v>0.99648645749486719</v>
      </c>
    </row>
    <row r="69" spans="1:8" ht="27" thickBot="1" x14ac:dyDescent="0.45">
      <c r="A69" s="457" t="s">
        <v>105</v>
      </c>
      <c r="B69" s="458">
        <f>D47*B68/B56*B57</f>
        <v>35.585449999999987</v>
      </c>
      <c r="C69" s="441"/>
      <c r="D69" s="442"/>
      <c r="E69" s="443">
        <v>2</v>
      </c>
      <c r="F69" s="391">
        <v>1155707</v>
      </c>
      <c r="G69" s="452">
        <f>IF(ISBLANK(F69),"-",(F69/$D$50*$D$47*$B$68)*($B$57/$D$68))</f>
        <v>19.753238104445078</v>
      </c>
      <c r="H69" s="445">
        <f t="shared" si="0"/>
        <v>0.98766190522225394</v>
      </c>
    </row>
    <row r="70" spans="1:8" ht="26.25" x14ac:dyDescent="0.4">
      <c r="A70" s="459" t="s">
        <v>78</v>
      </c>
      <c r="B70" s="460"/>
      <c r="C70" s="441"/>
      <c r="D70" s="442"/>
      <c r="E70" s="443">
        <v>3</v>
      </c>
      <c r="F70" s="391">
        <v>1153887</v>
      </c>
      <c r="G70" s="452">
        <f>IF(ISBLANK(F70),"-",(F70/$D$50*$D$47*$B$68)*($B$57/$D$68))</f>
        <v>19.722130831278015</v>
      </c>
      <c r="H70" s="445">
        <f t="shared" si="0"/>
        <v>0.98610654156390076</v>
      </c>
    </row>
    <row r="71" spans="1:8" ht="27" thickBot="1" x14ac:dyDescent="0.45">
      <c r="A71" s="461"/>
      <c r="B71" s="462"/>
      <c r="C71" s="446"/>
      <c r="D71" s="447"/>
      <c r="E71" s="448">
        <v>4</v>
      </c>
      <c r="F71" s="449"/>
      <c r="G71" s="454" t="str">
        <f>IF(ISBLANK(F71),"-",(F71/$D$50*$D$47*$B$68)*($B$57/$D$68))</f>
        <v>-</v>
      </c>
      <c r="H71" s="463" t="str">
        <f t="shared" si="0"/>
        <v>-</v>
      </c>
    </row>
    <row r="72" spans="1:8" ht="26.25" customHeight="1" x14ac:dyDescent="0.4">
      <c r="A72" s="409"/>
      <c r="B72" s="409"/>
      <c r="C72" s="409"/>
      <c r="D72" s="409"/>
      <c r="E72" s="409"/>
      <c r="F72" s="409"/>
      <c r="G72" s="464" t="s">
        <v>71</v>
      </c>
      <c r="H72" s="465">
        <f>AVERAGE(H60:H71)</f>
        <v>1.0011662980336973</v>
      </c>
    </row>
    <row r="73" spans="1:8" ht="26.25" customHeight="1" x14ac:dyDescent="0.4">
      <c r="C73" s="409"/>
      <c r="D73" s="409"/>
      <c r="E73" s="409"/>
      <c r="F73" s="409"/>
      <c r="G73" s="426" t="s">
        <v>84</v>
      </c>
      <c r="H73" s="466">
        <f>STDEV(H60:H71)/H72</f>
        <v>1.3106855599883466E-2</v>
      </c>
    </row>
    <row r="74" spans="1:8" ht="27" customHeight="1" thickBot="1" x14ac:dyDescent="0.45">
      <c r="A74" s="409"/>
      <c r="B74" s="409"/>
      <c r="C74" s="409"/>
      <c r="D74" s="409"/>
      <c r="E74" s="412"/>
      <c r="F74" s="409"/>
      <c r="G74" s="428" t="s">
        <v>20</v>
      </c>
      <c r="H74" s="467">
        <f>COUNT(H60:H71)</f>
        <v>6</v>
      </c>
    </row>
    <row r="75" spans="1:8" ht="18.75" x14ac:dyDescent="0.3">
      <c r="A75" s="409"/>
      <c r="B75" s="409"/>
      <c r="C75" s="409"/>
      <c r="D75" s="409"/>
      <c r="E75" s="412"/>
      <c r="F75" s="409"/>
      <c r="G75" s="358"/>
      <c r="H75" s="364"/>
    </row>
    <row r="76" spans="1:8" ht="18.75" x14ac:dyDescent="0.3">
      <c r="A76" s="355" t="s">
        <v>161</v>
      </c>
      <c r="B76" s="358" t="s">
        <v>126</v>
      </c>
      <c r="C76" s="468" t="str">
        <f>B20</f>
        <v>Artemether</v>
      </c>
      <c r="D76" s="468"/>
      <c r="E76" s="350" t="s">
        <v>162</v>
      </c>
      <c r="F76" s="350"/>
      <c r="G76" s="469">
        <f>H72</f>
        <v>1.0011662980336973</v>
      </c>
      <c r="H76" s="364"/>
    </row>
    <row r="77" spans="1:8" ht="18.75" x14ac:dyDescent="0.3">
      <c r="A77" s="409"/>
      <c r="B77" s="409"/>
      <c r="C77" s="409"/>
      <c r="D77" s="409"/>
      <c r="E77" s="412"/>
      <c r="F77" s="409"/>
      <c r="G77" s="358"/>
      <c r="H77" s="364"/>
    </row>
    <row r="78" spans="1:8" ht="26.25" customHeight="1" x14ac:dyDescent="0.4">
      <c r="A78" s="354" t="s">
        <v>163</v>
      </c>
      <c r="B78" s="354" t="s">
        <v>164</v>
      </c>
      <c r="D78" s="470" t="s">
        <v>165</v>
      </c>
    </row>
    <row r="79" spans="1:8" ht="18.75" x14ac:dyDescent="0.3">
      <c r="A79" s="354"/>
      <c r="B79" s="354"/>
    </row>
    <row r="80" spans="1:8" ht="26.25" customHeight="1" x14ac:dyDescent="0.4">
      <c r="A80" s="355" t="s">
        <v>4</v>
      </c>
      <c r="B80" s="356" t="str">
        <f>B26</f>
        <v>Artemether</v>
      </c>
      <c r="C80" s="357"/>
    </row>
    <row r="81" spans="1:12" ht="26.25" customHeight="1" x14ac:dyDescent="0.4">
      <c r="A81" s="358" t="s">
        <v>48</v>
      </c>
      <c r="B81" s="356" t="s">
        <v>170</v>
      </c>
    </row>
    <row r="82" spans="1:12" ht="27" customHeight="1" thickBot="1" x14ac:dyDescent="0.45">
      <c r="A82" s="358" t="s">
        <v>6</v>
      </c>
      <c r="B82" s="356">
        <v>99.3</v>
      </c>
    </row>
    <row r="83" spans="1:12" s="362" customFormat="1" ht="27" thickBot="1" x14ac:dyDescent="0.45">
      <c r="A83" s="358" t="s">
        <v>49</v>
      </c>
      <c r="B83" s="356">
        <f>B29</f>
        <v>0</v>
      </c>
      <c r="C83" s="359" t="s">
        <v>50</v>
      </c>
      <c r="D83" s="360"/>
      <c r="E83" s="360"/>
      <c r="F83" s="360"/>
      <c r="G83" s="361"/>
      <c r="I83" s="363"/>
      <c r="J83" s="363"/>
      <c r="K83" s="363"/>
      <c r="L83" s="363"/>
    </row>
    <row r="84" spans="1:12" s="362" customFormat="1" ht="18.75" x14ac:dyDescent="0.3">
      <c r="A84" s="358" t="s">
        <v>51</v>
      </c>
      <c r="B84" s="364">
        <f>B82-B83</f>
        <v>99.3</v>
      </c>
      <c r="C84" s="365"/>
      <c r="D84" s="365"/>
      <c r="E84" s="365"/>
      <c r="F84" s="365"/>
      <c r="G84" s="366"/>
      <c r="I84" s="363"/>
      <c r="J84" s="363"/>
      <c r="K84" s="363"/>
      <c r="L84" s="363"/>
    </row>
    <row r="85" spans="1:12" s="362" customFormat="1" ht="19.5" customHeight="1" thickBot="1" x14ac:dyDescent="0.35">
      <c r="A85" s="358"/>
      <c r="B85" s="364"/>
      <c r="C85" s="365"/>
      <c r="D85" s="365"/>
      <c r="E85" s="365"/>
      <c r="F85" s="365"/>
      <c r="G85" s="366"/>
      <c r="I85" s="363"/>
      <c r="J85" s="363"/>
      <c r="K85" s="363"/>
      <c r="L85" s="363"/>
    </row>
    <row r="86" spans="1:12" s="362" customFormat="1" ht="27" thickBot="1" x14ac:dyDescent="0.45">
      <c r="A86" s="358" t="s">
        <v>52</v>
      </c>
      <c r="B86" s="367">
        <v>1</v>
      </c>
      <c r="C86" s="368" t="s">
        <v>53</v>
      </c>
      <c r="D86" s="369"/>
      <c r="E86" s="369"/>
      <c r="F86" s="369"/>
      <c r="G86" s="369"/>
      <c r="H86" s="370"/>
      <c r="I86" s="363"/>
      <c r="J86" s="363"/>
      <c r="K86" s="363"/>
      <c r="L86" s="363"/>
    </row>
    <row r="87" spans="1:12" s="362" customFormat="1" ht="27" thickBot="1" x14ac:dyDescent="0.45">
      <c r="A87" s="358" t="s">
        <v>54</v>
      </c>
      <c r="B87" s="367">
        <v>1</v>
      </c>
      <c r="C87" s="368" t="s">
        <v>55</v>
      </c>
      <c r="D87" s="369"/>
      <c r="E87" s="369"/>
      <c r="F87" s="369"/>
      <c r="G87" s="369"/>
      <c r="H87" s="370"/>
      <c r="I87" s="363"/>
      <c r="J87" s="363"/>
      <c r="K87" s="363"/>
      <c r="L87" s="363"/>
    </row>
    <row r="88" spans="1:12" s="362" customFormat="1" ht="18.75" x14ac:dyDescent="0.3">
      <c r="A88" s="358"/>
      <c r="B88" s="364"/>
      <c r="C88" s="365"/>
      <c r="D88" s="365"/>
      <c r="E88" s="365"/>
      <c r="F88" s="365"/>
      <c r="G88" s="366"/>
      <c r="I88" s="363"/>
      <c r="J88" s="363"/>
      <c r="K88" s="363"/>
      <c r="L88" s="363"/>
    </row>
    <row r="89" spans="1:12" ht="18.75" x14ac:dyDescent="0.3">
      <c r="A89" s="358" t="s">
        <v>56</v>
      </c>
      <c r="B89" s="375">
        <f>B86/B87</f>
        <v>1</v>
      </c>
      <c r="C89" s="350" t="s">
        <v>57</v>
      </c>
    </row>
    <row r="90" spans="1:12" ht="19.5" customHeight="1" thickBot="1" x14ac:dyDescent="0.35">
      <c r="A90" s="358"/>
      <c r="B90" s="375"/>
    </row>
    <row r="91" spans="1:12" ht="27" customHeight="1" thickBot="1" x14ac:dyDescent="0.45">
      <c r="A91" s="376" t="s">
        <v>140</v>
      </c>
      <c r="B91" s="377">
        <v>100</v>
      </c>
      <c r="D91" s="471" t="s">
        <v>59</v>
      </c>
      <c r="E91" s="472"/>
      <c r="F91" s="378" t="s">
        <v>60</v>
      </c>
      <c r="G91" s="379"/>
    </row>
    <row r="92" spans="1:12" ht="26.25" customHeight="1" x14ac:dyDescent="0.4">
      <c r="A92" s="380" t="s">
        <v>141</v>
      </c>
      <c r="B92" s="381">
        <v>5</v>
      </c>
      <c r="C92" s="473" t="s">
        <v>142</v>
      </c>
      <c r="D92" s="383" t="s">
        <v>63</v>
      </c>
      <c r="E92" s="384" t="s">
        <v>64</v>
      </c>
      <c r="F92" s="383" t="s">
        <v>63</v>
      </c>
      <c r="G92" s="385" t="s">
        <v>64</v>
      </c>
    </row>
    <row r="93" spans="1:12" ht="26.25" customHeight="1" x14ac:dyDescent="0.4">
      <c r="A93" s="380" t="s">
        <v>143</v>
      </c>
      <c r="B93" s="381">
        <v>50</v>
      </c>
      <c r="C93" s="474">
        <v>1</v>
      </c>
      <c r="D93" s="387">
        <v>194349</v>
      </c>
      <c r="E93" s="388">
        <f>IF(ISBLANK(D93),"-",$D$103/$D$100*D93)</f>
        <v>198699.52612449587</v>
      </c>
      <c r="F93" s="387">
        <v>205672</v>
      </c>
      <c r="G93" s="389">
        <f>IF(ISBLANK(F93),"-",$D$103/$F$100*F93)</f>
        <v>204463.82326830755</v>
      </c>
    </row>
    <row r="94" spans="1:12" ht="26.25" customHeight="1" x14ac:dyDescent="0.4">
      <c r="A94" s="380" t="s">
        <v>144</v>
      </c>
      <c r="B94" s="381">
        <v>1</v>
      </c>
      <c r="C94" s="409">
        <v>2</v>
      </c>
      <c r="D94" s="391">
        <v>198547</v>
      </c>
      <c r="E94" s="392">
        <f>IF(ISBLANK(D94),"-",$D$103/$D$100*D94)</f>
        <v>202991.49886770849</v>
      </c>
      <c r="F94" s="391">
        <v>204592</v>
      </c>
      <c r="G94" s="393">
        <f>IF(ISBLANK(F94),"-",$D$103/$F$100*F94)</f>
        <v>203390.16750024105</v>
      </c>
    </row>
    <row r="95" spans="1:12" ht="26.25" customHeight="1" x14ac:dyDescent="0.4">
      <c r="A95" s="380" t="s">
        <v>145</v>
      </c>
      <c r="B95" s="381">
        <v>1</v>
      </c>
      <c r="C95" s="409">
        <v>3</v>
      </c>
      <c r="D95" s="391">
        <v>198742</v>
      </c>
      <c r="E95" s="392">
        <f>IF(ISBLANK(D95),"-",$D$103/$D$100*D95)</f>
        <v>203190.86396654756</v>
      </c>
      <c r="F95" s="391">
        <v>201102</v>
      </c>
      <c r="G95" s="393">
        <f>IF(ISBLANK(F95),"-",$D$103/$F$100*F95)</f>
        <v>199920.6687682484</v>
      </c>
    </row>
    <row r="96" spans="1:12" ht="26.25" customHeight="1" x14ac:dyDescent="0.4">
      <c r="A96" s="380" t="s">
        <v>146</v>
      </c>
      <c r="B96" s="381">
        <v>1</v>
      </c>
      <c r="C96" s="475">
        <v>4</v>
      </c>
      <c r="D96" s="395"/>
      <c r="E96" s="396" t="str">
        <f>IF(ISBLANK(D96),"-",$D$103/$D$100*D96)</f>
        <v>-</v>
      </c>
      <c r="F96" s="476"/>
      <c r="G96" s="397" t="str">
        <f>IF(ISBLANK(F96),"-",$D$103/$F$100*F96)</f>
        <v>-</v>
      </c>
    </row>
    <row r="97" spans="1:10" ht="27" customHeight="1" thickBot="1" x14ac:dyDescent="0.45">
      <c r="A97" s="380" t="s">
        <v>147</v>
      </c>
      <c r="B97" s="381">
        <v>1</v>
      </c>
      <c r="C97" s="358" t="s">
        <v>71</v>
      </c>
      <c r="D97" s="477">
        <f>AVERAGE(D93:D96)</f>
        <v>197212.66666666666</v>
      </c>
      <c r="E97" s="400">
        <f>AVERAGE(E93:E96)</f>
        <v>201627.29631958398</v>
      </c>
      <c r="F97" s="478">
        <f>AVERAGE(F93:F96)</f>
        <v>203788.66666666666</v>
      </c>
      <c r="G97" s="479">
        <f>AVERAGE(G93:G96)</f>
        <v>202591.55317893231</v>
      </c>
    </row>
    <row r="98" spans="1:10" ht="26.25" customHeight="1" x14ac:dyDescent="0.4">
      <c r="A98" s="380" t="s">
        <v>148</v>
      </c>
      <c r="B98" s="356">
        <v>1</v>
      </c>
      <c r="C98" s="404" t="s">
        <v>113</v>
      </c>
      <c r="D98" s="405">
        <v>19.7</v>
      </c>
      <c r="E98" s="350"/>
      <c r="F98" s="406">
        <v>20.260000000000002</v>
      </c>
    </row>
    <row r="99" spans="1:10" ht="26.25" customHeight="1" x14ac:dyDescent="0.4">
      <c r="A99" s="380" t="s">
        <v>149</v>
      </c>
      <c r="B99" s="356">
        <v>1</v>
      </c>
      <c r="C99" s="407" t="s">
        <v>114</v>
      </c>
      <c r="D99" s="408">
        <f>D98*$B$89</f>
        <v>19.7</v>
      </c>
      <c r="E99" s="409"/>
      <c r="F99" s="410">
        <f>F98*$B$89</f>
        <v>20.260000000000002</v>
      </c>
    </row>
    <row r="100" spans="1:10" ht="19.5" customHeight="1" thickBot="1" x14ac:dyDescent="0.35">
      <c r="A100" s="380" t="s">
        <v>76</v>
      </c>
      <c r="B100" s="364">
        <f>(B99/B98)*(B97/B96)*(B95/B94)*(B93/B92)*B91</f>
        <v>1000</v>
      </c>
      <c r="C100" s="407" t="s">
        <v>77</v>
      </c>
      <c r="D100" s="411">
        <f>D99*$B$84/100</f>
        <v>19.562099999999997</v>
      </c>
      <c r="E100" s="412"/>
      <c r="F100" s="413">
        <f>F99*$B$84/100</f>
        <v>20.118180000000002</v>
      </c>
    </row>
    <row r="101" spans="1:10" ht="19.5" thickBot="1" x14ac:dyDescent="0.35">
      <c r="A101" s="414" t="s">
        <v>78</v>
      </c>
      <c r="B101" s="415"/>
      <c r="C101" s="407" t="s">
        <v>79</v>
      </c>
      <c r="D101" s="408">
        <f>D100/$B$100</f>
        <v>1.9562099999999999E-2</v>
      </c>
      <c r="E101" s="412"/>
      <c r="F101" s="416">
        <f>F100/$B$100</f>
        <v>2.0118180000000003E-2</v>
      </c>
      <c r="H101" s="403"/>
    </row>
    <row r="102" spans="1:10" ht="19.5" customHeight="1" thickBot="1" x14ac:dyDescent="0.35">
      <c r="A102" s="417"/>
      <c r="B102" s="418"/>
      <c r="C102" s="407" t="s">
        <v>150</v>
      </c>
      <c r="D102" s="411">
        <f>$B$56/$B$120</f>
        <v>0.02</v>
      </c>
      <c r="F102" s="420"/>
      <c r="G102" s="480"/>
      <c r="H102" s="403"/>
    </row>
    <row r="103" spans="1:10" ht="18.75" x14ac:dyDescent="0.3">
      <c r="C103" s="407" t="s">
        <v>81</v>
      </c>
      <c r="D103" s="408">
        <f>D102*$B$100</f>
        <v>20</v>
      </c>
      <c r="F103" s="420"/>
      <c r="H103" s="403"/>
    </row>
    <row r="104" spans="1:10" ht="19.5" customHeight="1" thickBot="1" x14ac:dyDescent="0.35">
      <c r="C104" s="421" t="s">
        <v>82</v>
      </c>
      <c r="D104" s="422">
        <f>D103/B34</f>
        <v>20</v>
      </c>
      <c r="F104" s="423"/>
      <c r="H104" s="403"/>
      <c r="J104" s="481"/>
    </row>
    <row r="105" spans="1:10" ht="18.75" x14ac:dyDescent="0.3">
      <c r="C105" s="424" t="s">
        <v>83</v>
      </c>
      <c r="D105" s="425">
        <f>AVERAGE(E93:E96,G93:G96)</f>
        <v>202109.42474925818</v>
      </c>
      <c r="F105" s="423"/>
      <c r="G105" s="480"/>
      <c r="H105" s="403"/>
      <c r="J105" s="482"/>
    </row>
    <row r="106" spans="1:10" ht="18.75" x14ac:dyDescent="0.3">
      <c r="C106" s="426" t="s">
        <v>84</v>
      </c>
      <c r="D106" s="483">
        <f>STDEV(E93:E96,G93:G96)/D105</f>
        <v>1.1184495931371816E-2</v>
      </c>
      <c r="F106" s="423"/>
      <c r="H106" s="403"/>
      <c r="J106" s="482"/>
    </row>
    <row r="107" spans="1:10" ht="19.5" customHeight="1" thickBot="1" x14ac:dyDescent="0.35">
      <c r="C107" s="428" t="s">
        <v>20</v>
      </c>
      <c r="D107" s="484">
        <f>COUNT(E93:E96,G93:G96)</f>
        <v>6</v>
      </c>
      <c r="F107" s="423"/>
      <c r="H107" s="403"/>
      <c r="J107" s="482"/>
    </row>
    <row r="108" spans="1:10" ht="19.5" customHeight="1" x14ac:dyDescent="0.3">
      <c r="A108" s="344"/>
      <c r="B108" s="344"/>
      <c r="C108" s="344"/>
      <c r="D108" s="344"/>
      <c r="E108" s="344"/>
    </row>
    <row r="109" spans="1:10" ht="19.5" customHeight="1" x14ac:dyDescent="0.4">
      <c r="A109" s="344"/>
      <c r="B109" s="354" t="s">
        <v>164</v>
      </c>
      <c r="D109" s="470" t="s">
        <v>166</v>
      </c>
      <c r="E109" s="344"/>
    </row>
    <row r="110" spans="1:10" ht="19.5" customHeight="1" thickBot="1" x14ac:dyDescent="0.35">
      <c r="A110" s="344"/>
      <c r="B110" s="344"/>
      <c r="C110" s="344"/>
      <c r="D110" s="344"/>
      <c r="E110" s="344"/>
    </row>
    <row r="111" spans="1:10" ht="26.25" x14ac:dyDescent="0.4">
      <c r="A111" s="376" t="s">
        <v>118</v>
      </c>
      <c r="B111" s="377">
        <v>1000</v>
      </c>
      <c r="C111" s="471" t="s">
        <v>167</v>
      </c>
      <c r="D111" s="485" t="s">
        <v>63</v>
      </c>
      <c r="E111" s="486" t="s">
        <v>120</v>
      </c>
      <c r="F111" s="487" t="s">
        <v>121</v>
      </c>
    </row>
    <row r="112" spans="1:10" ht="26.25" customHeight="1" x14ac:dyDescent="0.4">
      <c r="A112" s="380" t="s">
        <v>153</v>
      </c>
      <c r="B112" s="381">
        <v>1</v>
      </c>
      <c r="C112" s="488">
        <v>1</v>
      </c>
      <c r="D112" s="489">
        <v>188013</v>
      </c>
      <c r="E112" s="490">
        <f t="shared" ref="E112:E117" si="1">IF(ISBLANK(D112),"-",D112/$D$105*$D$102*$B$120)</f>
        <v>18.605070024146915</v>
      </c>
      <c r="F112" s="491">
        <f>IF(ISBLANK(D112), "-", E112/$B$56)</f>
        <v>0.93025350120734573</v>
      </c>
    </row>
    <row r="113" spans="1:10" ht="26.25" customHeight="1" x14ac:dyDescent="0.4">
      <c r="A113" s="380" t="s">
        <v>154</v>
      </c>
      <c r="B113" s="381">
        <v>1</v>
      </c>
      <c r="C113" s="488">
        <v>2</v>
      </c>
      <c r="D113" s="489">
        <v>188320</v>
      </c>
      <c r="E113" s="492">
        <f t="shared" si="1"/>
        <v>18.635449606927963</v>
      </c>
      <c r="F113" s="493">
        <f t="shared" ref="F113:F117" si="2">IF(ISBLANK(D113), "-", E113/$B$56)</f>
        <v>0.93177248034639815</v>
      </c>
    </row>
    <row r="114" spans="1:10" ht="26.25" customHeight="1" x14ac:dyDescent="0.4">
      <c r="A114" s="380" t="s">
        <v>155</v>
      </c>
      <c r="B114" s="381">
        <v>1</v>
      </c>
      <c r="C114" s="488">
        <v>3</v>
      </c>
      <c r="D114" s="489">
        <v>188411</v>
      </c>
      <c r="E114" s="492">
        <f t="shared" si="1"/>
        <v>18.644454629837004</v>
      </c>
      <c r="F114" s="493">
        <f t="shared" si="2"/>
        <v>0.9322227314918502</v>
      </c>
    </row>
    <row r="115" spans="1:10" ht="26.25" customHeight="1" x14ac:dyDescent="0.4">
      <c r="A115" s="380" t="s">
        <v>156</v>
      </c>
      <c r="B115" s="381">
        <v>1</v>
      </c>
      <c r="C115" s="488">
        <v>4</v>
      </c>
      <c r="D115" s="489">
        <v>188751</v>
      </c>
      <c r="E115" s="492">
        <f t="shared" si="1"/>
        <v>18.678099770376274</v>
      </c>
      <c r="F115" s="493">
        <f t="shared" si="2"/>
        <v>0.93390498851881376</v>
      </c>
    </row>
    <row r="116" spans="1:10" ht="26.25" customHeight="1" x14ac:dyDescent="0.4">
      <c r="A116" s="380" t="s">
        <v>157</v>
      </c>
      <c r="B116" s="381">
        <v>1</v>
      </c>
      <c r="C116" s="488">
        <v>5</v>
      </c>
      <c r="D116" s="489">
        <v>187980</v>
      </c>
      <c r="E116" s="492">
        <f t="shared" si="1"/>
        <v>18.601804466388693</v>
      </c>
      <c r="F116" s="493">
        <f t="shared" si="2"/>
        <v>0.93009022331943458</v>
      </c>
    </row>
    <row r="117" spans="1:10" ht="26.25" customHeight="1" x14ac:dyDescent="0.4">
      <c r="A117" s="380" t="s">
        <v>158</v>
      </c>
      <c r="B117" s="381">
        <v>1</v>
      </c>
      <c r="C117" s="494">
        <v>6</v>
      </c>
      <c r="D117" s="495">
        <v>188847</v>
      </c>
      <c r="E117" s="496">
        <f t="shared" si="1"/>
        <v>18.687599574763833</v>
      </c>
      <c r="F117" s="497">
        <f t="shared" si="2"/>
        <v>0.93437997873819167</v>
      </c>
    </row>
    <row r="118" spans="1:10" ht="26.25" customHeight="1" x14ac:dyDescent="0.4">
      <c r="A118" s="380" t="s">
        <v>159</v>
      </c>
      <c r="B118" s="381">
        <v>1</v>
      </c>
      <c r="C118" s="488"/>
      <c r="D118" s="409"/>
      <c r="E118" s="350"/>
      <c r="F118" s="498"/>
    </row>
    <row r="119" spans="1:10" ht="26.25" customHeight="1" x14ac:dyDescent="0.4">
      <c r="A119" s="380" t="s">
        <v>160</v>
      </c>
      <c r="B119" s="381">
        <v>1</v>
      </c>
      <c r="C119" s="488"/>
      <c r="D119" s="499"/>
      <c r="E119" s="500" t="s">
        <v>71</v>
      </c>
      <c r="F119" s="501">
        <f>AVERAGE(F112:F117)</f>
        <v>0.93210398393700578</v>
      </c>
    </row>
    <row r="120" spans="1:10" ht="19.5" customHeight="1" thickBot="1" x14ac:dyDescent="0.35">
      <c r="A120" s="380" t="s">
        <v>103</v>
      </c>
      <c r="B120" s="456">
        <f>(B119/B118)*(B117/B116)*(B115/B114)*(B113/B112)*B111</f>
        <v>1000</v>
      </c>
      <c r="C120" s="502"/>
      <c r="D120" s="503"/>
      <c r="E120" s="358" t="s">
        <v>84</v>
      </c>
      <c r="F120" s="504">
        <f>STDEV(F112:F117)/F119</f>
        <v>1.9207931339206004E-3</v>
      </c>
      <c r="I120" s="350"/>
    </row>
    <row r="121" spans="1:10" ht="19.5" thickBot="1" x14ac:dyDescent="0.35">
      <c r="A121" s="414" t="s">
        <v>78</v>
      </c>
      <c r="B121" s="415"/>
      <c r="C121" s="505"/>
      <c r="D121" s="506"/>
      <c r="E121" s="507" t="s">
        <v>20</v>
      </c>
      <c r="F121" s="484">
        <f>COUNT(F112:F117)</f>
        <v>6</v>
      </c>
      <c r="I121" s="350"/>
      <c r="J121" s="482"/>
    </row>
    <row r="122" spans="1:10" ht="19.5" customHeight="1" thickBot="1" x14ac:dyDescent="0.35">
      <c r="A122" s="417"/>
      <c r="B122" s="418"/>
      <c r="C122" s="350"/>
      <c r="D122" s="350"/>
      <c r="E122" s="350"/>
      <c r="F122" s="409"/>
      <c r="G122" s="350"/>
      <c r="H122" s="350"/>
      <c r="I122" s="350"/>
    </row>
    <row r="123" spans="1:10" ht="18.75" x14ac:dyDescent="0.3">
      <c r="A123" s="374"/>
      <c r="B123" s="374"/>
      <c r="C123" s="350"/>
      <c r="D123" s="350"/>
      <c r="E123" s="350"/>
      <c r="F123" s="409"/>
      <c r="G123" s="350"/>
      <c r="H123" s="350"/>
      <c r="I123" s="350"/>
    </row>
    <row r="124" spans="1:10" ht="18.75" x14ac:dyDescent="0.3">
      <c r="A124" s="355" t="s">
        <v>161</v>
      </c>
      <c r="B124" s="358" t="s">
        <v>126</v>
      </c>
      <c r="C124" s="468" t="str">
        <f>B20</f>
        <v>Artemether</v>
      </c>
      <c r="D124" s="468"/>
      <c r="E124" s="350" t="s">
        <v>127</v>
      </c>
      <c r="F124" s="350"/>
      <c r="G124" s="469">
        <f>F119</f>
        <v>0.93210398393700578</v>
      </c>
      <c r="H124" s="350"/>
      <c r="I124" s="350"/>
    </row>
    <row r="125" spans="1:10" ht="18.75" x14ac:dyDescent="0.3">
      <c r="A125" s="374"/>
      <c r="B125" s="374"/>
      <c r="C125" s="350"/>
      <c r="D125" s="350"/>
      <c r="E125" s="350"/>
      <c r="F125" s="409"/>
      <c r="G125" s="350"/>
      <c r="H125" s="350"/>
      <c r="I125" s="350"/>
    </row>
    <row r="126" spans="1:10" ht="26.25" customHeight="1" x14ac:dyDescent="0.4">
      <c r="A126" s="354" t="s">
        <v>163</v>
      </c>
      <c r="B126" s="354" t="s">
        <v>164</v>
      </c>
      <c r="D126" s="470" t="s">
        <v>168</v>
      </c>
    </row>
    <row r="127" spans="1:10" ht="19.5" customHeight="1" thickBot="1" x14ac:dyDescent="0.35">
      <c r="A127" s="344"/>
      <c r="B127" s="344"/>
      <c r="C127" s="344"/>
      <c r="D127" s="344"/>
      <c r="E127" s="344"/>
    </row>
    <row r="128" spans="1:10" ht="26.25" x14ac:dyDescent="0.4">
      <c r="A128" s="376" t="s">
        <v>118</v>
      </c>
      <c r="B128" s="377">
        <v>1000</v>
      </c>
      <c r="C128" s="471" t="s">
        <v>167</v>
      </c>
      <c r="D128" s="485" t="s">
        <v>63</v>
      </c>
      <c r="E128" s="486" t="s">
        <v>120</v>
      </c>
      <c r="F128" s="487" t="s">
        <v>121</v>
      </c>
    </row>
    <row r="129" spans="1:10" ht="26.25" customHeight="1" x14ac:dyDescent="0.4">
      <c r="A129" s="380" t="s">
        <v>153</v>
      </c>
      <c r="B129" s="381">
        <v>1</v>
      </c>
      <c r="C129" s="488">
        <v>1</v>
      </c>
      <c r="D129" s="489">
        <v>196455</v>
      </c>
      <c r="E129" s="508">
        <f t="shared" ref="E129:E134" si="3">IF(ISBLANK(D129),"-",D129/$D$105*$D$102*$B$137)</f>
        <v>19.440459072477871</v>
      </c>
      <c r="F129" s="509">
        <f>IF(ISBLANK(D129), "-", E129/$B$56)</f>
        <v>0.97202295362389357</v>
      </c>
    </row>
    <row r="130" spans="1:10" ht="26.25" customHeight="1" x14ac:dyDescent="0.4">
      <c r="A130" s="380" t="s">
        <v>154</v>
      </c>
      <c r="B130" s="381">
        <v>1</v>
      </c>
      <c r="C130" s="488">
        <v>2</v>
      </c>
      <c r="D130" s="489">
        <v>198377</v>
      </c>
      <c r="E130" s="510">
        <f t="shared" si="3"/>
        <v>19.630653072820454</v>
      </c>
      <c r="F130" s="511">
        <f t="shared" ref="F130:F134" si="4">IF(ISBLANK(D130), "-", E130/$B$56)</f>
        <v>0.98153265364102271</v>
      </c>
    </row>
    <row r="131" spans="1:10" ht="26.25" customHeight="1" x14ac:dyDescent="0.4">
      <c r="A131" s="380" t="s">
        <v>155</v>
      </c>
      <c r="B131" s="381">
        <v>1</v>
      </c>
      <c r="C131" s="488">
        <v>3</v>
      </c>
      <c r="D131" s="489">
        <v>194970</v>
      </c>
      <c r="E131" s="510">
        <f t="shared" si="3"/>
        <v>19.293508973357824</v>
      </c>
      <c r="F131" s="511">
        <f t="shared" si="4"/>
        <v>0.96467544866789123</v>
      </c>
    </row>
    <row r="132" spans="1:10" ht="26.25" customHeight="1" x14ac:dyDescent="0.4">
      <c r="A132" s="380" t="s">
        <v>156</v>
      </c>
      <c r="B132" s="381">
        <v>1</v>
      </c>
      <c r="C132" s="488">
        <v>4</v>
      </c>
      <c r="D132" s="489">
        <v>196551</v>
      </c>
      <c r="E132" s="510">
        <f t="shared" si="3"/>
        <v>19.449958876865431</v>
      </c>
      <c r="F132" s="511">
        <f t="shared" si="4"/>
        <v>0.97249794384327148</v>
      </c>
    </row>
    <row r="133" spans="1:10" ht="26.25" customHeight="1" x14ac:dyDescent="0.4">
      <c r="A133" s="380" t="s">
        <v>157</v>
      </c>
      <c r="B133" s="381">
        <v>1</v>
      </c>
      <c r="C133" s="488">
        <v>5</v>
      </c>
      <c r="D133" s="489">
        <v>196652</v>
      </c>
      <c r="E133" s="510">
        <f t="shared" si="3"/>
        <v>19.459953462731512</v>
      </c>
      <c r="F133" s="511">
        <f t="shared" si="4"/>
        <v>0.97299767313657559</v>
      </c>
    </row>
    <row r="134" spans="1:10" ht="26.25" customHeight="1" x14ac:dyDescent="0.4">
      <c r="A134" s="380" t="s">
        <v>158</v>
      </c>
      <c r="B134" s="381">
        <v>1</v>
      </c>
      <c r="C134" s="494">
        <v>6</v>
      </c>
      <c r="D134" s="495">
        <v>197719</v>
      </c>
      <c r="E134" s="512">
        <f t="shared" si="3"/>
        <v>19.565539830247399</v>
      </c>
      <c r="F134" s="513">
        <f t="shared" si="4"/>
        <v>0.97827699151236991</v>
      </c>
    </row>
    <row r="135" spans="1:10" ht="26.25" customHeight="1" x14ac:dyDescent="0.4">
      <c r="A135" s="380" t="s">
        <v>159</v>
      </c>
      <c r="B135" s="381">
        <v>1</v>
      </c>
      <c r="C135" s="488"/>
      <c r="D135" s="409"/>
      <c r="E135" s="350"/>
      <c r="F135" s="498"/>
    </row>
    <row r="136" spans="1:10" ht="26.25" customHeight="1" x14ac:dyDescent="0.4">
      <c r="A136" s="380" t="s">
        <v>160</v>
      </c>
      <c r="B136" s="381">
        <v>1</v>
      </c>
      <c r="C136" s="488"/>
      <c r="D136" s="499"/>
      <c r="E136" s="500" t="s">
        <v>71</v>
      </c>
      <c r="F136" s="514">
        <f>AVERAGE(F129:F134)</f>
        <v>0.97366727740417069</v>
      </c>
    </row>
    <row r="137" spans="1:10" ht="27" customHeight="1" thickBot="1" x14ac:dyDescent="0.45">
      <c r="A137" s="380" t="s">
        <v>103</v>
      </c>
      <c r="B137" s="381">
        <f>(B136/B135)*(B134/B133)*(B132/B131)*(B130/B129)*B128</f>
        <v>1000</v>
      </c>
      <c r="C137" s="502"/>
      <c r="D137" s="503"/>
      <c r="E137" s="358" t="s">
        <v>84</v>
      </c>
      <c r="F137" s="515">
        <f>STDEV(F129:F134)/F136</f>
        <v>5.9619244176119532E-3</v>
      </c>
      <c r="I137" s="350"/>
    </row>
    <row r="138" spans="1:10" ht="27" thickBot="1" x14ac:dyDescent="0.45">
      <c r="A138" s="414" t="s">
        <v>78</v>
      </c>
      <c r="B138" s="415"/>
      <c r="C138" s="505"/>
      <c r="D138" s="506"/>
      <c r="E138" s="507" t="s">
        <v>20</v>
      </c>
      <c r="F138" s="516">
        <f>COUNT(F129:F134)</f>
        <v>6</v>
      </c>
      <c r="I138" s="350"/>
      <c r="J138" s="482"/>
    </row>
    <row r="139" spans="1:10" ht="19.5" customHeight="1" thickBot="1" x14ac:dyDescent="0.35">
      <c r="A139" s="417"/>
      <c r="B139" s="418"/>
      <c r="C139" s="350"/>
      <c r="D139" s="350"/>
      <c r="E139" s="350"/>
      <c r="F139" s="409"/>
      <c r="G139" s="350"/>
      <c r="H139" s="350"/>
      <c r="I139" s="350"/>
    </row>
    <row r="140" spans="1:10" ht="18.75" x14ac:dyDescent="0.3">
      <c r="A140" s="374"/>
      <c r="B140" s="374"/>
      <c r="C140" s="350"/>
      <c r="D140" s="350"/>
      <c r="E140" s="350"/>
      <c r="F140" s="409"/>
      <c r="G140" s="350"/>
      <c r="H140" s="350"/>
      <c r="I140" s="350"/>
    </row>
    <row r="141" spans="1:10" ht="26.25" customHeight="1" x14ac:dyDescent="0.4">
      <c r="A141" s="355" t="s">
        <v>161</v>
      </c>
      <c r="B141" s="358" t="s">
        <v>126</v>
      </c>
      <c r="C141" s="468" t="str">
        <f>B20</f>
        <v>Artemether</v>
      </c>
      <c r="D141" s="468"/>
      <c r="E141" s="350" t="s">
        <v>127</v>
      </c>
      <c r="F141" s="350"/>
      <c r="G141" s="517">
        <f>F136</f>
        <v>0.97366727740417069</v>
      </c>
      <c r="H141" s="350"/>
      <c r="I141" s="350"/>
    </row>
    <row r="142" spans="1:10" ht="19.5" thickBot="1" x14ac:dyDescent="0.35">
      <c r="A142" s="358"/>
      <c r="B142" s="358"/>
      <c r="C142" s="358"/>
      <c r="D142" s="358"/>
      <c r="E142" s="358"/>
      <c r="F142" s="350"/>
      <c r="G142" s="469"/>
      <c r="H142" s="350"/>
      <c r="I142" s="350"/>
    </row>
    <row r="143" spans="1:10" ht="18.75" x14ac:dyDescent="0.3">
      <c r="B143" s="518" t="s">
        <v>26</v>
      </c>
      <c r="C143" s="518"/>
      <c r="E143" s="473" t="s">
        <v>27</v>
      </c>
      <c r="F143" s="519"/>
      <c r="G143" s="518" t="s">
        <v>28</v>
      </c>
      <c r="H143" s="518"/>
    </row>
    <row r="144" spans="1:10" ht="57.75" customHeight="1" x14ac:dyDescent="0.3">
      <c r="A144" s="355" t="s">
        <v>29</v>
      </c>
      <c r="B144" s="520"/>
      <c r="C144" s="520"/>
      <c r="E144" s="521"/>
      <c r="F144" s="350"/>
      <c r="G144" s="521"/>
      <c r="H144" s="521"/>
    </row>
    <row r="145" spans="1:9" ht="81" customHeight="1" x14ac:dyDescent="0.3">
      <c r="A145" s="355" t="s">
        <v>30</v>
      </c>
      <c r="B145" s="522"/>
      <c r="C145" s="522"/>
      <c r="E145" s="523"/>
      <c r="F145" s="350"/>
      <c r="G145" s="524"/>
      <c r="H145" s="524"/>
    </row>
    <row r="146" spans="1:9" ht="18.75" x14ac:dyDescent="0.3">
      <c r="A146" s="409"/>
      <c r="B146" s="409"/>
      <c r="C146" s="409"/>
      <c r="D146" s="409"/>
      <c r="E146" s="409"/>
      <c r="F146" s="412"/>
      <c r="G146" s="409"/>
      <c r="H146" s="409"/>
      <c r="I146" s="350"/>
    </row>
    <row r="147" spans="1:9" ht="18.75" x14ac:dyDescent="0.3">
      <c r="A147" s="409"/>
      <c r="B147" s="409"/>
      <c r="C147" s="409"/>
      <c r="D147" s="409"/>
      <c r="E147" s="409"/>
      <c r="F147" s="412"/>
      <c r="G147" s="409"/>
      <c r="H147" s="409"/>
      <c r="I147" s="350"/>
    </row>
    <row r="148" spans="1:9" ht="18.75" x14ac:dyDescent="0.3">
      <c r="A148" s="409"/>
      <c r="B148" s="409"/>
      <c r="C148" s="409"/>
      <c r="D148" s="409"/>
      <c r="E148" s="409"/>
      <c r="F148" s="412"/>
      <c r="G148" s="409"/>
      <c r="H148" s="409"/>
      <c r="I148" s="350"/>
    </row>
    <row r="149" spans="1:9" ht="18.75" x14ac:dyDescent="0.3">
      <c r="A149" s="409"/>
      <c r="B149" s="409"/>
      <c r="C149" s="409"/>
      <c r="D149" s="409"/>
      <c r="E149" s="409"/>
      <c r="F149" s="412"/>
      <c r="G149" s="409"/>
      <c r="H149" s="409"/>
      <c r="I149" s="350"/>
    </row>
    <row r="150" spans="1:9" ht="18.75" x14ac:dyDescent="0.3">
      <c r="A150" s="409"/>
      <c r="B150" s="409"/>
      <c r="C150" s="409"/>
      <c r="D150" s="409"/>
      <c r="E150" s="409"/>
      <c r="F150" s="412"/>
      <c r="G150" s="409"/>
      <c r="H150" s="409"/>
      <c r="I150" s="350"/>
    </row>
    <row r="151" spans="1:9" ht="18.75" x14ac:dyDescent="0.3">
      <c r="A151" s="409"/>
      <c r="B151" s="409"/>
      <c r="C151" s="409"/>
      <c r="D151" s="409"/>
      <c r="E151" s="409"/>
      <c r="F151" s="412"/>
      <c r="G151" s="409"/>
      <c r="H151" s="409"/>
      <c r="I151" s="350"/>
    </row>
    <row r="152" spans="1:9" ht="18.75" x14ac:dyDescent="0.3">
      <c r="A152" s="409"/>
      <c r="B152" s="409"/>
      <c r="C152" s="409"/>
      <c r="D152" s="409"/>
      <c r="E152" s="409"/>
      <c r="F152" s="412"/>
      <c r="G152" s="409"/>
      <c r="H152" s="409"/>
      <c r="I152" s="350"/>
    </row>
    <row r="153" spans="1:9" ht="18.75" x14ac:dyDescent="0.3">
      <c r="A153" s="409"/>
      <c r="B153" s="409"/>
      <c r="C153" s="409"/>
      <c r="D153" s="409"/>
      <c r="E153" s="409"/>
      <c r="F153" s="412"/>
      <c r="G153" s="409"/>
      <c r="H153" s="409"/>
      <c r="I153" s="350"/>
    </row>
    <row r="154" spans="1:9" ht="18.75" x14ac:dyDescent="0.3">
      <c r="A154" s="409"/>
      <c r="B154" s="409"/>
      <c r="C154" s="409"/>
      <c r="D154" s="409"/>
      <c r="E154" s="409"/>
      <c r="F154" s="412"/>
      <c r="G154" s="409"/>
      <c r="H154" s="409"/>
      <c r="I154" s="350"/>
    </row>
    <row r="217" spans="1:1" x14ac:dyDescent="0.25">
      <c r="A217" s="339">
        <v>0</v>
      </c>
    </row>
  </sheetData>
  <mergeCells count="29">
    <mergeCell ref="C124:D124"/>
    <mergeCell ref="A138:B139"/>
    <mergeCell ref="C141:D141"/>
    <mergeCell ref="B143:C143"/>
    <mergeCell ref="G143:H143"/>
    <mergeCell ref="C83:G83"/>
    <mergeCell ref="C86:H86"/>
    <mergeCell ref="C87:H87"/>
    <mergeCell ref="F91:G91"/>
    <mergeCell ref="A101:B102"/>
    <mergeCell ref="A121:B122"/>
    <mergeCell ref="C64:C67"/>
    <mergeCell ref="D64:D67"/>
    <mergeCell ref="C68:C71"/>
    <mergeCell ref="D68:D71"/>
    <mergeCell ref="A70:B71"/>
    <mergeCell ref="C76:D76"/>
    <mergeCell ref="C32:H32"/>
    <mergeCell ref="D36:E36"/>
    <mergeCell ref="F36:G36"/>
    <mergeCell ref="A46:B47"/>
    <mergeCell ref="C60:C63"/>
    <mergeCell ref="D60:D63"/>
    <mergeCell ref="A1:H7"/>
    <mergeCell ref="A8:H14"/>
    <mergeCell ref="A16:H16"/>
    <mergeCell ref="B18:C18"/>
    <mergeCell ref="C29:G29"/>
    <mergeCell ref="C31:H31"/>
  </mergeCells>
  <printOptions horizontalCentered="1" verticalCentered="1"/>
  <pageMargins left="0.7" right="0.7" top="0.75" bottom="0.75" header="0.3" footer="0.3"/>
  <pageSetup scale="21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55" sqref="B5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B20/25*5/10</f>
        <v>0.21960000000000002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1330359</v>
      </c>
      <c r="C24" s="18">
        <v>7258.7</v>
      </c>
      <c r="D24" s="19">
        <v>1</v>
      </c>
      <c r="E24" s="20">
        <v>4.7</v>
      </c>
    </row>
    <row r="25" spans="1:6" ht="16.5" customHeight="1" x14ac:dyDescent="0.3">
      <c r="A25" s="17">
        <v>2</v>
      </c>
      <c r="B25" s="18">
        <v>1326684</v>
      </c>
      <c r="C25" s="18">
        <v>7280.6</v>
      </c>
      <c r="D25" s="19">
        <v>1</v>
      </c>
      <c r="E25" s="19">
        <v>4.7</v>
      </c>
    </row>
    <row r="26" spans="1:6" ht="16.5" customHeight="1" x14ac:dyDescent="0.3">
      <c r="A26" s="17">
        <v>3</v>
      </c>
      <c r="B26" s="18">
        <v>1324255</v>
      </c>
      <c r="C26" s="18">
        <v>7268.6</v>
      </c>
      <c r="D26" s="19">
        <v>1</v>
      </c>
      <c r="E26" s="19">
        <v>4.7</v>
      </c>
    </row>
    <row r="27" spans="1:6" ht="16.5" customHeight="1" x14ac:dyDescent="0.3">
      <c r="A27" s="17">
        <v>4</v>
      </c>
      <c r="B27" s="18">
        <v>1325116</v>
      </c>
      <c r="C27" s="18">
        <v>7277</v>
      </c>
      <c r="D27" s="19">
        <v>1</v>
      </c>
      <c r="E27" s="19">
        <v>4.7</v>
      </c>
    </row>
    <row r="28" spans="1:6" ht="16.5" customHeight="1" x14ac:dyDescent="0.3">
      <c r="A28" s="17">
        <v>5</v>
      </c>
      <c r="B28" s="18">
        <v>1332335</v>
      </c>
      <c r="C28" s="18">
        <v>7361.2</v>
      </c>
      <c r="D28" s="19">
        <v>1</v>
      </c>
      <c r="E28" s="19">
        <v>4.7</v>
      </c>
    </row>
    <row r="29" spans="1:6" ht="16.5" customHeight="1" x14ac:dyDescent="0.3">
      <c r="A29" s="17">
        <v>6</v>
      </c>
      <c r="B29" s="21">
        <v>1329875</v>
      </c>
      <c r="C29" s="21">
        <v>7436.7</v>
      </c>
      <c r="D29" s="22">
        <v>1</v>
      </c>
      <c r="E29" s="22">
        <v>4.7</v>
      </c>
    </row>
    <row r="30" spans="1:6" ht="16.5" customHeight="1" x14ac:dyDescent="0.3">
      <c r="A30" s="23" t="s">
        <v>18</v>
      </c>
      <c r="B30" s="24">
        <f>AVERAGE(B24:B29)</f>
        <v>1328104</v>
      </c>
      <c r="C30" s="25">
        <f>AVERAGE(C24:C29)</f>
        <v>7313.7999999999993</v>
      </c>
      <c r="D30" s="26">
        <f>AVERAGE(D24:D29)</f>
        <v>1</v>
      </c>
      <c r="E30" s="26">
        <f>AVERAGE(E24:E29)</f>
        <v>4.7</v>
      </c>
    </row>
    <row r="31" spans="1:6" ht="16.5" customHeight="1" x14ac:dyDescent="0.3">
      <c r="A31" s="27" t="s">
        <v>19</v>
      </c>
      <c r="B31" s="28">
        <f>(STDEV(B24:B29)/B30)</f>
        <v>2.4254481095219715E-3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171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B41/100*5/50</f>
        <v>1.9699999999999999E-2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200148</v>
      </c>
      <c r="C45" s="18">
        <v>14951.7</v>
      </c>
      <c r="D45" s="19">
        <v>1</v>
      </c>
      <c r="E45" s="20">
        <v>4</v>
      </c>
    </row>
    <row r="46" spans="1:6" ht="16.5" customHeight="1" x14ac:dyDescent="0.3">
      <c r="A46" s="17">
        <v>2</v>
      </c>
      <c r="B46" s="18">
        <v>204159</v>
      </c>
      <c r="C46" s="18">
        <v>14716.5</v>
      </c>
      <c r="D46" s="19">
        <v>1</v>
      </c>
      <c r="E46" s="19">
        <v>4</v>
      </c>
    </row>
    <row r="47" spans="1:6" ht="16.5" customHeight="1" x14ac:dyDescent="0.3">
      <c r="A47" s="17">
        <v>3</v>
      </c>
      <c r="B47" s="18">
        <v>204726</v>
      </c>
      <c r="C47" s="18">
        <v>14607.2</v>
      </c>
      <c r="D47" s="19">
        <v>1</v>
      </c>
      <c r="E47" s="19">
        <v>4</v>
      </c>
    </row>
    <row r="48" spans="1:6" ht="16.5" customHeight="1" x14ac:dyDescent="0.3">
      <c r="A48" s="17">
        <v>4</v>
      </c>
      <c r="B48" s="18">
        <v>206984</v>
      </c>
      <c r="C48" s="18">
        <v>14580.4</v>
      </c>
      <c r="D48" s="19">
        <v>1.1000000000000001</v>
      </c>
      <c r="E48" s="19">
        <v>4</v>
      </c>
    </row>
    <row r="49" spans="1:7" ht="16.5" customHeight="1" x14ac:dyDescent="0.3">
      <c r="A49" s="17">
        <v>5</v>
      </c>
      <c r="B49" s="18">
        <v>201612</v>
      </c>
      <c r="C49" s="18">
        <v>15130.9</v>
      </c>
      <c r="D49" s="19">
        <v>1.1000000000000001</v>
      </c>
      <c r="E49" s="19">
        <v>3.9</v>
      </c>
    </row>
    <row r="50" spans="1:7" ht="16.5" customHeight="1" x14ac:dyDescent="0.3">
      <c r="A50" s="17">
        <v>6</v>
      </c>
      <c r="B50" s="21">
        <v>201636</v>
      </c>
      <c r="C50" s="21">
        <v>15173.8</v>
      </c>
      <c r="D50" s="22">
        <v>1.1000000000000001</v>
      </c>
      <c r="E50" s="22">
        <v>3.9</v>
      </c>
    </row>
    <row r="51" spans="1:7" ht="16.5" customHeight="1" x14ac:dyDescent="0.3">
      <c r="A51" s="23" t="s">
        <v>18</v>
      </c>
      <c r="B51" s="24">
        <f>AVERAGE(B45:B50)</f>
        <v>203210.83333333334</v>
      </c>
      <c r="C51" s="25">
        <f>AVERAGE(C45:C50)</f>
        <v>14860.083333333334</v>
      </c>
      <c r="D51" s="26">
        <f>AVERAGE(D45:D50)</f>
        <v>1.0499999999999998</v>
      </c>
      <c r="E51" s="26">
        <f>AVERAGE(E45:E50)</f>
        <v>3.9666666666666663</v>
      </c>
    </row>
    <row r="52" spans="1:7" ht="16.5" customHeight="1" x14ac:dyDescent="0.3">
      <c r="A52" s="27" t="s">
        <v>19</v>
      </c>
      <c r="B52" s="28">
        <f>(STDEV(B45:B50)/B51)</f>
        <v>1.2419812460870884E-2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172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8" t="s">
        <v>26</v>
      </c>
      <c r="C59" s="28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F46" sqref="F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2" t="s">
        <v>31</v>
      </c>
      <c r="B11" s="293"/>
      <c r="C11" s="293"/>
      <c r="D11" s="293"/>
      <c r="E11" s="293"/>
      <c r="F11" s="294"/>
      <c r="G11" s="91"/>
    </row>
    <row r="12" spans="1:7" ht="16.5" customHeight="1" x14ac:dyDescent="0.3">
      <c r="A12" s="291" t="s">
        <v>32</v>
      </c>
      <c r="B12" s="291"/>
      <c r="C12" s="291"/>
      <c r="D12" s="291"/>
      <c r="E12" s="291"/>
      <c r="F12" s="291"/>
      <c r="G12" s="90"/>
    </row>
    <row r="14" spans="1:7" ht="16.5" customHeight="1" x14ac:dyDescent="0.3">
      <c r="A14" s="296" t="s">
        <v>33</v>
      </c>
      <c r="B14" s="296"/>
      <c r="C14" s="60" t="s">
        <v>5</v>
      </c>
    </row>
    <row r="15" spans="1:7" ht="16.5" customHeight="1" x14ac:dyDescent="0.3">
      <c r="A15" s="296" t="s">
        <v>34</v>
      </c>
      <c r="B15" s="296"/>
      <c r="C15" s="60" t="s">
        <v>7</v>
      </c>
    </row>
    <row r="16" spans="1:7" ht="16.5" customHeight="1" x14ac:dyDescent="0.3">
      <c r="A16" s="296" t="s">
        <v>35</v>
      </c>
      <c r="B16" s="296"/>
      <c r="C16" s="60" t="s">
        <v>9</v>
      </c>
    </row>
    <row r="17" spans="1:5" ht="16.5" customHeight="1" x14ac:dyDescent="0.3">
      <c r="A17" s="296" t="s">
        <v>36</v>
      </c>
      <c r="B17" s="296"/>
      <c r="C17" s="60" t="s">
        <v>11</v>
      </c>
    </row>
    <row r="18" spans="1:5" ht="16.5" customHeight="1" x14ac:dyDescent="0.3">
      <c r="A18" s="296" t="s">
        <v>37</v>
      </c>
      <c r="B18" s="296"/>
      <c r="C18" s="97" t="s">
        <v>12</v>
      </c>
    </row>
    <row r="19" spans="1:5" ht="16.5" customHeight="1" x14ac:dyDescent="0.3">
      <c r="A19" s="296" t="s">
        <v>38</v>
      </c>
      <c r="B19" s="29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1" t="s">
        <v>1</v>
      </c>
      <c r="B21" s="291"/>
      <c r="C21" s="59" t="s">
        <v>39</v>
      </c>
      <c r="D21" s="66"/>
    </row>
    <row r="22" spans="1:5" ht="15.75" customHeight="1" x14ac:dyDescent="0.3">
      <c r="A22" s="295"/>
      <c r="B22" s="295"/>
      <c r="C22" s="57"/>
      <c r="D22" s="295"/>
      <c r="E22" s="29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351.16</v>
      </c>
      <c r="D24" s="87">
        <f t="shared" ref="D24:D43" si="0">(C24-$C$46)/$C$46</f>
        <v>-1.3192189504417778E-2</v>
      </c>
      <c r="E24" s="53"/>
    </row>
    <row r="25" spans="1:5" ht="15.75" customHeight="1" x14ac:dyDescent="0.3">
      <c r="C25" s="95">
        <v>357.05</v>
      </c>
      <c r="D25" s="88">
        <f t="shared" si="0"/>
        <v>3.3595191293074905E-3</v>
      </c>
      <c r="E25" s="53"/>
    </row>
    <row r="26" spans="1:5" ht="15.75" customHeight="1" x14ac:dyDescent="0.3">
      <c r="C26" s="95">
        <v>359.42</v>
      </c>
      <c r="D26" s="88">
        <f t="shared" si="0"/>
        <v>1.0019544504847228E-2</v>
      </c>
      <c r="E26" s="53"/>
    </row>
    <row r="27" spans="1:5" ht="15.75" customHeight="1" x14ac:dyDescent="0.3">
      <c r="C27" s="95">
        <v>353.53</v>
      </c>
      <c r="D27" s="88">
        <f t="shared" si="0"/>
        <v>-6.5321641288782007E-3</v>
      </c>
      <c r="E27" s="53"/>
    </row>
    <row r="28" spans="1:5" ht="15.75" customHeight="1" x14ac:dyDescent="0.3">
      <c r="C28" s="95">
        <v>352.45</v>
      </c>
      <c r="D28" s="88">
        <f t="shared" si="0"/>
        <v>-9.5671124012760046E-3</v>
      </c>
      <c r="E28" s="53"/>
    </row>
    <row r="29" spans="1:5" ht="15.75" customHeight="1" x14ac:dyDescent="0.3">
      <c r="C29" s="95">
        <v>355.07</v>
      </c>
      <c r="D29" s="88">
        <f t="shared" si="0"/>
        <v>-2.2045527034219507E-3</v>
      </c>
      <c r="E29" s="53"/>
    </row>
    <row r="30" spans="1:5" ht="15.75" customHeight="1" x14ac:dyDescent="0.3">
      <c r="C30" s="95">
        <v>357.54</v>
      </c>
      <c r="D30" s="88">
        <f t="shared" si="0"/>
        <v>4.7364864010435775E-3</v>
      </c>
      <c r="E30" s="53"/>
    </row>
    <row r="31" spans="1:5" ht="15.75" customHeight="1" x14ac:dyDescent="0.3">
      <c r="C31" s="95">
        <v>352.28</v>
      </c>
      <c r="D31" s="88">
        <f t="shared" si="0"/>
        <v>-1.0044835740449785E-2</v>
      </c>
      <c r="E31" s="53"/>
    </row>
    <row r="32" spans="1:5" ht="15.75" customHeight="1" x14ac:dyDescent="0.3">
      <c r="C32" s="95">
        <v>356.74</v>
      </c>
      <c r="D32" s="88">
        <f t="shared" si="0"/>
        <v>2.4883765696377311E-3</v>
      </c>
      <c r="E32" s="53"/>
    </row>
    <row r="33" spans="1:7" ht="15.75" customHeight="1" x14ac:dyDescent="0.3">
      <c r="C33" s="95">
        <v>333.25</v>
      </c>
      <c r="D33" s="88">
        <f t="shared" si="0"/>
        <v>-6.352174835501552E-2</v>
      </c>
      <c r="E33" s="53"/>
    </row>
    <row r="34" spans="1:7" ht="15.75" customHeight="1" x14ac:dyDescent="0.3">
      <c r="C34" s="95">
        <v>359.41</v>
      </c>
      <c r="D34" s="88">
        <f t="shared" si="0"/>
        <v>9.9914431319546807E-3</v>
      </c>
      <c r="E34" s="53"/>
    </row>
    <row r="35" spans="1:7" ht="15.75" customHeight="1" x14ac:dyDescent="0.3">
      <c r="C35" s="95">
        <v>361.11</v>
      </c>
      <c r="D35" s="88">
        <f t="shared" si="0"/>
        <v>1.4768676523692004E-2</v>
      </c>
      <c r="E35" s="53"/>
    </row>
    <row r="36" spans="1:7" ht="15.75" customHeight="1" x14ac:dyDescent="0.3">
      <c r="C36" s="95">
        <v>371.19</v>
      </c>
      <c r="D36" s="88">
        <f t="shared" si="0"/>
        <v>4.3094860399405216E-2</v>
      </c>
      <c r="E36" s="53"/>
    </row>
    <row r="37" spans="1:7" ht="15.75" customHeight="1" x14ac:dyDescent="0.3">
      <c r="C37" s="95">
        <v>355.48</v>
      </c>
      <c r="D37" s="88">
        <f t="shared" si="0"/>
        <v>-1.0523964148264008E-3</v>
      </c>
      <c r="E37" s="53"/>
    </row>
    <row r="38" spans="1:7" ht="15.75" customHeight="1" x14ac:dyDescent="0.3">
      <c r="C38" s="95">
        <v>358.37</v>
      </c>
      <c r="D38" s="88">
        <f t="shared" si="0"/>
        <v>7.0689003511270644E-3</v>
      </c>
      <c r="E38" s="53"/>
    </row>
    <row r="39" spans="1:7" ht="15.75" customHeight="1" x14ac:dyDescent="0.3">
      <c r="C39" s="95">
        <v>356.02</v>
      </c>
      <c r="D39" s="88">
        <f t="shared" si="0"/>
        <v>4.6507772137242159E-4</v>
      </c>
      <c r="E39" s="53"/>
    </row>
    <row r="40" spans="1:7" ht="15.75" customHeight="1" x14ac:dyDescent="0.3">
      <c r="C40" s="95">
        <v>356.87</v>
      </c>
      <c r="D40" s="88">
        <f t="shared" si="0"/>
        <v>2.853694417241163E-3</v>
      </c>
      <c r="E40" s="53"/>
    </row>
    <row r="41" spans="1:7" ht="15.75" customHeight="1" x14ac:dyDescent="0.3">
      <c r="C41" s="95">
        <v>360.44</v>
      </c>
      <c r="D41" s="88">
        <f t="shared" si="0"/>
        <v>1.288588453988959E-2</v>
      </c>
      <c r="E41" s="53"/>
    </row>
    <row r="42" spans="1:7" ht="15.75" customHeight="1" x14ac:dyDescent="0.3">
      <c r="C42" s="95">
        <v>355.1</v>
      </c>
      <c r="D42" s="88">
        <f t="shared" si="0"/>
        <v>-2.1202485847441497E-3</v>
      </c>
      <c r="E42" s="53"/>
    </row>
    <row r="43" spans="1:7" ht="16.5" customHeight="1" x14ac:dyDescent="0.3">
      <c r="C43" s="96">
        <v>354.61</v>
      </c>
      <c r="D43" s="89">
        <f t="shared" si="0"/>
        <v>-3.4972158564802367E-3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7117.0899999999974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355.85449999999986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9">
        <f>C46</f>
        <v>355.85449999999986</v>
      </c>
      <c r="C49" s="93">
        <f>-IF(C46&lt;=80,10%,IF(C46&lt;250,7.5%,5%))</f>
        <v>-0.05</v>
      </c>
      <c r="D49" s="81">
        <f>IF(C46&lt;=80,C46*0.9,IF(C46&lt;250,C46*0.925,C46*0.95))</f>
        <v>338.06177499999984</v>
      </c>
    </row>
    <row r="50" spans="1:6" ht="17.25" customHeight="1" x14ac:dyDescent="0.3">
      <c r="B50" s="290"/>
      <c r="C50" s="94">
        <f>IF(C46&lt;=80, 10%, IF(C46&lt;250, 7.5%, 5%))</f>
        <v>0.05</v>
      </c>
      <c r="D50" s="81">
        <f>IF(C46&lt;=80, C46*1.1, IF(C46&lt;250, C46*1.075, C46*1.05))</f>
        <v>373.64722499999988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6" zoomScale="70" zoomScaleNormal="40" zoomScaleSheetLayoutView="70" zoomScalePageLayoutView="50" workbookViewId="0">
      <selection activeCell="B30" sqref="B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7" t="s">
        <v>45</v>
      </c>
      <c r="B1" s="327"/>
      <c r="C1" s="327"/>
      <c r="D1" s="327"/>
      <c r="E1" s="327"/>
      <c r="F1" s="327"/>
      <c r="G1" s="327"/>
      <c r="H1" s="327"/>
      <c r="I1" s="327"/>
    </row>
    <row r="2" spans="1:9" ht="18.75" customHeight="1" x14ac:dyDescent="0.25">
      <c r="A2" s="327"/>
      <c r="B2" s="327"/>
      <c r="C2" s="327"/>
      <c r="D2" s="327"/>
      <c r="E2" s="327"/>
      <c r="F2" s="327"/>
      <c r="G2" s="327"/>
      <c r="H2" s="327"/>
      <c r="I2" s="327"/>
    </row>
    <row r="3" spans="1:9" ht="18.75" customHeight="1" x14ac:dyDescent="0.25">
      <c r="A3" s="327"/>
      <c r="B3" s="327"/>
      <c r="C3" s="327"/>
      <c r="D3" s="327"/>
      <c r="E3" s="327"/>
      <c r="F3" s="327"/>
      <c r="G3" s="327"/>
      <c r="H3" s="327"/>
      <c r="I3" s="327"/>
    </row>
    <row r="4" spans="1:9" ht="18.75" customHeight="1" x14ac:dyDescent="0.25">
      <c r="A4" s="327"/>
      <c r="B4" s="327"/>
      <c r="C4" s="327"/>
      <c r="D4" s="327"/>
      <c r="E4" s="327"/>
      <c r="F4" s="327"/>
      <c r="G4" s="327"/>
      <c r="H4" s="327"/>
      <c r="I4" s="327"/>
    </row>
    <row r="5" spans="1:9" ht="18.75" customHeight="1" x14ac:dyDescent="0.25">
      <c r="A5" s="327"/>
      <c r="B5" s="327"/>
      <c r="C5" s="327"/>
      <c r="D5" s="327"/>
      <c r="E5" s="327"/>
      <c r="F5" s="327"/>
      <c r="G5" s="327"/>
      <c r="H5" s="327"/>
      <c r="I5" s="327"/>
    </row>
    <row r="6" spans="1:9" ht="18.75" customHeight="1" x14ac:dyDescent="0.25">
      <c r="A6" s="327"/>
      <c r="B6" s="327"/>
      <c r="C6" s="327"/>
      <c r="D6" s="327"/>
      <c r="E6" s="327"/>
      <c r="F6" s="327"/>
      <c r="G6" s="327"/>
      <c r="H6" s="327"/>
      <c r="I6" s="327"/>
    </row>
    <row r="7" spans="1:9" ht="18.75" customHeight="1" x14ac:dyDescent="0.25">
      <c r="A7" s="327"/>
      <c r="B7" s="327"/>
      <c r="C7" s="327"/>
      <c r="D7" s="327"/>
      <c r="E7" s="327"/>
      <c r="F7" s="327"/>
      <c r="G7" s="327"/>
      <c r="H7" s="327"/>
      <c r="I7" s="327"/>
    </row>
    <row r="8" spans="1:9" x14ac:dyDescent="0.25">
      <c r="A8" s="328" t="s">
        <v>46</v>
      </c>
      <c r="B8" s="328"/>
      <c r="C8" s="328"/>
      <c r="D8" s="328"/>
      <c r="E8" s="328"/>
      <c r="F8" s="328"/>
      <c r="G8" s="328"/>
      <c r="H8" s="328"/>
      <c r="I8" s="328"/>
    </row>
    <row r="9" spans="1:9" x14ac:dyDescent="0.25">
      <c r="A9" s="328"/>
      <c r="B9" s="328"/>
      <c r="C9" s="328"/>
      <c r="D9" s="328"/>
      <c r="E9" s="328"/>
      <c r="F9" s="328"/>
      <c r="G9" s="328"/>
      <c r="H9" s="328"/>
      <c r="I9" s="328"/>
    </row>
    <row r="10" spans="1:9" x14ac:dyDescent="0.25">
      <c r="A10" s="328"/>
      <c r="B10" s="328"/>
      <c r="C10" s="328"/>
      <c r="D10" s="328"/>
      <c r="E10" s="328"/>
      <c r="F10" s="328"/>
      <c r="G10" s="328"/>
      <c r="H10" s="328"/>
      <c r="I10" s="328"/>
    </row>
    <row r="11" spans="1:9" x14ac:dyDescent="0.25">
      <c r="A11" s="328"/>
      <c r="B11" s="328"/>
      <c r="C11" s="328"/>
      <c r="D11" s="328"/>
      <c r="E11" s="328"/>
      <c r="F11" s="328"/>
      <c r="G11" s="328"/>
      <c r="H11" s="328"/>
      <c r="I11" s="328"/>
    </row>
    <row r="12" spans="1:9" x14ac:dyDescent="0.25">
      <c r="A12" s="328"/>
      <c r="B12" s="328"/>
      <c r="C12" s="328"/>
      <c r="D12" s="328"/>
      <c r="E12" s="328"/>
      <c r="F12" s="328"/>
      <c r="G12" s="328"/>
      <c r="H12" s="328"/>
      <c r="I12" s="328"/>
    </row>
    <row r="13" spans="1:9" x14ac:dyDescent="0.25">
      <c r="A13" s="328"/>
      <c r="B13" s="328"/>
      <c r="C13" s="328"/>
      <c r="D13" s="328"/>
      <c r="E13" s="328"/>
      <c r="F13" s="328"/>
      <c r="G13" s="328"/>
      <c r="H13" s="328"/>
      <c r="I13" s="328"/>
    </row>
    <row r="14" spans="1:9" x14ac:dyDescent="0.25">
      <c r="A14" s="328"/>
      <c r="B14" s="328"/>
      <c r="C14" s="328"/>
      <c r="D14" s="328"/>
      <c r="E14" s="328"/>
      <c r="F14" s="328"/>
      <c r="G14" s="328"/>
      <c r="H14" s="328"/>
      <c r="I14" s="328"/>
    </row>
    <row r="15" spans="1:9" ht="19.5" customHeight="1" x14ac:dyDescent="0.3">
      <c r="A15" s="98"/>
    </row>
    <row r="16" spans="1:9" ht="19.5" customHeight="1" x14ac:dyDescent="0.3">
      <c r="A16" s="300" t="s">
        <v>31</v>
      </c>
      <c r="B16" s="301"/>
      <c r="C16" s="301"/>
      <c r="D16" s="301"/>
      <c r="E16" s="301"/>
      <c r="F16" s="301"/>
      <c r="G16" s="301"/>
      <c r="H16" s="302"/>
    </row>
    <row r="17" spans="1:14" ht="20.25" customHeight="1" x14ac:dyDescent="0.25">
      <c r="A17" s="303" t="s">
        <v>47</v>
      </c>
      <c r="B17" s="303"/>
      <c r="C17" s="303"/>
      <c r="D17" s="303"/>
      <c r="E17" s="303"/>
      <c r="F17" s="303"/>
      <c r="G17" s="303"/>
      <c r="H17" s="303"/>
    </row>
    <row r="18" spans="1:14" ht="26.25" customHeight="1" x14ac:dyDescent="0.4">
      <c r="A18" s="100" t="s">
        <v>33</v>
      </c>
      <c r="B18" s="299" t="s">
        <v>5</v>
      </c>
      <c r="C18" s="299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4" t="s">
        <v>136</v>
      </c>
      <c r="C20" s="30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4" t="s">
        <v>11</v>
      </c>
      <c r="C21" s="304"/>
      <c r="D21" s="304"/>
      <c r="E21" s="304"/>
      <c r="F21" s="304"/>
      <c r="G21" s="304"/>
      <c r="H21" s="304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9" t="s">
        <v>132</v>
      </c>
      <c r="C26" s="299"/>
    </row>
    <row r="27" spans="1:14" ht="26.25" customHeight="1" x14ac:dyDescent="0.4">
      <c r="A27" s="109" t="s">
        <v>48</v>
      </c>
      <c r="B27" s="305" t="s">
        <v>133</v>
      </c>
      <c r="C27" s="305"/>
    </row>
    <row r="28" spans="1:14" ht="27" customHeight="1" x14ac:dyDescent="0.4">
      <c r="A28" s="109" t="s">
        <v>6</v>
      </c>
      <c r="B28" s="110">
        <v>100.46</v>
      </c>
    </row>
    <row r="29" spans="1:14" s="14" customFormat="1" ht="27" customHeight="1" x14ac:dyDescent="0.4">
      <c r="A29" s="109" t="s">
        <v>49</v>
      </c>
      <c r="B29" s="111">
        <v>0.16</v>
      </c>
      <c r="C29" s="306" t="s">
        <v>50</v>
      </c>
      <c r="D29" s="307"/>
      <c r="E29" s="307"/>
      <c r="F29" s="307"/>
      <c r="G29" s="308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9" t="s">
        <v>53</v>
      </c>
      <c r="D31" s="310"/>
      <c r="E31" s="310"/>
      <c r="F31" s="310"/>
      <c r="G31" s="310"/>
      <c r="H31" s="311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9" t="s">
        <v>55</v>
      </c>
      <c r="D32" s="310"/>
      <c r="E32" s="310"/>
      <c r="F32" s="310"/>
      <c r="G32" s="310"/>
      <c r="H32" s="311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</v>
      </c>
      <c r="C36" s="99"/>
      <c r="D36" s="312" t="s">
        <v>59</v>
      </c>
      <c r="E36" s="313"/>
      <c r="F36" s="312" t="s">
        <v>60</v>
      </c>
      <c r="G36" s="31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666330374</v>
      </c>
      <c r="E38" s="133">
        <f>IF(ISBLANK(D38),"-",$D$48/$D$45*D38)</f>
        <v>622427259.75726783</v>
      </c>
      <c r="F38" s="132">
        <v>451422405</v>
      </c>
      <c r="G38" s="134">
        <f>IF(ISBLANK(F38),"-",$D$48/$F$45*F38)</f>
        <v>609853913.86815166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668806850</v>
      </c>
      <c r="E39" s="138">
        <f>IF(ISBLANK(D39),"-",$D$48/$D$45*D39)</f>
        <v>624740565.93492472</v>
      </c>
      <c r="F39" s="137">
        <v>451276632</v>
      </c>
      <c r="G39" s="139">
        <f>IF(ISBLANK(F39),"-",$D$48/$F$45*F39)</f>
        <v>609656980.27867627</v>
      </c>
      <c r="I39" s="316">
        <f>ABS((F43/D43*D42)-F42)/D42</f>
        <v>1.4702885482849426E-2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668204601</v>
      </c>
      <c r="E40" s="138">
        <f>IF(ISBLANK(D40),"-",$D$48/$D$45*D40)</f>
        <v>624177997.86150599</v>
      </c>
      <c r="F40" s="137">
        <v>453042435</v>
      </c>
      <c r="G40" s="139">
        <f>IF(ISBLANK(F40),"-",$D$48/$F$45*F40)</f>
        <v>612042510.67934418</v>
      </c>
      <c r="I40" s="316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667780608.33333337</v>
      </c>
      <c r="E42" s="148">
        <f>AVERAGE(E38:E41)</f>
        <v>623781941.18456614</v>
      </c>
      <c r="F42" s="147">
        <f>AVERAGE(F38:F41)</f>
        <v>451913824</v>
      </c>
      <c r="G42" s="149">
        <f>AVERAGE(G38:G41)</f>
        <v>610517801.608724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16.010000000000002</v>
      </c>
      <c r="E43" s="140"/>
      <c r="F43" s="152">
        <v>11.07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16.010000000000002</v>
      </c>
      <c r="E44" s="155"/>
      <c r="F44" s="154">
        <f>F43*$B$34</f>
        <v>11.07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12.5</v>
      </c>
      <c r="C45" s="153" t="s">
        <v>77</v>
      </c>
      <c r="D45" s="157">
        <f>D44*$B$30/100</f>
        <v>16.058030000000002</v>
      </c>
      <c r="E45" s="158"/>
      <c r="F45" s="157">
        <f>F44*$B$30/100</f>
        <v>11.103209999999999</v>
      </c>
      <c r="H45" s="150"/>
    </row>
    <row r="46" spans="1:14" ht="19.5" customHeight="1" x14ac:dyDescent="0.3">
      <c r="A46" s="317" t="s">
        <v>78</v>
      </c>
      <c r="B46" s="318"/>
      <c r="C46" s="153" t="s">
        <v>79</v>
      </c>
      <c r="D46" s="159">
        <f>D45/$B$45</f>
        <v>1.2846424000000001</v>
      </c>
      <c r="E46" s="160"/>
      <c r="F46" s="161">
        <f>F45/$B$45</f>
        <v>0.88825679999999996</v>
      </c>
      <c r="H46" s="150"/>
    </row>
    <row r="47" spans="1:14" ht="27" customHeight="1" x14ac:dyDescent="0.4">
      <c r="A47" s="319"/>
      <c r="B47" s="320"/>
      <c r="C47" s="162" t="s">
        <v>80</v>
      </c>
      <c r="D47" s="163">
        <v>1.2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617149871.39664507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1.1914239342350252E-2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Artemether 20mg and Lumefantrine 120mg</v>
      </c>
    </row>
    <row r="56" spans="1:12" ht="26.25" customHeight="1" x14ac:dyDescent="0.4">
      <c r="A56" s="177" t="s">
        <v>87</v>
      </c>
      <c r="B56" s="178">
        <v>120</v>
      </c>
      <c r="C56" s="99" t="str">
        <f>B20</f>
        <v>Lumefantrine</v>
      </c>
      <c r="H56" s="179"/>
    </row>
    <row r="57" spans="1:12" ht="18.75" x14ac:dyDescent="0.3">
      <c r="A57" s="176" t="s">
        <v>88</v>
      </c>
      <c r="B57" s="247">
        <f>Uniformity!C46</f>
        <v>355.85449999999986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21" t="s">
        <v>94</v>
      </c>
      <c r="D60" s="324">
        <v>367.98</v>
      </c>
      <c r="E60" s="182">
        <v>1</v>
      </c>
      <c r="F60" s="183">
        <v>695473920</v>
      </c>
      <c r="G60" s="248">
        <f>IF(ISBLANK(F60),"-",(F60/$D$50*$D$47*$B$68)*($B$57/$D$60))</f>
        <v>130.77348547117933</v>
      </c>
      <c r="H60" s="266">
        <f t="shared" ref="H60:H71" si="0">IF(ISBLANK(F60),"-",(G60/$B$56)*100)</f>
        <v>108.9779045593161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322"/>
      <c r="D61" s="325"/>
      <c r="E61" s="184">
        <v>2</v>
      </c>
      <c r="F61" s="137">
        <v>695164447</v>
      </c>
      <c r="G61" s="249">
        <f>IF(ISBLANK(F61),"-",(F61/$D$50*$D$47*$B$68)*($B$57/$D$60))</f>
        <v>130.71529369474402</v>
      </c>
      <c r="H61" s="267">
        <f t="shared" si="0"/>
        <v>108.9294114122867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2"/>
      <c r="D62" s="325"/>
      <c r="E62" s="184">
        <v>3</v>
      </c>
      <c r="F62" s="185">
        <v>700069959</v>
      </c>
      <c r="G62" s="249">
        <f>IF(ISBLANK(F62),"-",(F62/$D$50*$D$47*$B$68)*($B$57/$D$60))</f>
        <v>131.6377019746414</v>
      </c>
      <c r="H62" s="267">
        <f t="shared" si="0"/>
        <v>109.69808497886784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2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1" t="s">
        <v>99</v>
      </c>
      <c r="D64" s="324">
        <v>365.18</v>
      </c>
      <c r="E64" s="182">
        <v>1</v>
      </c>
      <c r="F64" s="183">
        <v>686942752</v>
      </c>
      <c r="G64" s="248">
        <f>IF(ISBLANK(F64),"-",(F64/$D$50*$D$47*$B$68)*($B$57/$D$64))</f>
        <v>130.15972629027357</v>
      </c>
      <c r="H64" s="266">
        <f t="shared" si="0"/>
        <v>108.46643857522797</v>
      </c>
    </row>
    <row r="65" spans="1:8" ht="26.25" customHeight="1" x14ac:dyDescent="0.4">
      <c r="A65" s="124" t="s">
        <v>100</v>
      </c>
      <c r="B65" s="125">
        <v>1</v>
      </c>
      <c r="C65" s="322"/>
      <c r="D65" s="325"/>
      <c r="E65" s="184">
        <v>2</v>
      </c>
      <c r="F65" s="137">
        <v>686412031</v>
      </c>
      <c r="G65" s="249">
        <f>IF(ISBLANK(F65),"-",(F65/$D$50*$D$47*$B$68)*($B$57/$D$64))</f>
        <v>130.05916696433937</v>
      </c>
      <c r="H65" s="267">
        <f t="shared" si="0"/>
        <v>108.38263913694948</v>
      </c>
    </row>
    <row r="66" spans="1:8" ht="26.25" customHeight="1" x14ac:dyDescent="0.4">
      <c r="A66" s="124" t="s">
        <v>101</v>
      </c>
      <c r="B66" s="125">
        <v>1</v>
      </c>
      <c r="C66" s="322"/>
      <c r="D66" s="325"/>
      <c r="E66" s="184">
        <v>3</v>
      </c>
      <c r="F66" s="137">
        <v>687700307</v>
      </c>
      <c r="G66" s="249">
        <f>IF(ISBLANK(F66),"-",(F66/$D$50*$D$47*$B$68)*($B$57/$D$64))</f>
        <v>130.30326540057462</v>
      </c>
      <c r="H66" s="267">
        <f t="shared" si="0"/>
        <v>108.58605450047885</v>
      </c>
    </row>
    <row r="67" spans="1:8" ht="27" customHeight="1" x14ac:dyDescent="0.4">
      <c r="A67" s="124" t="s">
        <v>102</v>
      </c>
      <c r="B67" s="125">
        <v>1</v>
      </c>
      <c r="C67" s="323"/>
      <c r="D67" s="32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</v>
      </c>
      <c r="C68" s="321" t="s">
        <v>104</v>
      </c>
      <c r="D68" s="324">
        <v>350.03</v>
      </c>
      <c r="E68" s="182">
        <v>1</v>
      </c>
      <c r="F68" s="183">
        <v>680931466</v>
      </c>
      <c r="G68" s="248">
        <f>IF(ISBLANK(F68),"-",(F68/$D$50*$D$47*$B$68)*($B$57/$D$68))</f>
        <v>134.60500262289145</v>
      </c>
      <c r="H68" s="267">
        <f t="shared" si="0"/>
        <v>112.17083551907621</v>
      </c>
    </row>
    <row r="69" spans="1:8" ht="27" customHeight="1" x14ac:dyDescent="0.4">
      <c r="A69" s="172" t="s">
        <v>105</v>
      </c>
      <c r="B69" s="189">
        <f>(D47*B68)/B56*B57</f>
        <v>355.85449999999986</v>
      </c>
      <c r="C69" s="322"/>
      <c r="D69" s="325"/>
      <c r="E69" s="184">
        <v>2</v>
      </c>
      <c r="F69" s="137">
        <v>681792612</v>
      </c>
      <c r="G69" s="249">
        <f>IF(ISBLANK(F69),"-",(F69/$D$50*$D$47*$B$68)*($B$57/$D$68))</f>
        <v>134.77523202977963</v>
      </c>
      <c r="H69" s="267">
        <f t="shared" si="0"/>
        <v>112.31269335814969</v>
      </c>
    </row>
    <row r="70" spans="1:8" ht="26.25" customHeight="1" x14ac:dyDescent="0.4">
      <c r="A70" s="334" t="s">
        <v>78</v>
      </c>
      <c r="B70" s="335"/>
      <c r="C70" s="322"/>
      <c r="D70" s="325"/>
      <c r="E70" s="184">
        <v>3</v>
      </c>
      <c r="F70" s="137">
        <v>679264143</v>
      </c>
      <c r="G70" s="249">
        <f>IF(ISBLANK(F70),"-",(F70/$D$50*$D$47*$B$68)*($B$57/$D$68))</f>
        <v>134.27540995755822</v>
      </c>
      <c r="H70" s="267">
        <f t="shared" si="0"/>
        <v>111.89617496463184</v>
      </c>
    </row>
    <row r="71" spans="1:8" ht="27" customHeight="1" x14ac:dyDescent="0.4">
      <c r="A71" s="336"/>
      <c r="B71" s="337"/>
      <c r="C71" s="333"/>
      <c r="D71" s="32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131.9226982673313</v>
      </c>
      <c r="H72" s="269">
        <f>AVERAGE(H60:H71)</f>
        <v>109.93558188944276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1.5379133391931582E-2</v>
      </c>
      <c r="H73" s="253">
        <f>STDEV(H60:H71)/H72</f>
        <v>1.5379133391931542E-2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9" t="str">
        <f>B26</f>
        <v>LUMEFANTRINE</v>
      </c>
      <c r="D76" s="329"/>
      <c r="E76" s="198" t="s">
        <v>108</v>
      </c>
      <c r="F76" s="198"/>
      <c r="G76" s="282">
        <f>H72</f>
        <v>109.93558188944276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5" t="str">
        <f>B26</f>
        <v>LUMEFANTRINE</v>
      </c>
      <c r="C79" s="315"/>
    </row>
    <row r="80" spans="1:8" ht="26.25" customHeight="1" x14ac:dyDescent="0.4">
      <c r="A80" s="109" t="s">
        <v>48</v>
      </c>
      <c r="B80" s="315" t="str">
        <f>B27</f>
        <v>L1-0</v>
      </c>
      <c r="C80" s="315"/>
    </row>
    <row r="81" spans="1:12" ht="27" customHeight="1" x14ac:dyDescent="0.4">
      <c r="A81" s="109" t="s">
        <v>6</v>
      </c>
      <c r="B81" s="201">
        <f>B28</f>
        <v>100.46</v>
      </c>
    </row>
    <row r="82" spans="1:12" s="14" customFormat="1" ht="27" customHeight="1" x14ac:dyDescent="0.4">
      <c r="A82" s="109" t="s">
        <v>49</v>
      </c>
      <c r="B82" s="111">
        <v>0</v>
      </c>
      <c r="C82" s="306" t="s">
        <v>50</v>
      </c>
      <c r="D82" s="307"/>
      <c r="E82" s="307"/>
      <c r="F82" s="307"/>
      <c r="G82" s="308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100.46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9" t="s">
        <v>111</v>
      </c>
      <c r="D84" s="310"/>
      <c r="E84" s="310"/>
      <c r="F84" s="310"/>
      <c r="G84" s="310"/>
      <c r="H84" s="311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9" t="s">
        <v>112</v>
      </c>
      <c r="D85" s="310"/>
      <c r="E85" s="310"/>
      <c r="F85" s="310"/>
      <c r="G85" s="310"/>
      <c r="H85" s="311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2" t="s">
        <v>60</v>
      </c>
      <c r="G89" s="314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0.312</v>
      </c>
      <c r="E91" s="133">
        <f>IF(ISBLANK(D91),"-",$D$101/$D$98*D91)</f>
        <v>0.35026846431228381</v>
      </c>
      <c r="F91" s="132">
        <v>0.27</v>
      </c>
      <c r="G91" s="134">
        <f>IF(ISBLANK(F91),"-",$D$101/$F$98*F91)</f>
        <v>0.34980089419473026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0.314</v>
      </c>
      <c r="E92" s="138">
        <f>IF(ISBLANK(D92),"-",$D$101/$D$98*D92)</f>
        <v>0.35251377498095227</v>
      </c>
      <c r="F92" s="137">
        <v>0.26600000000000001</v>
      </c>
      <c r="G92" s="139">
        <f>IF(ISBLANK(F92),"-",$D$101/$F$98*F92)</f>
        <v>0.34461865872517866</v>
      </c>
      <c r="I92" s="316">
        <f>ABS((F96/D96*D95)-F95)/D95</f>
        <v>1.334986402175624E-2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0.314</v>
      </c>
      <c r="E93" s="138">
        <f>IF(ISBLANK(D93),"-",$D$101/$D$98*D93)</f>
        <v>0.35251377498095227</v>
      </c>
      <c r="F93" s="137">
        <v>0.26600000000000001</v>
      </c>
      <c r="G93" s="139">
        <f>IF(ISBLANK(F93),"-",$D$101/$F$98*F93)</f>
        <v>0.34461865872517866</v>
      </c>
      <c r="I93" s="316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0.3133333333333333</v>
      </c>
      <c r="E95" s="148">
        <f>AVERAGE(E91:E94)</f>
        <v>0.3517653380913961</v>
      </c>
      <c r="F95" s="211">
        <f>AVERAGE(F91:F94)</f>
        <v>0.26733333333333337</v>
      </c>
      <c r="G95" s="212">
        <f>AVERAGE(G91:G94)</f>
        <v>0.34634607054836253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10.64</v>
      </c>
      <c r="E96" s="140"/>
      <c r="F96" s="152">
        <v>9.2200000000000006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10.64</v>
      </c>
      <c r="E97" s="155"/>
      <c r="F97" s="154">
        <f>F96*$B$87</f>
        <v>9.2200000000000006</v>
      </c>
    </row>
    <row r="98" spans="1:10" ht="19.5" customHeight="1" x14ac:dyDescent="0.3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10.688943999999999</v>
      </c>
      <c r="E98" s="158"/>
      <c r="F98" s="157">
        <f>F97*$B$83/100</f>
        <v>9.2624120000000012</v>
      </c>
    </row>
    <row r="99" spans="1:10" ht="19.5" customHeight="1" x14ac:dyDescent="0.3">
      <c r="A99" s="317" t="s">
        <v>78</v>
      </c>
      <c r="B99" s="331"/>
      <c r="C99" s="215" t="s">
        <v>116</v>
      </c>
      <c r="D99" s="219">
        <f>D98/$B$98</f>
        <v>1.0688943999999999E-2</v>
      </c>
      <c r="E99" s="158"/>
      <c r="F99" s="161">
        <f>F98/$B$98</f>
        <v>9.2624120000000011E-3</v>
      </c>
      <c r="G99" s="220"/>
      <c r="H99" s="150"/>
    </row>
    <row r="100" spans="1:10" ht="19.5" customHeight="1" x14ac:dyDescent="0.3">
      <c r="A100" s="319"/>
      <c r="B100" s="332"/>
      <c r="C100" s="215" t="s">
        <v>80</v>
      </c>
      <c r="D100" s="221">
        <f>$B$56/$B$116</f>
        <v>1.2E-2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12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12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0.34905570431987937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1.0354628634016101E-2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5</v>
      </c>
      <c r="C108" s="273">
        <v>1</v>
      </c>
      <c r="D108" s="284">
        <v>0.316</v>
      </c>
      <c r="E108" s="250">
        <f t="shared" ref="E108:E113" si="1">IF(ISBLANK(D108),"-",D108/$D$103*$D$100*$B$116)</f>
        <v>108.63595561025298</v>
      </c>
      <c r="F108" s="274">
        <f t="shared" ref="F108:F113" si="2">IF(ISBLANK(D108), "-", (E108/$B$56)*100)</f>
        <v>90.529963008544144</v>
      </c>
    </row>
    <row r="109" spans="1:10" ht="26.25" customHeight="1" x14ac:dyDescent="0.4">
      <c r="A109" s="124" t="s">
        <v>95</v>
      </c>
      <c r="B109" s="125">
        <v>50</v>
      </c>
      <c r="C109" s="271">
        <v>2</v>
      </c>
      <c r="D109" s="285">
        <v>0.318</v>
      </c>
      <c r="E109" s="251">
        <f t="shared" si="1"/>
        <v>109.32352494955836</v>
      </c>
      <c r="F109" s="275">
        <f t="shared" si="2"/>
        <v>91.102937457965311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5">
        <v>0.28000000000000003</v>
      </c>
      <c r="E110" s="251">
        <f t="shared" si="1"/>
        <v>96.259707502755802</v>
      </c>
      <c r="F110" s="275">
        <f t="shared" si="2"/>
        <v>80.216422918963175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5">
        <v>0.316</v>
      </c>
      <c r="E111" s="251">
        <f t="shared" si="1"/>
        <v>108.63595561025298</v>
      </c>
      <c r="F111" s="275">
        <f t="shared" si="2"/>
        <v>90.529963008544144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5">
        <v>0.314</v>
      </c>
      <c r="E112" s="251">
        <f t="shared" si="1"/>
        <v>107.94838627094758</v>
      </c>
      <c r="F112" s="275">
        <f t="shared" si="2"/>
        <v>89.956988559122991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6">
        <v>0.317</v>
      </c>
      <c r="E113" s="252">
        <f t="shared" si="1"/>
        <v>108.97974027990566</v>
      </c>
      <c r="F113" s="276">
        <f t="shared" si="2"/>
        <v>90.816450233254713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106.63054503727888</v>
      </c>
      <c r="F115" s="278">
        <f>AVERAGE(F108:F113)</f>
        <v>88.858787531065744</v>
      </c>
    </row>
    <row r="116" spans="1:10" ht="27" customHeight="1" x14ac:dyDescent="0.4">
      <c r="A116" s="124" t="s">
        <v>103</v>
      </c>
      <c r="B116" s="156">
        <f>(B115/B114)*(B113/B112)*(B111/B110)*(B109/B108)*B107</f>
        <v>10000</v>
      </c>
      <c r="C116" s="234"/>
      <c r="D116" s="258" t="s">
        <v>84</v>
      </c>
      <c r="E116" s="256">
        <f>STDEV(E108:E113)/E115</f>
        <v>4.7838842265566846E-2</v>
      </c>
      <c r="F116" s="235">
        <f>STDEV(F108:F113)/F115</f>
        <v>4.7838842265566818E-2</v>
      </c>
      <c r="I116" s="98"/>
    </row>
    <row r="117" spans="1:10" ht="27" customHeight="1" x14ac:dyDescent="0.4">
      <c r="A117" s="317" t="s">
        <v>78</v>
      </c>
      <c r="B117" s="31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9"/>
      <c r="B118" s="320"/>
      <c r="C118" s="98"/>
      <c r="D118" s="260"/>
      <c r="E118" s="297" t="s">
        <v>123</v>
      </c>
      <c r="F118" s="298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96.259707502755802</v>
      </c>
      <c r="F119" s="279">
        <f>MIN(F108:F113)</f>
        <v>80.216422918963175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109.32352494955836</v>
      </c>
      <c r="F120" s="280">
        <f>MAX(F108:F113)</f>
        <v>91.102937457965311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9" t="str">
        <f>B26</f>
        <v>LUMEFANTRINE</v>
      </c>
      <c r="D124" s="329"/>
      <c r="E124" s="198" t="s">
        <v>127</v>
      </c>
      <c r="F124" s="198"/>
      <c r="G124" s="281">
        <f>F115</f>
        <v>88.858787531065744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80.216422918963175</v>
      </c>
      <c r="E125" s="209" t="s">
        <v>130</v>
      </c>
      <c r="F125" s="281">
        <f>MAX(F108:F113)</f>
        <v>91.102937457965311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30" t="s">
        <v>26</v>
      </c>
      <c r="C127" s="330"/>
      <c r="E127" s="204" t="s">
        <v>27</v>
      </c>
      <c r="F127" s="239"/>
      <c r="G127" s="330" t="s">
        <v>28</v>
      </c>
      <c r="H127" s="330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2" workbookViewId="0">
      <selection activeCell="B22" sqref="B22"/>
    </sheetView>
  </sheetViews>
  <sheetFormatPr defaultRowHeight="13.5" x14ac:dyDescent="0.25"/>
  <cols>
    <col min="1" max="1" width="27.5703125" style="220" customWidth="1"/>
    <col min="2" max="2" width="20.42578125" style="220" customWidth="1"/>
    <col min="3" max="3" width="31.85546875" style="220" customWidth="1"/>
    <col min="4" max="4" width="25.85546875" style="220" customWidth="1"/>
    <col min="5" max="5" width="25.7109375" style="220" customWidth="1"/>
    <col min="6" max="6" width="23.140625" style="220" customWidth="1"/>
    <col min="7" max="7" width="28.42578125" style="220" customWidth="1"/>
    <col min="8" max="8" width="21.5703125" style="220" customWidth="1"/>
    <col min="9" max="9" width="9.140625" style="22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220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100.46</v>
      </c>
      <c r="C19" s="72"/>
      <c r="D19" s="72"/>
      <c r="E19" s="72"/>
    </row>
    <row r="20" spans="1:5" ht="16.5" customHeight="1" x14ac:dyDescent="0.3">
      <c r="A20" s="8" t="s">
        <v>8</v>
      </c>
      <c r="B20" s="12">
        <v>16.010000000000002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B20/5*4/10</f>
        <v>1.2808000000000002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668366013</v>
      </c>
      <c r="C24" s="18">
        <v>1894.4</v>
      </c>
      <c r="D24" s="19">
        <v>2.6</v>
      </c>
      <c r="E24" s="20">
        <v>6.6</v>
      </c>
    </row>
    <row r="25" spans="1:5" ht="16.5" customHeight="1" x14ac:dyDescent="0.3">
      <c r="A25" s="17">
        <v>2</v>
      </c>
      <c r="B25" s="18">
        <v>669156693</v>
      </c>
      <c r="C25" s="18">
        <v>1930.7</v>
      </c>
      <c r="D25" s="19">
        <v>2.6</v>
      </c>
      <c r="E25" s="19">
        <v>6.6</v>
      </c>
    </row>
    <row r="26" spans="1:5" ht="16.5" customHeight="1" x14ac:dyDescent="0.3">
      <c r="A26" s="17">
        <v>3</v>
      </c>
      <c r="B26" s="18">
        <v>669763776</v>
      </c>
      <c r="C26" s="18">
        <v>1915.6</v>
      </c>
      <c r="D26" s="19">
        <v>2.7</v>
      </c>
      <c r="E26" s="19">
        <v>6.6</v>
      </c>
    </row>
    <row r="27" spans="1:5" ht="16.5" customHeight="1" x14ac:dyDescent="0.3">
      <c r="A27" s="17">
        <v>4</v>
      </c>
      <c r="B27" s="18">
        <v>669240044</v>
      </c>
      <c r="C27" s="18">
        <v>1929.4</v>
      </c>
      <c r="D27" s="19">
        <v>2.7</v>
      </c>
      <c r="E27" s="19">
        <v>6.6</v>
      </c>
    </row>
    <row r="28" spans="1:5" ht="16.5" customHeight="1" x14ac:dyDescent="0.3">
      <c r="A28" s="17">
        <v>5</v>
      </c>
      <c r="B28" s="18">
        <v>671520957</v>
      </c>
      <c r="C28" s="18">
        <v>1881.4</v>
      </c>
      <c r="D28" s="19">
        <v>2.6</v>
      </c>
      <c r="E28" s="19">
        <v>6.6</v>
      </c>
    </row>
    <row r="29" spans="1:5" ht="16.5" customHeight="1" x14ac:dyDescent="0.3">
      <c r="A29" s="17">
        <v>6</v>
      </c>
      <c r="B29" s="21">
        <v>672011091</v>
      </c>
      <c r="C29" s="21">
        <v>1916.3</v>
      </c>
      <c r="D29" s="22">
        <v>2.6</v>
      </c>
      <c r="E29" s="22">
        <v>6.6</v>
      </c>
    </row>
    <row r="30" spans="1:5" ht="16.5" customHeight="1" x14ac:dyDescent="0.3">
      <c r="A30" s="23" t="s">
        <v>18</v>
      </c>
      <c r="B30" s="24">
        <f>AVERAGE(B24:B29)</f>
        <v>670009762.33333337</v>
      </c>
      <c r="C30" s="25">
        <f>AVERAGE(C24:C29)</f>
        <v>1911.3</v>
      </c>
      <c r="D30" s="26">
        <f>AVERAGE(D24:D29)</f>
        <v>2.6333333333333333</v>
      </c>
      <c r="E30" s="26">
        <f>AVERAGE(E24:E29)</f>
        <v>6.6000000000000005</v>
      </c>
    </row>
    <row r="31" spans="1:5" ht="16.5" customHeight="1" x14ac:dyDescent="0.3">
      <c r="A31" s="27" t="s">
        <v>19</v>
      </c>
      <c r="B31" s="28">
        <f>(STDEV(B24:B29)/B30)</f>
        <v>2.1495997092314039E-3</v>
      </c>
      <c r="C31" s="29"/>
      <c r="D31" s="29"/>
      <c r="E31" s="30"/>
    </row>
    <row r="32" spans="1:5" s="22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20" customFormat="1" ht="15.75" customHeight="1" x14ac:dyDescent="0.25">
      <c r="A33" s="72"/>
      <c r="B33" s="72"/>
      <c r="C33" s="72"/>
      <c r="D33" s="72"/>
      <c r="E33" s="72"/>
    </row>
    <row r="34" spans="1:5" s="22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135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220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220" customFormat="1" ht="15.75" customHeight="1" x14ac:dyDescent="0.25">
      <c r="A54" s="72"/>
      <c r="B54" s="72"/>
      <c r="C54" s="72"/>
      <c r="D54" s="72"/>
      <c r="E54" s="72"/>
    </row>
    <row r="55" spans="1:7" s="22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50"/>
      <c r="D58" s="43"/>
      <c r="F58" s="44"/>
      <c r="G58" s="44"/>
    </row>
    <row r="59" spans="1:7" ht="15" customHeight="1" x14ac:dyDescent="0.3">
      <c r="B59" s="288" t="s">
        <v>26</v>
      </c>
      <c r="C59" s="288"/>
      <c r="E59" s="283" t="s">
        <v>27</v>
      </c>
      <c r="F59" s="46"/>
      <c r="G59" s="283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artemether</vt:lpstr>
      <vt:lpstr>SST ARTEMETHER</vt:lpstr>
      <vt:lpstr>Uniformity</vt:lpstr>
      <vt:lpstr>lumefantrine</vt:lpstr>
      <vt:lpstr>SST LUMEFANTRINE</vt:lpstr>
      <vt:lpstr>artemether!Print_Area</vt:lpstr>
      <vt:lpstr>lumefantrine!Print_Area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2018-01-30T12:54:47Z</cp:lastPrinted>
  <dcterms:created xsi:type="dcterms:W3CDTF">2005-07-05T10:19:27Z</dcterms:created>
  <dcterms:modified xsi:type="dcterms:W3CDTF">2018-01-30T13:00:48Z</dcterms:modified>
</cp:coreProperties>
</file>