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Zidovudine" sheetId="6" r:id="rId1"/>
    <sheet name="SST Nevirapine" sheetId="7" r:id="rId2"/>
    <sheet name="SST Lamivudine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Lamivudine!$A$1:$I$130</definedName>
    <definedName name="_xlnm.Print_Area" localSheetId="5">Nevirapine!$A$1:$I$129</definedName>
    <definedName name="_xlnm.Print_Area" localSheetId="2">'SST Lamivudine'!$A$15:$H$61</definedName>
    <definedName name="_xlnm.Print_Area" localSheetId="1">'SST Nevirapine'!$A$15:$H$61</definedName>
    <definedName name="_xlnm.Print_Area" localSheetId="0">'SST Zidovudine'!$A$15:$H$61</definedName>
    <definedName name="_xlnm.Print_Area" localSheetId="3">Uniformity!$A$12:$I$54</definedName>
    <definedName name="_xlnm.Print_Area" localSheetId="6">Zidovudine!$A$1:$I$130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F51" i="7"/>
  <c r="D51" i="7"/>
  <c r="C51" i="7"/>
  <c r="B51" i="7"/>
  <c r="B52" i="7" s="1"/>
  <c r="B32" i="7"/>
  <c r="F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B31" i="6"/>
  <c r="F30" i="6"/>
  <c r="E30" i="6"/>
  <c r="D30" i="6"/>
  <c r="C30" i="6"/>
  <c r="B30" i="6"/>
  <c r="B21" i="6"/>
  <c r="C124" i="5" l="1"/>
  <c r="B116" i="5"/>
  <c r="D100" i="5" s="1"/>
  <c r="B98" i="5"/>
  <c r="F95" i="5"/>
  <c r="D95" i="5"/>
  <c r="I92" i="5" s="1"/>
  <c r="B87" i="5"/>
  <c r="D97" i="5" s="1"/>
  <c r="B83" i="5"/>
  <c r="C76" i="5"/>
  <c r="B68" i="5"/>
  <c r="C56" i="5"/>
  <c r="B55" i="5"/>
  <c r="B45" i="5"/>
  <c r="D48" i="5" s="1"/>
  <c r="D44" i="5"/>
  <c r="F42" i="5"/>
  <c r="D42" i="5"/>
  <c r="B34" i="5"/>
  <c r="F44" i="5" s="1"/>
  <c r="B30" i="5"/>
  <c r="C124" i="4"/>
  <c r="B116" i="4"/>
  <c r="D100" i="4"/>
  <c r="B98" i="4"/>
  <c r="F95" i="4"/>
  <c r="I92" i="4" s="1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D44" i="4" s="1"/>
  <c r="D45" i="4" s="1"/>
  <c r="B30" i="4"/>
  <c r="C124" i="3"/>
  <c r="B116" i="3"/>
  <c r="D100" i="3" s="1"/>
  <c r="B98" i="3"/>
  <c r="F95" i="3"/>
  <c r="D95" i="3"/>
  <c r="I92" i="3" s="1"/>
  <c r="B87" i="3"/>
  <c r="D97" i="3" s="1"/>
  <c r="B83" i="3"/>
  <c r="C76" i="3"/>
  <c r="B68" i="3"/>
  <c r="C56" i="3"/>
  <c r="B55" i="3"/>
  <c r="B45" i="3"/>
  <c r="D48" i="3" s="1"/>
  <c r="D44" i="3"/>
  <c r="F42" i="3"/>
  <c r="D42" i="3"/>
  <c r="I39" i="3" s="1"/>
  <c r="B34" i="3"/>
  <c r="F44" i="3" s="1"/>
  <c r="B30" i="3"/>
  <c r="D50" i="2"/>
  <c r="C49" i="2"/>
  <c r="B49" i="2"/>
  <c r="C46" i="2"/>
  <c r="B57" i="5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D101" i="4" l="1"/>
  <c r="D102" i="4" s="1"/>
  <c r="D97" i="4"/>
  <c r="D98" i="4" s="1"/>
  <c r="I39" i="4"/>
  <c r="D46" i="4"/>
  <c r="D101" i="3"/>
  <c r="F97" i="3"/>
  <c r="F98" i="3" s="1"/>
  <c r="D49" i="3"/>
  <c r="F45" i="3"/>
  <c r="F46" i="3" s="1"/>
  <c r="G38" i="3"/>
  <c r="D45" i="3"/>
  <c r="E40" i="3" s="1"/>
  <c r="D98" i="3"/>
  <c r="D99" i="3" s="1"/>
  <c r="F97" i="5"/>
  <c r="F98" i="5" s="1"/>
  <c r="F99" i="5" s="1"/>
  <c r="D101" i="5"/>
  <c r="E94" i="5" s="1"/>
  <c r="I39" i="5"/>
  <c r="D49" i="5"/>
  <c r="F45" i="5"/>
  <c r="F46" i="5" s="1"/>
  <c r="D45" i="5"/>
  <c r="E40" i="5" s="1"/>
  <c r="G38" i="5"/>
  <c r="D98" i="5"/>
  <c r="D99" i="5" s="1"/>
  <c r="D102" i="3"/>
  <c r="E93" i="3"/>
  <c r="D49" i="4"/>
  <c r="E40" i="4"/>
  <c r="E38" i="4"/>
  <c r="E41" i="4"/>
  <c r="E39" i="4"/>
  <c r="F98" i="4"/>
  <c r="F99" i="4" s="1"/>
  <c r="E39" i="3"/>
  <c r="B69" i="3"/>
  <c r="G93" i="4"/>
  <c r="E38" i="5"/>
  <c r="B69" i="5"/>
  <c r="C50" i="2"/>
  <c r="G41" i="3"/>
  <c r="F44" i="4"/>
  <c r="F45" i="4" s="1"/>
  <c r="F46" i="4" s="1"/>
  <c r="B57" i="4"/>
  <c r="B69" i="4" s="1"/>
  <c r="G40" i="3"/>
  <c r="G40" i="5"/>
  <c r="D24" i="2"/>
  <c r="D28" i="2"/>
  <c r="D32" i="2"/>
  <c r="D36" i="2"/>
  <c r="D40" i="2"/>
  <c r="D49" i="2"/>
  <c r="G39" i="3"/>
  <c r="B57" i="3"/>
  <c r="E39" i="5" l="1"/>
  <c r="D99" i="4"/>
  <c r="E91" i="4"/>
  <c r="E95" i="4" s="1"/>
  <c r="E93" i="4"/>
  <c r="E92" i="4"/>
  <c r="E94" i="4"/>
  <c r="G94" i="4"/>
  <c r="G41" i="4"/>
  <c r="G92" i="4"/>
  <c r="G40" i="4"/>
  <c r="G91" i="4"/>
  <c r="F99" i="3"/>
  <c r="G93" i="3"/>
  <c r="G94" i="3"/>
  <c r="E41" i="3"/>
  <c r="D46" i="3"/>
  <c r="E38" i="3"/>
  <c r="G42" i="3"/>
  <c r="G91" i="3"/>
  <c r="G92" i="3"/>
  <c r="E92" i="3"/>
  <c r="E94" i="3"/>
  <c r="E91" i="3"/>
  <c r="G91" i="5"/>
  <c r="D102" i="5"/>
  <c r="G94" i="5"/>
  <c r="G93" i="5"/>
  <c r="E93" i="5"/>
  <c r="G92" i="5"/>
  <c r="E92" i="5"/>
  <c r="G39" i="5"/>
  <c r="G41" i="5"/>
  <c r="E41" i="5"/>
  <c r="E42" i="5" s="1"/>
  <c r="D46" i="5"/>
  <c r="E91" i="5"/>
  <c r="E42" i="4"/>
  <c r="G39" i="4"/>
  <c r="G38" i="4"/>
  <c r="D105" i="4" l="1"/>
  <c r="D50" i="4"/>
  <c r="G69" i="4" s="1"/>
  <c r="H69" i="4" s="1"/>
  <c r="D103" i="4"/>
  <c r="E110" i="4" s="1"/>
  <c r="F110" i="4" s="1"/>
  <c r="G95" i="4"/>
  <c r="G42" i="4"/>
  <c r="D103" i="3"/>
  <c r="E111" i="3" s="1"/>
  <c r="F111" i="3" s="1"/>
  <c r="G95" i="3"/>
  <c r="E95" i="3"/>
  <c r="D50" i="3"/>
  <c r="D51" i="3" s="1"/>
  <c r="D52" i="3"/>
  <c r="E42" i="3"/>
  <c r="D105" i="3"/>
  <c r="G95" i="5"/>
  <c r="D103" i="5"/>
  <c r="D104" i="5" s="1"/>
  <c r="G42" i="5"/>
  <c r="D50" i="5"/>
  <c r="G70" i="5" s="1"/>
  <c r="H70" i="5" s="1"/>
  <c r="D52" i="5"/>
  <c r="D105" i="5"/>
  <c r="E95" i="5"/>
  <c r="D51" i="5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4"/>
  <c r="F113" i="4" s="1"/>
  <c r="D104" i="4"/>
  <c r="D52" i="4"/>
  <c r="E111" i="4" l="1"/>
  <c r="F111" i="4" s="1"/>
  <c r="E112" i="4"/>
  <c r="F112" i="4" s="1"/>
  <c r="E108" i="4"/>
  <c r="E109" i="4"/>
  <c r="F109" i="4" s="1"/>
  <c r="G70" i="4"/>
  <c r="H70" i="4" s="1"/>
  <c r="G71" i="4"/>
  <c r="H71" i="4" s="1"/>
  <c r="G61" i="4"/>
  <c r="H61" i="4" s="1"/>
  <c r="G68" i="4"/>
  <c r="H68" i="4" s="1"/>
  <c r="D51" i="4"/>
  <c r="G63" i="4"/>
  <c r="H63" i="4" s="1"/>
  <c r="G62" i="4"/>
  <c r="H62" i="4" s="1"/>
  <c r="G67" i="4"/>
  <c r="H67" i="4" s="1"/>
  <c r="G64" i="4"/>
  <c r="H64" i="4" s="1"/>
  <c r="G66" i="4"/>
  <c r="H66" i="4" s="1"/>
  <c r="G65" i="4"/>
  <c r="H65" i="4" s="1"/>
  <c r="G60" i="4"/>
  <c r="H60" i="4" s="1"/>
  <c r="D104" i="3"/>
  <c r="E112" i="3"/>
  <c r="F112" i="3" s="1"/>
  <c r="E113" i="3"/>
  <c r="F113" i="3" s="1"/>
  <c r="E108" i="3"/>
  <c r="F108" i="3" s="1"/>
  <c r="E109" i="3"/>
  <c r="F109" i="3" s="1"/>
  <c r="E110" i="3"/>
  <c r="F110" i="3" s="1"/>
  <c r="E109" i="5"/>
  <c r="F109" i="5" s="1"/>
  <c r="E111" i="5"/>
  <c r="F111" i="5" s="1"/>
  <c r="E108" i="5"/>
  <c r="E110" i="5"/>
  <c r="F110" i="5" s="1"/>
  <c r="E112" i="5"/>
  <c r="F112" i="5" s="1"/>
  <c r="E113" i="5"/>
  <c r="F113" i="5" s="1"/>
  <c r="G60" i="5"/>
  <c r="G69" i="5"/>
  <c r="H69" i="5" s="1"/>
  <c r="G63" i="5"/>
  <c r="H63" i="5" s="1"/>
  <c r="G62" i="5"/>
  <c r="H62" i="5" s="1"/>
  <c r="G71" i="5"/>
  <c r="H71" i="5" s="1"/>
  <c r="G65" i="5"/>
  <c r="H65" i="5" s="1"/>
  <c r="G64" i="5"/>
  <c r="H64" i="5" s="1"/>
  <c r="G68" i="5"/>
  <c r="H68" i="5" s="1"/>
  <c r="G67" i="5"/>
  <c r="H67" i="5" s="1"/>
  <c r="G66" i="5"/>
  <c r="H66" i="5" s="1"/>
  <c r="G61" i="5"/>
  <c r="H61" i="5" s="1"/>
  <c r="F108" i="5"/>
  <c r="G74" i="3"/>
  <c r="G72" i="3"/>
  <c r="G73" i="3" s="1"/>
  <c r="H60" i="3"/>
  <c r="E115" i="4" l="1"/>
  <c r="E116" i="4" s="1"/>
  <c r="E117" i="4"/>
  <c r="E120" i="4"/>
  <c r="E119" i="4"/>
  <c r="F108" i="4"/>
  <c r="F125" i="4" s="1"/>
  <c r="G72" i="4"/>
  <c r="G73" i="4" s="1"/>
  <c r="G74" i="4"/>
  <c r="E119" i="3"/>
  <c r="E115" i="3"/>
  <c r="E116" i="3" s="1"/>
  <c r="E120" i="3"/>
  <c r="E117" i="3"/>
  <c r="E115" i="5"/>
  <c r="E116" i="5" s="1"/>
  <c r="E120" i="5"/>
  <c r="E119" i="5"/>
  <c r="E117" i="5"/>
  <c r="G72" i="5"/>
  <c r="G73" i="5" s="1"/>
  <c r="H60" i="5"/>
  <c r="H74" i="5" s="1"/>
  <c r="G74" i="5"/>
  <c r="H74" i="3"/>
  <c r="H72" i="3"/>
  <c r="F125" i="5"/>
  <c r="F120" i="5"/>
  <c r="F117" i="5"/>
  <c r="D125" i="5"/>
  <c r="F115" i="5"/>
  <c r="F119" i="5"/>
  <c r="F125" i="3"/>
  <c r="F120" i="3"/>
  <c r="F117" i="3"/>
  <c r="D125" i="3"/>
  <c r="F115" i="3"/>
  <c r="F119" i="3"/>
  <c r="H74" i="4"/>
  <c r="H72" i="4"/>
  <c r="D125" i="4" l="1"/>
  <c r="F119" i="4"/>
  <c r="F117" i="4"/>
  <c r="F120" i="4"/>
  <c r="F115" i="4"/>
  <c r="G124" i="4" s="1"/>
  <c r="H72" i="5"/>
  <c r="G76" i="5" s="1"/>
  <c r="G76" i="4"/>
  <c r="H73" i="4"/>
  <c r="G124" i="5"/>
  <c r="F116" i="5"/>
  <c r="G76" i="3"/>
  <c r="H73" i="3"/>
  <c r="G124" i="3"/>
  <c r="F116" i="3"/>
  <c r="F116" i="4" l="1"/>
  <c r="H73" i="5"/>
</calcChain>
</file>

<file path=xl/sharedStrings.xml><?xml version="1.0" encoding="utf-8"?>
<sst xmlns="http://schemas.openxmlformats.org/spreadsheetml/2006/main" count="676" uniqueCount="145">
  <si>
    <t>HPLC System Suitability Report</t>
  </si>
  <si>
    <t>Analysis Data</t>
  </si>
  <si>
    <t>Assay</t>
  </si>
  <si>
    <t>Sample(s)</t>
  </si>
  <si>
    <t>Reference Substance:</t>
  </si>
  <si>
    <t>LAMIVUDINE/NEVIRAPINE/ZIDOVUDINE DISPERSIBLE TABLETS  30 MG/50 MG/60 MG</t>
  </si>
  <si>
    <t>% age Purity:</t>
  </si>
  <si>
    <t>NDQD201708115</t>
  </si>
  <si>
    <t>Weight (mg):</t>
  </si>
  <si>
    <t xml:space="preserve">Lamivudine 30 mg, Zidovudine 60 mg, Nevirapine 50mg  </t>
  </si>
  <si>
    <t>Standard Conc (mg/mL):</t>
  </si>
  <si>
    <t>Lamivudine 30mg, Nevirapine 50mg, Zidovudine 60mg</t>
  </si>
  <si>
    <t>2017-08-24 13:39:41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</si>
  <si>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</si>
  <si>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</si>
  <si>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</si>
  <si>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</si>
  <si>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</si>
  <si>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</si>
  <si>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</si>
  <si>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</si>
  <si>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</si>
  <si>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</si>
  <si>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</si>
  <si>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</si>
  <si>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</si>
  <si>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</si>
  <si>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</si>
  <si>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</si>
  <si>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</si>
  <si>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</si>
  <si>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</si>
  <si>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</si>
  <si>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</si>
  <si>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</si>
  <si>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</si>
  <si>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</si>
  <si>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</si>
  <si>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</si>
  <si>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</si>
  <si>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</si>
  <si>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</si>
  <si>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</si>
  <si>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</si>
  <si>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</si>
  <si>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</si>
  <si>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</si>
  <si>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</si>
  <si>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</si>
  <si>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</si>
  <si>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</si>
  <si>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</si>
  <si>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</si>
  <si>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</si>
  <si>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</si>
  <si>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</si>
  <si>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</si>
  <si>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</si>
  <si>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</si>
  <si>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</si>
  <si>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</si>
  <si>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</si>
  <si>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</si>
  <si>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</si>
  <si>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</si>
  <si>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</si>
  <si>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</si>
  <si>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</si>
  <si>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</si>
  <si>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</si>
  <si>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</si>
  <si>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</si>
  <si>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</si>
  <si>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</si>
  <si>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</si>
  <si>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</si>
  <si>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</si>
  <si>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</si>
  <si>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</si>
  <si>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</si>
  <si>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</si>
  <si>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</si>
  <si>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</si>
  <si>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</si>
  <si>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</si>
  <si>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</si>
  <si>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</si>
  <si>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</si>
  <si>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</si>
  <si>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</si>
  <si>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</si>
  <si>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</si>
  <si>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</si>
  <si>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</si>
  <si>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</si>
  <si>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</si>
  <si>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</si>
  <si>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</si>
  <si>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</si>
  <si>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</si>
  <si>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</si>
  <si>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</si>
  <si>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</si>
  <si>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</si>
  <si>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</si>
  <si>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</si>
  <si>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</si>
  <si>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</si>
  <si>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</si>
  <si>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</si>
  <si>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</si>
  <si>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</si>
  <si>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</si>
  <si>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</si>
  <si>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</si>
  <si>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</si>
  <si>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</si>
  <si>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</si>
  <si>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</si>
  <si>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</si>
  <si>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</si>
  <si>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</si>
  <si>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</si>
  <si>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</si>
  <si>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</si>
  <si>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</si>
  <si>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</si>
  <si>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</si>
  <si>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</si>
  <si>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</si>
  <si>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</si>
  <si>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</si>
  <si>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Z1-3</t>
  </si>
  <si>
    <t>Lamivudine</t>
  </si>
  <si>
    <t>L3-10</t>
  </si>
  <si>
    <t xml:space="preserve"> Nevirapine</t>
  </si>
  <si>
    <t>DBH027-C16A-160912</t>
  </si>
  <si>
    <t>LAMIVUDINE, ZIDOVUDINE AND NEVIRAPINE DISPERSIBLE TABLETS</t>
  </si>
  <si>
    <t>Resolution(USP)</t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</si>
  <si>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</si>
  <si>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</si>
  <si>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RUTTO KENNEDY</t>
  </si>
  <si>
    <t>1ST SEPTEMBER 2017</t>
  </si>
  <si>
    <t>Nevirapine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</si>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</sst>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A31" sqref="A3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137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131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99.65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29.6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29.6/20*4/20</f>
        <v>0.29599999999999999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138</v>
      </c>
      <c r="F23" s="625" t="s">
        <v>17</v>
      </c>
    </row>
    <row r="24" spans="1:6" ht="16.5" customHeight="1" x14ac:dyDescent="0.3">
      <c r="A24" s="627">
        <v>1</v>
      </c>
      <c r="B24" s="628">
        <v>67003804</v>
      </c>
      <c r="C24" s="628">
        <v>8793.2999999999993</v>
      </c>
      <c r="D24" s="629">
        <v>1.1000000000000001</v>
      </c>
      <c r="E24" s="629">
        <v>8.6999999999999993</v>
      </c>
      <c r="F24" s="630">
        <v>5.7</v>
      </c>
    </row>
    <row r="25" spans="1:6" ht="16.5" customHeight="1" x14ac:dyDescent="0.3">
      <c r="A25" s="627">
        <v>2</v>
      </c>
      <c r="B25" s="628">
        <v>66917929</v>
      </c>
      <c r="C25" s="628">
        <v>8809.2999999999993</v>
      </c>
      <c r="D25" s="629">
        <v>1.1000000000000001</v>
      </c>
      <c r="E25" s="629">
        <v>8.6999999999999993</v>
      </c>
      <c r="F25" s="629">
        <v>5.7</v>
      </c>
    </row>
    <row r="26" spans="1:6" ht="16.5" customHeight="1" x14ac:dyDescent="0.3">
      <c r="A26" s="627">
        <v>3</v>
      </c>
      <c r="B26" s="628">
        <v>66974919</v>
      </c>
      <c r="C26" s="628">
        <v>8778.2999999999993</v>
      </c>
      <c r="D26" s="629">
        <v>1.1000000000000001</v>
      </c>
      <c r="E26" s="629">
        <v>8.6999999999999993</v>
      </c>
      <c r="F26" s="629">
        <v>5.7</v>
      </c>
    </row>
    <row r="27" spans="1:6" ht="16.5" customHeight="1" x14ac:dyDescent="0.3">
      <c r="A27" s="627">
        <v>4</v>
      </c>
      <c r="B27" s="628">
        <v>67001546</v>
      </c>
      <c r="C27" s="628">
        <v>8787.7999999999993</v>
      </c>
      <c r="D27" s="629">
        <v>1.1000000000000001</v>
      </c>
      <c r="E27" s="629">
        <v>8.6</v>
      </c>
      <c r="F27" s="629">
        <v>5.7</v>
      </c>
    </row>
    <row r="28" spans="1:6" ht="16.5" customHeight="1" x14ac:dyDescent="0.3">
      <c r="A28" s="627">
        <v>5</v>
      </c>
      <c r="B28" s="628">
        <v>66815267</v>
      </c>
      <c r="C28" s="628">
        <v>8735.9</v>
      </c>
      <c r="D28" s="629">
        <v>1.1000000000000001</v>
      </c>
      <c r="E28" s="629">
        <v>8.6</v>
      </c>
      <c r="F28" s="629">
        <v>5.7</v>
      </c>
    </row>
    <row r="29" spans="1:6" ht="16.5" customHeight="1" x14ac:dyDescent="0.3">
      <c r="A29" s="627">
        <v>6</v>
      </c>
      <c r="B29" s="631">
        <v>67001712</v>
      </c>
      <c r="C29" s="631">
        <v>8714.5</v>
      </c>
      <c r="D29" s="632">
        <v>1.1000000000000001</v>
      </c>
      <c r="E29" s="632">
        <v>8.6</v>
      </c>
      <c r="F29" s="632">
        <v>5.7</v>
      </c>
    </row>
    <row r="30" spans="1:6" ht="16.5" customHeight="1" x14ac:dyDescent="0.3">
      <c r="A30" s="633" t="s">
        <v>18</v>
      </c>
      <c r="B30" s="634">
        <f>AVERAGE(B24:B29)</f>
        <v>66952529.5</v>
      </c>
      <c r="C30" s="635">
        <f>AVERAGE(C24:C29)</f>
        <v>8769.85</v>
      </c>
      <c r="D30" s="636">
        <f>AVERAGE(D24:D29)</f>
        <v>1.0999999999999999</v>
      </c>
      <c r="E30" s="636">
        <f>AVERAGE(E24:E29)</f>
        <v>8.65</v>
      </c>
      <c r="F30" s="636">
        <f>AVERAGE(F24:F29)</f>
        <v>5.7</v>
      </c>
    </row>
    <row r="31" spans="1:6" ht="16.5" customHeight="1" x14ac:dyDescent="0.3">
      <c r="A31" s="637" t="s">
        <v>19</v>
      </c>
      <c r="B31" s="638">
        <f>(STDEV(B24:B29)/B30)</f>
        <v>1.1175067148189713E-3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23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 t="s">
        <v>139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138</v>
      </c>
      <c r="F44" s="625" t="s">
        <v>17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21" t="s">
        <v>140</v>
      </c>
      <c r="D58" s="649"/>
      <c r="E58" s="650"/>
      <c r="G58" s="651"/>
      <c r="H58" s="651"/>
    </row>
    <row r="59" spans="1:8" ht="15" customHeight="1" x14ac:dyDescent="0.3">
      <c r="B59" s="659" t="s">
        <v>26</v>
      </c>
      <c r="C59" s="659"/>
      <c r="F59" s="652" t="s">
        <v>27</v>
      </c>
      <c r="G59" s="653"/>
      <c r="H59" s="652" t="s">
        <v>28</v>
      </c>
    </row>
    <row r="60" spans="1:8" ht="15" customHeight="1" x14ac:dyDescent="0.3">
      <c r="A60" s="654" t="s">
        <v>29</v>
      </c>
      <c r="B60" s="655" t="s">
        <v>141</v>
      </c>
      <c r="C60" s="655"/>
      <c r="F60" s="655" t="s">
        <v>142</v>
      </c>
      <c r="H60" s="655"/>
    </row>
    <row r="61" spans="1:8" ht="15" customHeight="1" x14ac:dyDescent="0.3">
      <c r="A61" s="654" t="s">
        <v>30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C28" sqref="C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137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143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99.7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19.04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3">
        <f>19.04/20*4/20</f>
        <v>0.19039999999999999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138</v>
      </c>
      <c r="F23" s="625" t="s">
        <v>17</v>
      </c>
    </row>
    <row r="24" spans="1:6" ht="16.5" customHeight="1" x14ac:dyDescent="0.3">
      <c r="A24" s="627">
        <v>1</v>
      </c>
      <c r="B24" s="628">
        <v>32025323</v>
      </c>
      <c r="C24" s="628">
        <v>8990.6</v>
      </c>
      <c r="D24" s="629">
        <v>1</v>
      </c>
      <c r="E24" s="629">
        <v>13.8</v>
      </c>
      <c r="F24" s="630">
        <v>10.3</v>
      </c>
    </row>
    <row r="25" spans="1:6" ht="16.5" customHeight="1" x14ac:dyDescent="0.3">
      <c r="A25" s="627">
        <v>2</v>
      </c>
      <c r="B25" s="628">
        <v>31978064</v>
      </c>
      <c r="C25" s="628">
        <v>8990.5</v>
      </c>
      <c r="D25" s="629">
        <v>1</v>
      </c>
      <c r="E25" s="629">
        <v>13.8</v>
      </c>
      <c r="F25" s="629">
        <v>10.4</v>
      </c>
    </row>
    <row r="26" spans="1:6" ht="16.5" customHeight="1" x14ac:dyDescent="0.3">
      <c r="A26" s="627">
        <v>3</v>
      </c>
      <c r="B26" s="628">
        <v>32006635</v>
      </c>
      <c r="C26" s="628">
        <v>8991.2000000000007</v>
      </c>
      <c r="D26" s="629">
        <v>1</v>
      </c>
      <c r="E26" s="629">
        <v>13.8</v>
      </c>
      <c r="F26" s="629">
        <v>10.4</v>
      </c>
    </row>
    <row r="27" spans="1:6" ht="16.5" customHeight="1" x14ac:dyDescent="0.3">
      <c r="A27" s="627">
        <v>4</v>
      </c>
      <c r="B27" s="628">
        <v>32017733</v>
      </c>
      <c r="C27" s="628">
        <v>8971.6</v>
      </c>
      <c r="D27" s="629">
        <v>1</v>
      </c>
      <c r="E27" s="629">
        <v>13.8</v>
      </c>
      <c r="F27" s="629">
        <v>10.4</v>
      </c>
    </row>
    <row r="28" spans="1:6" ht="16.5" customHeight="1" x14ac:dyDescent="0.3">
      <c r="A28" s="627">
        <v>5</v>
      </c>
      <c r="B28" s="628">
        <v>31924453</v>
      </c>
      <c r="C28" s="628">
        <v>8966.6</v>
      </c>
      <c r="D28" s="629">
        <v>1</v>
      </c>
      <c r="E28" s="629">
        <v>13.8</v>
      </c>
      <c r="F28" s="629">
        <v>10.4</v>
      </c>
    </row>
    <row r="29" spans="1:6" ht="16.5" customHeight="1" x14ac:dyDescent="0.3">
      <c r="A29" s="627">
        <v>6</v>
      </c>
      <c r="B29" s="631">
        <v>32019642</v>
      </c>
      <c r="C29" s="631">
        <v>8970.2000000000007</v>
      </c>
      <c r="D29" s="632">
        <v>1</v>
      </c>
      <c r="E29" s="632">
        <v>13.8</v>
      </c>
      <c r="F29" s="632">
        <v>10.4</v>
      </c>
    </row>
    <row r="30" spans="1:6" ht="16.5" customHeight="1" x14ac:dyDescent="0.3">
      <c r="A30" s="633" t="s">
        <v>18</v>
      </c>
      <c r="B30" s="634">
        <f>AVERAGE(B24:B29)</f>
        <v>31995308.333333332</v>
      </c>
      <c r="C30" s="635">
        <f>AVERAGE(C24:C29)</f>
        <v>8980.1166666666668</v>
      </c>
      <c r="D30" s="636">
        <f>AVERAGE(D24:D29)</f>
        <v>1</v>
      </c>
      <c r="E30" s="636">
        <v>13.8</v>
      </c>
      <c r="F30" s="636">
        <f>AVERAGE(F24:F29)</f>
        <v>10.383333333333333</v>
      </c>
    </row>
    <row r="31" spans="1:6" ht="16.5" customHeight="1" x14ac:dyDescent="0.3">
      <c r="A31" s="637" t="s">
        <v>19</v>
      </c>
      <c r="B31" s="638">
        <f>(STDEV(B24:B29)/B30)</f>
        <v>1.2057961087663565E-3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23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 t="s">
        <v>139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138</v>
      </c>
      <c r="F44" s="625" t="s">
        <v>17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21" t="s">
        <v>140</v>
      </c>
      <c r="D58" s="649"/>
      <c r="E58" s="650"/>
      <c r="G58" s="651"/>
      <c r="H58" s="651"/>
    </row>
    <row r="59" spans="1:8" ht="15" customHeight="1" x14ac:dyDescent="0.3">
      <c r="B59" s="659" t="s">
        <v>26</v>
      </c>
      <c r="C59" s="659"/>
      <c r="F59" s="652" t="s">
        <v>27</v>
      </c>
      <c r="G59" s="653"/>
      <c r="H59" s="652" t="s">
        <v>28</v>
      </c>
    </row>
    <row r="60" spans="1:8" ht="15" customHeight="1" x14ac:dyDescent="0.3">
      <c r="A60" s="654" t="s">
        <v>29</v>
      </c>
      <c r="B60" s="655" t="s">
        <v>141</v>
      </c>
      <c r="C60" s="655"/>
      <c r="F60" s="655" t="s">
        <v>142</v>
      </c>
      <c r="H60" s="655"/>
    </row>
    <row r="61" spans="1:8" ht="15" customHeight="1" x14ac:dyDescent="0.3">
      <c r="A61" s="654" t="s">
        <v>30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8" sqref="C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1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137</v>
      </c>
      <c r="D17" s="620"/>
      <c r="E17" s="621"/>
    </row>
    <row r="18" spans="1:5" ht="16.5" customHeight="1" x14ac:dyDescent="0.3">
      <c r="A18" s="622" t="s">
        <v>4</v>
      </c>
      <c r="B18" s="623" t="s">
        <v>133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14.63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14.63/20*4/20</f>
        <v>0.14630000000000001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37564202</v>
      </c>
      <c r="C24" s="628">
        <v>7643.7</v>
      </c>
      <c r="D24" s="629">
        <v>1.1000000000000001</v>
      </c>
      <c r="E24" s="630">
        <v>3.9</v>
      </c>
    </row>
    <row r="25" spans="1:5" ht="16.5" customHeight="1" x14ac:dyDescent="0.3">
      <c r="A25" s="627">
        <v>2</v>
      </c>
      <c r="B25" s="628">
        <v>37515187</v>
      </c>
      <c r="C25" s="628">
        <v>7668.1</v>
      </c>
      <c r="D25" s="629">
        <v>1.1000000000000001</v>
      </c>
      <c r="E25" s="629">
        <v>3.9</v>
      </c>
    </row>
    <row r="26" spans="1:5" ht="16.5" customHeight="1" x14ac:dyDescent="0.3">
      <c r="A26" s="627">
        <v>3</v>
      </c>
      <c r="B26" s="628">
        <v>37550583</v>
      </c>
      <c r="C26" s="628">
        <v>7652.1</v>
      </c>
      <c r="D26" s="629">
        <v>1.1000000000000001</v>
      </c>
      <c r="E26" s="629">
        <v>3.9</v>
      </c>
    </row>
    <row r="27" spans="1:5" ht="16.5" customHeight="1" x14ac:dyDescent="0.3">
      <c r="A27" s="627">
        <v>4</v>
      </c>
      <c r="B27" s="628">
        <v>37559317</v>
      </c>
      <c r="C27" s="628">
        <v>7644.9</v>
      </c>
      <c r="D27" s="629">
        <v>1.1000000000000001</v>
      </c>
      <c r="E27" s="629">
        <v>3.9</v>
      </c>
    </row>
    <row r="28" spans="1:5" ht="16.5" customHeight="1" x14ac:dyDescent="0.3">
      <c r="A28" s="627">
        <v>5</v>
      </c>
      <c r="B28" s="628">
        <v>37452675</v>
      </c>
      <c r="C28" s="628">
        <v>7607</v>
      </c>
      <c r="D28" s="629">
        <v>1.1000000000000001</v>
      </c>
      <c r="E28" s="629">
        <v>3.9</v>
      </c>
    </row>
    <row r="29" spans="1:5" ht="16.5" customHeight="1" x14ac:dyDescent="0.3">
      <c r="A29" s="627">
        <v>6</v>
      </c>
      <c r="B29" s="631">
        <v>37558585</v>
      </c>
      <c r="C29" s="631">
        <v>7598.7</v>
      </c>
      <c r="D29" s="632">
        <v>1.1000000000000001</v>
      </c>
      <c r="E29" s="632">
        <v>3.9</v>
      </c>
    </row>
    <row r="30" spans="1:5" ht="16.5" customHeight="1" x14ac:dyDescent="0.3">
      <c r="A30" s="633" t="s">
        <v>18</v>
      </c>
      <c r="B30" s="634">
        <f>AVERAGE(B24:B29)</f>
        <v>37533424.833333336</v>
      </c>
      <c r="C30" s="635">
        <f>AVERAGE(C24:C29)</f>
        <v>7635.75</v>
      </c>
      <c r="D30" s="636">
        <f>AVERAGE(D24:D29)</f>
        <v>1.0999999999999999</v>
      </c>
      <c r="E30" s="636">
        <f>AVERAGE(E24:E29)</f>
        <v>3.9</v>
      </c>
    </row>
    <row r="31" spans="1:5" ht="16.5" customHeight="1" x14ac:dyDescent="0.3">
      <c r="A31" s="637" t="s">
        <v>19</v>
      </c>
      <c r="B31" s="638">
        <f>(STDEV(B24:B29)/B30)</f>
        <v>1.155100620397012E-3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5" ht="16.5" customHeight="1" x14ac:dyDescent="0.3">
      <c r="A35" s="622"/>
      <c r="B35" s="646" t="s">
        <v>23</v>
      </c>
      <c r="C35" s="647"/>
      <c r="D35" s="647"/>
      <c r="E35" s="647"/>
    </row>
    <row r="36" spans="1:5" ht="16.5" customHeight="1" x14ac:dyDescent="0.3">
      <c r="A36" s="622"/>
      <c r="B36" s="646" t="s">
        <v>24</v>
      </c>
      <c r="C36" s="647"/>
      <c r="D36" s="647"/>
      <c r="E36" s="647"/>
    </row>
    <row r="37" spans="1:5" ht="15.75" customHeight="1" x14ac:dyDescent="0.25">
      <c r="A37" s="621"/>
      <c r="B37" s="621" t="s">
        <v>139</v>
      </c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/>
      <c r="C39" s="621"/>
      <c r="D39" s="621"/>
      <c r="E39" s="621"/>
    </row>
    <row r="40" spans="1:5" ht="16.5" customHeight="1" x14ac:dyDescent="0.3">
      <c r="A40" s="622" t="s">
        <v>6</v>
      </c>
      <c r="B40" s="623"/>
      <c r="C40" s="621"/>
      <c r="D40" s="621"/>
      <c r="E40" s="621"/>
    </row>
    <row r="41" spans="1:5" ht="16.5" customHeight="1" x14ac:dyDescent="0.3">
      <c r="A41" s="619" t="s">
        <v>8</v>
      </c>
      <c r="B41" s="623"/>
      <c r="C41" s="621"/>
      <c r="D41" s="621"/>
      <c r="E41" s="621"/>
    </row>
    <row r="42" spans="1:5" ht="16.5" customHeight="1" x14ac:dyDescent="0.3">
      <c r="A42" s="619" t="s">
        <v>10</v>
      </c>
      <c r="B42" s="624"/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/>
      <c r="C45" s="628"/>
      <c r="D45" s="629"/>
      <c r="E45" s="630"/>
    </row>
    <row r="46" spans="1:5" ht="16.5" customHeight="1" x14ac:dyDescent="0.3">
      <c r="A46" s="627">
        <v>2</v>
      </c>
      <c r="B46" s="628"/>
      <c r="C46" s="628"/>
      <c r="D46" s="629"/>
      <c r="E46" s="629"/>
    </row>
    <row r="47" spans="1:5" ht="16.5" customHeight="1" x14ac:dyDescent="0.3">
      <c r="A47" s="627">
        <v>3</v>
      </c>
      <c r="B47" s="628"/>
      <c r="C47" s="628"/>
      <c r="D47" s="629"/>
      <c r="E47" s="629"/>
    </row>
    <row r="48" spans="1:5" ht="16.5" customHeight="1" x14ac:dyDescent="0.3">
      <c r="A48" s="627">
        <v>4</v>
      </c>
      <c r="B48" s="628"/>
      <c r="C48" s="628"/>
      <c r="D48" s="629"/>
      <c r="E48" s="629"/>
    </row>
    <row r="49" spans="1:7" ht="16.5" customHeight="1" x14ac:dyDescent="0.3">
      <c r="A49" s="627">
        <v>5</v>
      </c>
      <c r="B49" s="628"/>
      <c r="C49" s="628"/>
      <c r="D49" s="629"/>
      <c r="E49" s="629"/>
    </row>
    <row r="50" spans="1:7" ht="16.5" customHeight="1" x14ac:dyDescent="0.3">
      <c r="A50" s="627">
        <v>6</v>
      </c>
      <c r="B50" s="631"/>
      <c r="C50" s="631"/>
      <c r="D50" s="632"/>
      <c r="E50" s="632"/>
    </row>
    <row r="51" spans="1:7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 t="e">
        <f>AVERAGE(E45:E50)</f>
        <v>#DIV/0!</v>
      </c>
    </row>
    <row r="52" spans="1:7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">
      <c r="A58" s="648"/>
      <c r="B58" s="621" t="s">
        <v>140</v>
      </c>
      <c r="D58" s="649"/>
      <c r="F58" s="651"/>
      <c r="G58" s="651"/>
    </row>
    <row r="59" spans="1:7" ht="15" customHeight="1" x14ac:dyDescent="0.3">
      <c r="B59" s="659" t="s">
        <v>26</v>
      </c>
      <c r="C59" s="659"/>
      <c r="E59" s="652" t="s">
        <v>27</v>
      </c>
      <c r="F59" s="653"/>
      <c r="G59" s="652" t="s">
        <v>28</v>
      </c>
    </row>
    <row r="60" spans="1:7" ht="15" customHeight="1" x14ac:dyDescent="0.3">
      <c r="A60" s="654" t="s">
        <v>29</v>
      </c>
      <c r="B60" s="655" t="s">
        <v>141</v>
      </c>
      <c r="C60" s="655"/>
      <c r="E60" s="655" t="s">
        <v>142</v>
      </c>
      <c r="G60" s="655"/>
    </row>
    <row r="61" spans="1:7" ht="15" customHeight="1" x14ac:dyDescent="0.3">
      <c r="A61" s="654" t="s">
        <v>30</v>
      </c>
      <c r="B61" s="656"/>
      <c r="C61" s="656"/>
      <c r="E61" s="656"/>
      <c r="G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5" workbookViewId="0">
      <selection activeCell="D29" sqref="D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3" t="s">
        <v>31</v>
      </c>
      <c r="B11" s="664"/>
      <c r="C11" s="664"/>
      <c r="D11" s="664"/>
      <c r="E11" s="664"/>
      <c r="F11" s="665"/>
      <c r="G11" s="43"/>
    </row>
    <row r="12" spans="1:7" ht="16.5" customHeight="1" x14ac:dyDescent="0.3">
      <c r="A12" s="662" t="s">
        <v>32</v>
      </c>
      <c r="B12" s="662"/>
      <c r="C12" s="662"/>
      <c r="D12" s="662"/>
      <c r="E12" s="662"/>
      <c r="F12" s="662"/>
      <c r="G12" s="42"/>
    </row>
    <row r="14" spans="1:7" ht="16.5" customHeight="1" x14ac:dyDescent="0.3">
      <c r="A14" s="667" t="s">
        <v>33</v>
      </c>
      <c r="B14" s="667"/>
      <c r="C14" s="12" t="s">
        <v>5</v>
      </c>
    </row>
    <row r="15" spans="1:7" ht="16.5" customHeight="1" x14ac:dyDescent="0.3">
      <c r="A15" s="667" t="s">
        <v>34</v>
      </c>
      <c r="B15" s="667"/>
      <c r="C15" s="12" t="s">
        <v>7</v>
      </c>
    </row>
    <row r="16" spans="1:7" ht="16.5" customHeight="1" x14ac:dyDescent="0.3">
      <c r="A16" s="667" t="s">
        <v>35</v>
      </c>
      <c r="B16" s="667"/>
      <c r="C16" s="12" t="s">
        <v>9</v>
      </c>
    </row>
    <row r="17" spans="1:5" ht="16.5" customHeight="1" x14ac:dyDescent="0.3">
      <c r="A17" s="667" t="s">
        <v>36</v>
      </c>
      <c r="B17" s="667"/>
      <c r="C17" s="12" t="s">
        <v>11</v>
      </c>
    </row>
    <row r="18" spans="1:5" ht="16.5" customHeight="1" x14ac:dyDescent="0.3">
      <c r="A18" s="667" t="s">
        <v>37</v>
      </c>
      <c r="B18" s="667"/>
      <c r="C18" s="49" t="s">
        <v>12</v>
      </c>
    </row>
    <row r="19" spans="1:5" ht="16.5" customHeight="1" x14ac:dyDescent="0.3">
      <c r="A19" s="667" t="s">
        <v>38</v>
      </c>
      <c r="B19" s="66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2" t="s">
        <v>1</v>
      </c>
      <c r="B21" s="662"/>
      <c r="C21" s="11" t="s">
        <v>39</v>
      </c>
      <c r="D21" s="18"/>
    </row>
    <row r="22" spans="1:5" ht="15.75" customHeight="1" x14ac:dyDescent="0.3">
      <c r="A22" s="666"/>
      <c r="B22" s="666"/>
      <c r="C22" s="9"/>
      <c r="D22" s="666"/>
      <c r="E22" s="66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346.71</v>
      </c>
      <c r="D24" s="39">
        <f t="shared" ref="D24:D43" si="0">(C24-$C$46)/$C$46</f>
        <v>-5.5800066254514686E-3</v>
      </c>
      <c r="E24" s="5"/>
    </row>
    <row r="25" spans="1:5" ht="15.75" customHeight="1" x14ac:dyDescent="0.3">
      <c r="C25" s="47">
        <v>350.72</v>
      </c>
      <c r="D25" s="40">
        <f t="shared" si="0"/>
        <v>5.9213177477479987E-3</v>
      </c>
      <c r="E25" s="5"/>
    </row>
    <row r="26" spans="1:5" ht="15.75" customHeight="1" x14ac:dyDescent="0.3">
      <c r="C26" s="47">
        <v>354.01</v>
      </c>
      <c r="D26" s="40">
        <f t="shared" si="0"/>
        <v>1.5357566423016172E-2</v>
      </c>
      <c r="E26" s="5"/>
    </row>
    <row r="27" spans="1:5" ht="15.75" customHeight="1" x14ac:dyDescent="0.3">
      <c r="C27" s="47">
        <v>359.37</v>
      </c>
      <c r="D27" s="40">
        <f t="shared" si="0"/>
        <v>3.0730907729836266E-2</v>
      </c>
      <c r="E27" s="5"/>
    </row>
    <row r="28" spans="1:5" ht="15.75" customHeight="1" x14ac:dyDescent="0.3">
      <c r="C28" s="47">
        <v>349.64</v>
      </c>
      <c r="D28" s="40">
        <f t="shared" si="0"/>
        <v>2.8237042008513033E-3</v>
      </c>
      <c r="E28" s="5"/>
    </row>
    <row r="29" spans="1:5" ht="15.75" customHeight="1" x14ac:dyDescent="0.3">
      <c r="C29" s="47">
        <v>350.72</v>
      </c>
      <c r="D29" s="40">
        <f t="shared" si="0"/>
        <v>5.9213177477479987E-3</v>
      </c>
      <c r="E29" s="5"/>
    </row>
    <row r="30" spans="1:5" ht="15.75" customHeight="1" x14ac:dyDescent="0.3">
      <c r="C30" s="47">
        <v>342.06</v>
      </c>
      <c r="D30" s="40">
        <f t="shared" si="0"/>
        <v>-1.8916953841256114E-2</v>
      </c>
      <c r="E30" s="5"/>
    </row>
    <row r="31" spans="1:5" ht="15.75" customHeight="1" x14ac:dyDescent="0.3">
      <c r="C31" s="47">
        <v>352.07</v>
      </c>
      <c r="D31" s="40">
        <f t="shared" si="0"/>
        <v>9.793334681368622E-3</v>
      </c>
      <c r="E31" s="5"/>
    </row>
    <row r="32" spans="1:5" ht="15.75" customHeight="1" x14ac:dyDescent="0.3">
      <c r="C32" s="47">
        <v>349.11</v>
      </c>
      <c r="D32" s="40">
        <f t="shared" si="0"/>
        <v>1.3035790343188017E-3</v>
      </c>
      <c r="E32" s="5"/>
    </row>
    <row r="33" spans="1:7" ht="15.75" customHeight="1" x14ac:dyDescent="0.3">
      <c r="C33" s="47">
        <v>344.81</v>
      </c>
      <c r="D33" s="40">
        <f t="shared" si="0"/>
        <v>-1.1029511939436123E-2</v>
      </c>
      <c r="E33" s="5"/>
    </row>
    <row r="34" spans="1:7" ht="15.75" customHeight="1" x14ac:dyDescent="0.3">
      <c r="C34" s="47">
        <v>349</v>
      </c>
      <c r="D34" s="40">
        <f t="shared" si="0"/>
        <v>9.8808135824596309E-4</v>
      </c>
      <c r="E34" s="5"/>
    </row>
    <row r="35" spans="1:7" ht="15.75" customHeight="1" x14ac:dyDescent="0.3">
      <c r="C35" s="47">
        <v>353.29</v>
      </c>
      <c r="D35" s="40">
        <f t="shared" si="0"/>
        <v>1.3292490725085206E-2</v>
      </c>
      <c r="E35" s="5"/>
    </row>
    <row r="36" spans="1:7" ht="15.75" customHeight="1" x14ac:dyDescent="0.3">
      <c r="C36" s="47">
        <v>341.64</v>
      </c>
      <c r="D36" s="40">
        <f t="shared" si="0"/>
        <v>-2.0121581331715939E-2</v>
      </c>
      <c r="E36" s="5"/>
    </row>
    <row r="37" spans="1:7" ht="15.75" customHeight="1" x14ac:dyDescent="0.3">
      <c r="C37" s="47">
        <v>344.21</v>
      </c>
      <c r="D37" s="40">
        <f t="shared" si="0"/>
        <v>-1.2750408354378732E-2</v>
      </c>
      <c r="E37" s="5"/>
    </row>
    <row r="38" spans="1:7" ht="15.75" customHeight="1" x14ac:dyDescent="0.3">
      <c r="C38" s="47">
        <v>353.92</v>
      </c>
      <c r="D38" s="40">
        <f t="shared" si="0"/>
        <v>1.5099431960774862E-2</v>
      </c>
      <c r="E38" s="5"/>
    </row>
    <row r="39" spans="1:7" ht="15.75" customHeight="1" x14ac:dyDescent="0.3">
      <c r="C39" s="47">
        <v>348.92</v>
      </c>
      <c r="D39" s="40">
        <f t="shared" si="0"/>
        <v>7.5862850292033625E-4</v>
      </c>
      <c r="E39" s="5"/>
    </row>
    <row r="40" spans="1:7" ht="15.75" customHeight="1" x14ac:dyDescent="0.3">
      <c r="C40" s="47">
        <v>341.29</v>
      </c>
      <c r="D40" s="40">
        <f t="shared" si="0"/>
        <v>-2.1125437573765657E-2</v>
      </c>
      <c r="E40" s="5"/>
    </row>
    <row r="41" spans="1:7" ht="15.75" customHeight="1" x14ac:dyDescent="0.3">
      <c r="C41" s="47">
        <v>349.98</v>
      </c>
      <c r="D41" s="40">
        <f t="shared" si="0"/>
        <v>3.7988788359855025E-3</v>
      </c>
      <c r="E41" s="5"/>
    </row>
    <row r="42" spans="1:7" ht="15.75" customHeight="1" x14ac:dyDescent="0.3">
      <c r="C42" s="47">
        <v>354.64</v>
      </c>
      <c r="D42" s="40">
        <f t="shared" si="0"/>
        <v>1.7164507658705828E-2</v>
      </c>
      <c r="E42" s="5"/>
    </row>
    <row r="43" spans="1:7" ht="16.5" customHeight="1" x14ac:dyDescent="0.3">
      <c r="C43" s="48">
        <v>337</v>
      </c>
      <c r="D43" s="41">
        <f t="shared" si="0"/>
        <v>-3.3429846940604899E-2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6973.1100000000015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348.65550000000007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0">
        <f>C46</f>
        <v>348.65550000000007</v>
      </c>
      <c r="C49" s="45">
        <f>-IF(C46&lt;=80,10%,IF(C46&lt;250,7.5%,5%))</f>
        <v>-0.05</v>
      </c>
      <c r="D49" s="33">
        <f>IF(C46&lt;=80,C46*0.9,IF(C46&lt;250,C46*0.925,C46*0.95))</f>
        <v>331.22272500000008</v>
      </c>
    </row>
    <row r="50" spans="1:6" ht="17.25" customHeight="1" x14ac:dyDescent="0.3">
      <c r="B50" s="661"/>
      <c r="C50" s="46">
        <f>IF(C46&lt;=80, 10%, IF(C46&lt;250, 7.5%, 5%))</f>
        <v>0.05</v>
      </c>
      <c r="D50" s="33">
        <f>IF(C46&lt;=80, C46*1.1, IF(C46&lt;250, C46*1.075, C46*1.05))</f>
        <v>366.08827500000007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60" zoomScaleNormal="40" zoomScalePageLayoutView="50" workbookViewId="0">
      <selection activeCell="F70" sqref="F7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50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52" t="s">
        <v>33</v>
      </c>
      <c r="B18" s="670" t="s">
        <v>5</v>
      </c>
      <c r="C18" s="670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75" t="s">
        <v>133</v>
      </c>
      <c r="C20" s="67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0" t="s">
        <v>133</v>
      </c>
      <c r="C26" s="670"/>
    </row>
    <row r="27" spans="1:14" ht="26.25" customHeight="1" x14ac:dyDescent="0.4">
      <c r="A27" s="61" t="s">
        <v>48</v>
      </c>
      <c r="B27" s="676" t="s">
        <v>134</v>
      </c>
      <c r="C27" s="676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77" t="s">
        <v>50</v>
      </c>
      <c r="D29" s="678"/>
      <c r="E29" s="678"/>
      <c r="F29" s="678"/>
      <c r="G29" s="67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0" t="s">
        <v>53</v>
      </c>
      <c r="D31" s="681"/>
      <c r="E31" s="681"/>
      <c r="F31" s="681"/>
      <c r="G31" s="681"/>
      <c r="H31" s="68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0" t="s">
        <v>55</v>
      </c>
      <c r="D32" s="681"/>
      <c r="E32" s="681"/>
      <c r="F32" s="681"/>
      <c r="G32" s="681"/>
      <c r="H32" s="68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83" t="s">
        <v>59</v>
      </c>
      <c r="E36" s="684"/>
      <c r="F36" s="683" t="s">
        <v>60</v>
      </c>
      <c r="G36" s="68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87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87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88" t="s">
        <v>78</v>
      </c>
      <c r="B46" s="689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90"/>
      <c r="B47" s="691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Lamivudine 30mg, Nevirapine 50mg, Zidovudine 60mg</v>
      </c>
    </row>
    <row r="56" spans="1:12" ht="26.25" customHeight="1" x14ac:dyDescent="0.4">
      <c r="A56" s="129" t="s">
        <v>87</v>
      </c>
      <c r="B56" s="130">
        <v>30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348.65550000000007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692" t="s">
        <v>94</v>
      </c>
      <c r="D60" s="695">
        <v>344.76</v>
      </c>
      <c r="E60" s="134">
        <v>1</v>
      </c>
      <c r="F60" s="135">
        <v>38810227</v>
      </c>
      <c r="G60" s="200">
        <f>IF(ISBLANK(F60),"-",(F60/$D$50*$D$47*$B$68)*($B$57/$D$60))</f>
        <v>30.401705276751816</v>
      </c>
      <c r="H60" s="218">
        <f t="shared" ref="H60:H71" si="0">IF(ISBLANK(F60),"-",(G60/$B$56)*100)</f>
        <v>101.33901758917273</v>
      </c>
      <c r="L60" s="64"/>
    </row>
    <row r="61" spans="1:12" s="3" customFormat="1" ht="26.25" customHeight="1" x14ac:dyDescent="0.4">
      <c r="A61" s="76" t="s">
        <v>95</v>
      </c>
      <c r="B61" s="77">
        <v>10</v>
      </c>
      <c r="C61" s="693"/>
      <c r="D61" s="696"/>
      <c r="E61" s="136">
        <v>2</v>
      </c>
      <c r="F61" s="89">
        <v>38595253</v>
      </c>
      <c r="G61" s="201">
        <f>IF(ISBLANK(F61),"-",(F61/$D$50*$D$47*$B$68)*($B$57/$D$60))</f>
        <v>30.233306978278474</v>
      </c>
      <c r="H61" s="219">
        <f t="shared" si="0"/>
        <v>100.77768992759491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3"/>
      <c r="D62" s="696"/>
      <c r="E62" s="136">
        <v>3</v>
      </c>
      <c r="F62" s="137">
        <v>38739019</v>
      </c>
      <c r="G62" s="201">
        <f>IF(ISBLANK(F62),"-",(F62/$D$50*$D$47*$B$68)*($B$57/$D$60))</f>
        <v>30.345925014777396</v>
      </c>
      <c r="H62" s="219">
        <f t="shared" si="0"/>
        <v>101.15308338259132</v>
      </c>
      <c r="L62" s="64"/>
    </row>
    <row r="63" spans="1:12" ht="27" customHeight="1" x14ac:dyDescent="0.4">
      <c r="A63" s="76" t="s">
        <v>97</v>
      </c>
      <c r="B63" s="77">
        <v>1</v>
      </c>
      <c r="C63" s="694"/>
      <c r="D63" s="697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92" t="s">
        <v>99</v>
      </c>
      <c r="D64" s="695">
        <v>348.91</v>
      </c>
      <c r="E64" s="134">
        <v>1</v>
      </c>
      <c r="F64" s="135">
        <v>39440107</v>
      </c>
      <c r="G64" s="200">
        <f>IF(ISBLANK(F64),"-",(F64/$D$50*$D$47*$B$68)*($B$57/$D$64))</f>
        <v>30.52764490139068</v>
      </c>
      <c r="H64" s="218">
        <f t="shared" si="0"/>
        <v>101.75881633796892</v>
      </c>
    </row>
    <row r="65" spans="1:8" ht="26.25" customHeight="1" x14ac:dyDescent="0.4">
      <c r="A65" s="76" t="s">
        <v>100</v>
      </c>
      <c r="B65" s="77">
        <v>1</v>
      </c>
      <c r="C65" s="693"/>
      <c r="D65" s="696"/>
      <c r="E65" s="136">
        <v>2</v>
      </c>
      <c r="F65" s="89">
        <v>39072305</v>
      </c>
      <c r="G65" s="201">
        <f>IF(ISBLANK(F65),"-",(F65/$D$50*$D$47*$B$68)*($B$57/$D$64))</f>
        <v>30.242956808378622</v>
      </c>
      <c r="H65" s="219">
        <f t="shared" si="0"/>
        <v>100.80985602792873</v>
      </c>
    </row>
    <row r="66" spans="1:8" ht="26.25" customHeight="1" x14ac:dyDescent="0.4">
      <c r="A66" s="76" t="s">
        <v>101</v>
      </c>
      <c r="B66" s="77">
        <v>1</v>
      </c>
      <c r="C66" s="693"/>
      <c r="D66" s="696"/>
      <c r="E66" s="136">
        <v>3</v>
      </c>
      <c r="F66" s="89">
        <v>39422363</v>
      </c>
      <c r="G66" s="201">
        <f>IF(ISBLANK(F66),"-",(F66/$D$50*$D$47*$B$68)*($B$57/$D$64))</f>
        <v>30.513910594556009</v>
      </c>
      <c r="H66" s="219">
        <f t="shared" si="0"/>
        <v>101.7130353151867</v>
      </c>
    </row>
    <row r="67" spans="1:8" ht="27" customHeight="1" x14ac:dyDescent="0.4">
      <c r="A67" s="76" t="s">
        <v>102</v>
      </c>
      <c r="B67" s="77">
        <v>1</v>
      </c>
      <c r="C67" s="694"/>
      <c r="D67" s="697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200</v>
      </c>
      <c r="C68" s="692" t="s">
        <v>104</v>
      </c>
      <c r="D68" s="695">
        <v>359.42</v>
      </c>
      <c r="E68" s="134">
        <v>1</v>
      </c>
      <c r="F68" s="135">
        <v>38797624</v>
      </c>
      <c r="G68" s="200">
        <f>IF(ISBLANK(F68),"-",(F68/$D$50*$D$47*$B$68)*($B$57/$D$68))</f>
        <v>29.152212674403831</v>
      </c>
      <c r="H68" s="219">
        <f t="shared" si="0"/>
        <v>97.174042248012768</v>
      </c>
    </row>
    <row r="69" spans="1:8" ht="27" customHeight="1" x14ac:dyDescent="0.4">
      <c r="A69" s="124" t="s">
        <v>105</v>
      </c>
      <c r="B69" s="141">
        <f>(D47*B68)/B56*B57</f>
        <v>348.65550000000007</v>
      </c>
      <c r="C69" s="693"/>
      <c r="D69" s="696"/>
      <c r="E69" s="136">
        <v>2</v>
      </c>
      <c r="F69" s="89">
        <v>38762824</v>
      </c>
      <c r="G69" s="201">
        <f>IF(ISBLANK(F69),"-",(F69/$D$50*$D$47*$B$68)*($B$57/$D$68))</f>
        <v>29.126064243224921</v>
      </c>
      <c r="H69" s="219">
        <f t="shared" si="0"/>
        <v>97.086880810749733</v>
      </c>
    </row>
    <row r="70" spans="1:8" ht="26.25" customHeight="1" x14ac:dyDescent="0.4">
      <c r="A70" s="705" t="s">
        <v>78</v>
      </c>
      <c r="B70" s="706"/>
      <c r="C70" s="693"/>
      <c r="D70" s="696"/>
      <c r="E70" s="136">
        <v>3</v>
      </c>
      <c r="F70" s="89" t="s">
        <v>144</v>
      </c>
      <c r="G70" s="201" t="e">
        <f>IF(ISBLANK(F70),"-",(F70/$D$50*$D$47*$B$68)*($B$57/$D$68))</f>
        <v>#VALUE!</v>
      </c>
      <c r="H70" s="219" t="e">
        <f t="shared" si="0"/>
        <v>#VALUE!</v>
      </c>
    </row>
    <row r="71" spans="1:8" ht="27" customHeight="1" x14ac:dyDescent="0.4">
      <c r="A71" s="707"/>
      <c r="B71" s="708"/>
      <c r="C71" s="704"/>
      <c r="D71" s="697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 t="e">
        <f>AVERAGE(G60:G71)</f>
        <v>#VALUE!</v>
      </c>
      <c r="H72" s="221" t="e">
        <f>AVERAGE(H60:H71)</f>
        <v>#VALUE!</v>
      </c>
    </row>
    <row r="73" spans="1:8" ht="26.25" customHeight="1" x14ac:dyDescent="0.4">
      <c r="C73" s="142"/>
      <c r="D73" s="142"/>
      <c r="E73" s="142"/>
      <c r="F73" s="145" t="s">
        <v>84</v>
      </c>
      <c r="G73" s="205" t="e">
        <f>STDEV(G60:G71)/G72</f>
        <v>#VALUE!</v>
      </c>
      <c r="H73" s="205" t="e">
        <f>STDEV(H60:H71)/H72</f>
        <v>#VALUE!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8</v>
      </c>
      <c r="H74" s="148">
        <f>COUNT(H60:H71)</f>
        <v>8</v>
      </c>
    </row>
    <row r="76" spans="1:8" ht="26.25" customHeight="1" x14ac:dyDescent="0.4">
      <c r="A76" s="60" t="s">
        <v>106</v>
      </c>
      <c r="B76" s="149" t="s">
        <v>107</v>
      </c>
      <c r="C76" s="700" t="str">
        <f>B26</f>
        <v>Lamivudine</v>
      </c>
      <c r="D76" s="700"/>
      <c r="E76" s="150" t="s">
        <v>108</v>
      </c>
      <c r="F76" s="150"/>
      <c r="G76" s="237" t="e">
        <f>H72</f>
        <v>#VALUE!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6"/>
      <c r="C79" s="686"/>
    </row>
    <row r="80" spans="1:8" ht="26.25" customHeight="1" x14ac:dyDescent="0.4">
      <c r="A80" s="61" t="s">
        <v>48</v>
      </c>
      <c r="B80" s="686"/>
      <c r="C80" s="686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>
        <v>0</v>
      </c>
      <c r="C82" s="677" t="s">
        <v>50</v>
      </c>
      <c r="D82" s="678"/>
      <c r="E82" s="678"/>
      <c r="F82" s="678"/>
      <c r="G82" s="67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/>
      <c r="C84" s="680" t="s">
        <v>111</v>
      </c>
      <c r="D84" s="681"/>
      <c r="E84" s="681"/>
      <c r="F84" s="681"/>
      <c r="G84" s="681"/>
      <c r="H84" s="68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/>
      <c r="C85" s="680" t="s">
        <v>112</v>
      </c>
      <c r="D85" s="681"/>
      <c r="E85" s="681"/>
      <c r="F85" s="681"/>
      <c r="G85" s="681"/>
      <c r="H85" s="68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 t="e">
        <f>B84/B85</f>
        <v>#DIV/0!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683" t="s">
        <v>60</v>
      </c>
      <c r="G89" s="685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687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687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25.12</v>
      </c>
      <c r="E96" s="92"/>
      <c r="F96" s="104">
        <v>25.78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 t="e">
        <f>D96*$B$87</f>
        <v>#DIV/0!</v>
      </c>
      <c r="E97" s="107"/>
      <c r="F97" s="106" t="e">
        <f>F96*$B$87</f>
        <v>#DIV/0!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 t="e">
        <f>D97*$B$83/100</f>
        <v>#DIV/0!</v>
      </c>
      <c r="E98" s="110"/>
      <c r="F98" s="109" t="e">
        <f>F97*$B$83/100</f>
        <v>#DIV/0!</v>
      </c>
    </row>
    <row r="99" spans="1:10" ht="19.5" customHeight="1" x14ac:dyDescent="0.3">
      <c r="A99" s="688" t="s">
        <v>78</v>
      </c>
      <c r="B99" s="702"/>
      <c r="C99" s="167" t="s">
        <v>116</v>
      </c>
      <c r="D99" s="171" t="e">
        <f>D98/$B$98</f>
        <v>#DIV/0!</v>
      </c>
      <c r="E99" s="110"/>
      <c r="F99" s="113" t="e">
        <f>F98/$B$98</f>
        <v>#DIV/0!</v>
      </c>
      <c r="G99" s="172"/>
      <c r="H99" s="102"/>
    </row>
    <row r="100" spans="1:10" ht="19.5" customHeight="1" x14ac:dyDescent="0.3">
      <c r="A100" s="690"/>
      <c r="B100" s="703"/>
      <c r="C100" s="167" t="s">
        <v>80</v>
      </c>
      <c r="D100" s="173">
        <f>$B$56/$B$116</f>
        <v>30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30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30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688" t="s">
        <v>78</v>
      </c>
      <c r="B117" s="689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690"/>
      <c r="B118" s="691"/>
      <c r="C118" s="50"/>
      <c r="D118" s="212"/>
      <c r="E118" s="668" t="s">
        <v>123</v>
      </c>
      <c r="F118" s="669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00" t="str">
        <f>B26</f>
        <v>Lamivudine</v>
      </c>
      <c r="D124" s="700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1" t="s">
        <v>26</v>
      </c>
      <c r="C127" s="701"/>
      <c r="E127" s="156" t="s">
        <v>27</v>
      </c>
      <c r="F127" s="191"/>
      <c r="G127" s="701" t="s">
        <v>28</v>
      </c>
      <c r="H127" s="701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0" workbookViewId="0">
      <selection activeCell="B27" sqref="B27:C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238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240" t="s">
        <v>33</v>
      </c>
      <c r="B18" s="670" t="s">
        <v>5</v>
      </c>
      <c r="C18" s="670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75" t="s">
        <v>135</v>
      </c>
      <c r="C20" s="675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0" t="s">
        <v>135</v>
      </c>
      <c r="C26" s="670"/>
    </row>
    <row r="27" spans="1:14" ht="26.25" customHeight="1" x14ac:dyDescent="0.4">
      <c r="A27" s="249" t="s">
        <v>48</v>
      </c>
      <c r="B27" s="676" t="s">
        <v>136</v>
      </c>
      <c r="C27" s="676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77" t="s">
        <v>50</v>
      </c>
      <c r="D29" s="678"/>
      <c r="E29" s="678"/>
      <c r="F29" s="678"/>
      <c r="G29" s="679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80" t="s">
        <v>53</v>
      </c>
      <c r="D31" s="681"/>
      <c r="E31" s="681"/>
      <c r="F31" s="681"/>
      <c r="G31" s="681"/>
      <c r="H31" s="682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80" t="s">
        <v>55</v>
      </c>
      <c r="D32" s="681"/>
      <c r="E32" s="681"/>
      <c r="F32" s="681"/>
      <c r="G32" s="681"/>
      <c r="H32" s="682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83" t="s">
        <v>59</v>
      </c>
      <c r="E36" s="684"/>
      <c r="F36" s="683" t="s">
        <v>60</v>
      </c>
      <c r="G36" s="685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87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87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88" t="s">
        <v>78</v>
      </c>
      <c r="B46" s="689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90"/>
      <c r="B47" s="691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Lamivudine 30mg, Nevirapine 50mg, Zidovudine 60mg</v>
      </c>
    </row>
    <row r="56" spans="1:12" ht="26.25" customHeight="1" x14ac:dyDescent="0.4">
      <c r="A56" s="317" t="s">
        <v>87</v>
      </c>
      <c r="B56" s="318">
        <v>50</v>
      </c>
      <c r="C56" s="239" t="str">
        <f>B20</f>
        <v xml:space="preserve"> Nevirapine</v>
      </c>
      <c r="H56" s="319"/>
    </row>
    <row r="57" spans="1:12" ht="18.75" x14ac:dyDescent="0.3">
      <c r="A57" s="316" t="s">
        <v>88</v>
      </c>
      <c r="B57" s="387">
        <f>Uniformity!C46</f>
        <v>348.65550000000007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692" t="s">
        <v>94</v>
      </c>
      <c r="D60" s="695">
        <v>344.76</v>
      </c>
      <c r="E60" s="322">
        <v>1</v>
      </c>
      <c r="F60" s="323">
        <v>39970164</v>
      </c>
      <c r="G60" s="388">
        <f>IF(ISBLANK(F60),"-",(F60/$D$50*$D$47*$B$68)*($B$57/$D$60))</f>
        <v>48.04426192800895</v>
      </c>
      <c r="H60" s="406">
        <f t="shared" ref="H60:H71" si="0">IF(ISBLANK(F60),"-",(G60/$B$56)*100)</f>
        <v>96.0885238560179</v>
      </c>
      <c r="L60" s="252"/>
    </row>
    <row r="61" spans="1:12" s="3" customFormat="1" ht="26.25" customHeight="1" x14ac:dyDescent="0.4">
      <c r="A61" s="264" t="s">
        <v>95</v>
      </c>
      <c r="B61" s="265">
        <v>10</v>
      </c>
      <c r="C61" s="693"/>
      <c r="D61" s="696"/>
      <c r="E61" s="324">
        <v>2</v>
      </c>
      <c r="F61" s="277">
        <v>39742073</v>
      </c>
      <c r="G61" s="389">
        <f>IF(ISBLANK(F61),"-",(F61/$D$50*$D$47*$B$68)*($B$57/$D$60))</f>
        <v>47.770095833833771</v>
      </c>
      <c r="H61" s="407">
        <f t="shared" si="0"/>
        <v>95.540191667667543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93"/>
      <c r="D62" s="696"/>
      <c r="E62" s="324">
        <v>3</v>
      </c>
      <c r="F62" s="325">
        <v>39885422</v>
      </c>
      <c r="G62" s="389">
        <f>IF(ISBLANK(F62),"-",(F62/$D$50*$D$47*$B$68)*($B$57/$D$60))</f>
        <v>47.942401779416535</v>
      </c>
      <c r="H62" s="407">
        <f t="shared" si="0"/>
        <v>95.88480355883307</v>
      </c>
      <c r="L62" s="252"/>
    </row>
    <row r="63" spans="1:12" ht="27" customHeight="1" x14ac:dyDescent="0.4">
      <c r="A63" s="264" t="s">
        <v>97</v>
      </c>
      <c r="B63" s="265">
        <v>1</v>
      </c>
      <c r="C63" s="694"/>
      <c r="D63" s="697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92" t="s">
        <v>99</v>
      </c>
      <c r="D64" s="695">
        <v>348.91</v>
      </c>
      <c r="E64" s="322">
        <v>1</v>
      </c>
      <c r="F64" s="323">
        <v>41520894</v>
      </c>
      <c r="G64" s="388">
        <f>IF(ISBLANK(F64),"-",(F64/$D$50*$D$47*$B$68)*($B$57/$D$64))</f>
        <v>49.314626352640474</v>
      </c>
      <c r="H64" s="406">
        <f t="shared" si="0"/>
        <v>98.629252705280948</v>
      </c>
    </row>
    <row r="65" spans="1:8" ht="26.25" customHeight="1" x14ac:dyDescent="0.4">
      <c r="A65" s="264" t="s">
        <v>100</v>
      </c>
      <c r="B65" s="265">
        <v>1</v>
      </c>
      <c r="C65" s="693"/>
      <c r="D65" s="696"/>
      <c r="E65" s="324">
        <v>2</v>
      </c>
      <c r="F65" s="277">
        <v>41416885</v>
      </c>
      <c r="G65" s="389">
        <f>IF(ISBLANK(F65),"-",(F65/$D$50*$D$47*$B$68)*($B$57/$D$64))</f>
        <v>49.191094210670911</v>
      </c>
      <c r="H65" s="407">
        <f t="shared" si="0"/>
        <v>98.382188421341823</v>
      </c>
    </row>
    <row r="66" spans="1:8" ht="26.25" customHeight="1" x14ac:dyDescent="0.4">
      <c r="A66" s="264" t="s">
        <v>101</v>
      </c>
      <c r="B66" s="265">
        <v>1</v>
      </c>
      <c r="C66" s="693"/>
      <c r="D66" s="696"/>
      <c r="E66" s="324">
        <v>3</v>
      </c>
      <c r="F66" s="277">
        <v>41482334</v>
      </c>
      <c r="G66" s="389">
        <f>IF(ISBLANK(F66),"-",(F66/$D$50*$D$47*$B$68)*($B$57/$D$64))</f>
        <v>49.268828398671623</v>
      </c>
      <c r="H66" s="407">
        <f t="shared" si="0"/>
        <v>98.537656797343246</v>
      </c>
    </row>
    <row r="67" spans="1:8" ht="27" customHeight="1" x14ac:dyDescent="0.4">
      <c r="A67" s="264" t="s">
        <v>102</v>
      </c>
      <c r="B67" s="265">
        <v>1</v>
      </c>
      <c r="C67" s="694"/>
      <c r="D67" s="697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200</v>
      </c>
      <c r="C68" s="692" t="s">
        <v>104</v>
      </c>
      <c r="D68" s="695">
        <v>359.42</v>
      </c>
      <c r="E68" s="322">
        <v>1</v>
      </c>
      <c r="F68" s="323">
        <v>42618723</v>
      </c>
      <c r="G68" s="388">
        <f>IF(ISBLANK(F68),"-",(F68/$D$50*$D$47*$B$68)*($B$57/$D$68))</f>
        <v>49.138360327089522</v>
      </c>
      <c r="H68" s="407">
        <f t="shared" si="0"/>
        <v>98.276720654179044</v>
      </c>
    </row>
    <row r="69" spans="1:8" ht="27" customHeight="1" x14ac:dyDescent="0.4">
      <c r="A69" s="312" t="s">
        <v>105</v>
      </c>
      <c r="B69" s="329">
        <f>(D47*B68)/B56*B57</f>
        <v>278.92440000000005</v>
      </c>
      <c r="C69" s="693"/>
      <c r="D69" s="696"/>
      <c r="E69" s="324">
        <v>2</v>
      </c>
      <c r="F69" s="277">
        <v>42560453</v>
      </c>
      <c r="G69" s="389">
        <f>IF(ISBLANK(F69),"-",(F69/$D$50*$D$47*$B$68)*($B$57/$D$68))</f>
        <v>49.071176421643557</v>
      </c>
      <c r="H69" s="407">
        <f t="shared" si="0"/>
        <v>98.142352843287114</v>
      </c>
    </row>
    <row r="70" spans="1:8" ht="26.25" customHeight="1" x14ac:dyDescent="0.4">
      <c r="A70" s="705" t="s">
        <v>78</v>
      </c>
      <c r="B70" s="706"/>
      <c r="C70" s="693"/>
      <c r="D70" s="696"/>
      <c r="E70" s="324">
        <v>3</v>
      </c>
      <c r="F70" s="277">
        <v>42508412</v>
      </c>
      <c r="G70" s="389">
        <f>IF(ISBLANK(F70),"-",(F70/$D$50*$D$47*$B$68)*($B$57/$D$68))</f>
        <v>49.011174403052287</v>
      </c>
      <c r="H70" s="407">
        <f t="shared" si="0"/>
        <v>98.022348806104574</v>
      </c>
    </row>
    <row r="71" spans="1:8" ht="27" customHeight="1" x14ac:dyDescent="0.4">
      <c r="A71" s="707"/>
      <c r="B71" s="708"/>
      <c r="C71" s="704"/>
      <c r="D71" s="697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48.750224406114178</v>
      </c>
      <c r="H72" s="409">
        <f>AVERAGE(H60:H71)</f>
        <v>97.500448812228356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1.3004228852673081E-2</v>
      </c>
      <c r="H73" s="393">
        <f>STDEV(H60:H71)/H72</f>
        <v>1.3004228852673081E-2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700" t="str">
        <f>B26</f>
        <v xml:space="preserve"> Nevirapine</v>
      </c>
      <c r="D76" s="700"/>
      <c r="E76" s="338" t="s">
        <v>108</v>
      </c>
      <c r="F76" s="338"/>
      <c r="G76" s="425">
        <f>H72</f>
        <v>97.500448812228356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6"/>
      <c r="C79" s="686"/>
    </row>
    <row r="80" spans="1:8" ht="26.25" customHeight="1" x14ac:dyDescent="0.4">
      <c r="A80" s="249" t="s">
        <v>48</v>
      </c>
      <c r="B80" s="686"/>
      <c r="C80" s="686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/>
      <c r="C82" s="677" t="s">
        <v>50</v>
      </c>
      <c r="D82" s="678"/>
      <c r="E82" s="678"/>
      <c r="F82" s="678"/>
      <c r="G82" s="679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/>
      <c r="C84" s="680" t="s">
        <v>111</v>
      </c>
      <c r="D84" s="681"/>
      <c r="E84" s="681"/>
      <c r="F84" s="681"/>
      <c r="G84" s="681"/>
      <c r="H84" s="682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/>
      <c r="C85" s="680" t="s">
        <v>112</v>
      </c>
      <c r="D85" s="681"/>
      <c r="E85" s="681"/>
      <c r="F85" s="681"/>
      <c r="G85" s="681"/>
      <c r="H85" s="682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 t="e">
        <f>B84/B85</f>
        <v>#DIV/0!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683" t="s">
        <v>60</v>
      </c>
      <c r="G89" s="685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687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687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25.12</v>
      </c>
      <c r="E96" s="280"/>
      <c r="F96" s="292">
        <v>25.78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 t="e">
        <f>D96*$B$87</f>
        <v>#DIV/0!</v>
      </c>
      <c r="E97" s="295"/>
      <c r="F97" s="294" t="e">
        <f>F96*$B$87</f>
        <v>#DIV/0!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 t="e">
        <f>D97*$B$83/100</f>
        <v>#DIV/0!</v>
      </c>
      <c r="E98" s="298"/>
      <c r="F98" s="297" t="e">
        <f>F97*$B$83/100</f>
        <v>#DIV/0!</v>
      </c>
    </row>
    <row r="99" spans="1:10" ht="19.5" customHeight="1" x14ac:dyDescent="0.3">
      <c r="A99" s="688" t="s">
        <v>78</v>
      </c>
      <c r="B99" s="702"/>
      <c r="C99" s="355" t="s">
        <v>116</v>
      </c>
      <c r="D99" s="359" t="e">
        <f>D98/$B$98</f>
        <v>#DIV/0!</v>
      </c>
      <c r="E99" s="298"/>
      <c r="F99" s="301" t="e">
        <f>F98/$B$98</f>
        <v>#DIV/0!</v>
      </c>
      <c r="G99" s="360"/>
      <c r="H99" s="290"/>
    </row>
    <row r="100" spans="1:10" ht="19.5" customHeight="1" x14ac:dyDescent="0.3">
      <c r="A100" s="690"/>
      <c r="B100" s="703"/>
      <c r="C100" s="355" t="s">
        <v>80</v>
      </c>
      <c r="D100" s="361">
        <f>$B$56/$B$116</f>
        <v>50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50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50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688" t="s">
        <v>78</v>
      </c>
      <c r="B117" s="689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690"/>
      <c r="B118" s="691"/>
      <c r="C118" s="238"/>
      <c r="D118" s="400"/>
      <c r="E118" s="668" t="s">
        <v>123</v>
      </c>
      <c r="F118" s="669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700" t="str">
        <f>B26</f>
        <v xml:space="preserve"> Nevirapine</v>
      </c>
      <c r="D124" s="700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701" t="s">
        <v>26</v>
      </c>
      <c r="C127" s="701"/>
      <c r="E127" s="344" t="s">
        <v>27</v>
      </c>
      <c r="F127" s="379"/>
      <c r="G127" s="701" t="s">
        <v>28</v>
      </c>
      <c r="H127" s="701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4" zoomScale="60" zoomScaleNormal="40" zoomScalePageLayoutView="50" workbookViewId="0">
      <selection activeCell="C25" sqref="C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45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46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426"/>
    </row>
    <row r="16" spans="1:9" ht="19.5" customHeight="1" x14ac:dyDescent="0.3">
      <c r="A16" s="671" t="s">
        <v>31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47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428" t="s">
        <v>33</v>
      </c>
      <c r="B18" s="670" t="s">
        <v>5</v>
      </c>
      <c r="C18" s="670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75" t="s">
        <v>131</v>
      </c>
      <c r="C20" s="675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75" t="s">
        <v>11</v>
      </c>
      <c r="C21" s="675"/>
      <c r="D21" s="675"/>
      <c r="E21" s="675"/>
      <c r="F21" s="675"/>
      <c r="G21" s="675"/>
      <c r="H21" s="675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0" t="s">
        <v>131</v>
      </c>
      <c r="C26" s="670"/>
    </row>
    <row r="27" spans="1:14" ht="26.25" customHeight="1" x14ac:dyDescent="0.4">
      <c r="A27" s="437" t="s">
        <v>48</v>
      </c>
      <c r="B27" s="676" t="s">
        <v>132</v>
      </c>
      <c r="C27" s="676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77" t="s">
        <v>50</v>
      </c>
      <c r="D29" s="678"/>
      <c r="E29" s="678"/>
      <c r="F29" s="678"/>
      <c r="G29" s="679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80" t="s">
        <v>53</v>
      </c>
      <c r="D31" s="681"/>
      <c r="E31" s="681"/>
      <c r="F31" s="681"/>
      <c r="G31" s="681"/>
      <c r="H31" s="682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80" t="s">
        <v>55</v>
      </c>
      <c r="D32" s="681"/>
      <c r="E32" s="681"/>
      <c r="F32" s="681"/>
      <c r="G32" s="681"/>
      <c r="H32" s="682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83" t="s">
        <v>59</v>
      </c>
      <c r="E36" s="684"/>
      <c r="F36" s="683" t="s">
        <v>60</v>
      </c>
      <c r="G36" s="685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87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87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88" t="s">
        <v>78</v>
      </c>
      <c r="B46" s="689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90"/>
      <c r="B47" s="691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Lamivudine 30mg, Nevirapine 50mg, Zidovudine 60mg</v>
      </c>
    </row>
    <row r="56" spans="1:12" ht="26.25" customHeight="1" x14ac:dyDescent="0.4">
      <c r="A56" s="505" t="s">
        <v>87</v>
      </c>
      <c r="B56" s="506">
        <v>60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348.65550000000007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5</v>
      </c>
      <c r="C60" s="692" t="s">
        <v>94</v>
      </c>
      <c r="D60" s="695">
        <v>344.76</v>
      </c>
      <c r="E60" s="510">
        <v>1</v>
      </c>
      <c r="F60" s="511">
        <v>68591617</v>
      </c>
      <c r="G60" s="576">
        <f>IF(ISBLANK(F60),"-",(F60/$D$50*$D$47*$B$68)*($B$57/$D$60))</f>
        <v>61.284490317373844</v>
      </c>
      <c r="H60" s="594">
        <f t="shared" ref="H60:H71" si="0">IF(ISBLANK(F60),"-",(G60/$B$56)*100)</f>
        <v>102.14081719562307</v>
      </c>
      <c r="L60" s="440"/>
    </row>
    <row r="61" spans="1:12" s="3" customFormat="1" ht="26.25" customHeight="1" x14ac:dyDescent="0.4">
      <c r="A61" s="452" t="s">
        <v>95</v>
      </c>
      <c r="B61" s="453">
        <v>10</v>
      </c>
      <c r="C61" s="693"/>
      <c r="D61" s="696"/>
      <c r="E61" s="512">
        <v>2</v>
      </c>
      <c r="F61" s="465">
        <v>68194947</v>
      </c>
      <c r="G61" s="577">
        <f>IF(ISBLANK(F61),"-",(F61/$D$50*$D$47*$B$68)*($B$57/$D$60))</f>
        <v>60.930077929425721</v>
      </c>
      <c r="H61" s="595">
        <f t="shared" si="0"/>
        <v>101.5501298823762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93"/>
      <c r="D62" s="696"/>
      <c r="E62" s="512">
        <v>3</v>
      </c>
      <c r="F62" s="513">
        <v>68458936</v>
      </c>
      <c r="G62" s="577">
        <f>IF(ISBLANK(F62),"-",(F62/$D$50*$D$47*$B$68)*($B$57/$D$60))</f>
        <v>61.165943943699631</v>
      </c>
      <c r="H62" s="595">
        <f t="shared" si="0"/>
        <v>101.94323990616606</v>
      </c>
      <c r="L62" s="440"/>
    </row>
    <row r="63" spans="1:12" ht="27" customHeight="1" x14ac:dyDescent="0.4">
      <c r="A63" s="452" t="s">
        <v>97</v>
      </c>
      <c r="B63" s="453">
        <v>1</v>
      </c>
      <c r="C63" s="694"/>
      <c r="D63" s="697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92" t="s">
        <v>99</v>
      </c>
      <c r="D64" s="695">
        <v>348.91</v>
      </c>
      <c r="E64" s="510">
        <v>1</v>
      </c>
      <c r="F64" s="511">
        <v>70182040</v>
      </c>
      <c r="G64" s="576">
        <f>IF(ISBLANK(F64),"-",(F64/$D$50*$D$47*$B$68)*($B$57/$D$64))</f>
        <v>61.959653511200671</v>
      </c>
      <c r="H64" s="594">
        <f t="shared" si="0"/>
        <v>103.26608918533444</v>
      </c>
    </row>
    <row r="65" spans="1:8" ht="26.25" customHeight="1" x14ac:dyDescent="0.4">
      <c r="A65" s="452" t="s">
        <v>100</v>
      </c>
      <c r="B65" s="453">
        <v>1</v>
      </c>
      <c r="C65" s="693"/>
      <c r="D65" s="696"/>
      <c r="E65" s="512">
        <v>2</v>
      </c>
      <c r="F65" s="465">
        <v>70027583</v>
      </c>
      <c r="G65" s="577">
        <f>IF(ISBLANK(F65),"-",(F65/$D$50*$D$47*$B$68)*($B$57/$D$64))</f>
        <v>61.823292382308153</v>
      </c>
      <c r="H65" s="595">
        <f t="shared" si="0"/>
        <v>103.03882063718027</v>
      </c>
    </row>
    <row r="66" spans="1:8" ht="26.25" customHeight="1" x14ac:dyDescent="0.4">
      <c r="A66" s="452" t="s">
        <v>101</v>
      </c>
      <c r="B66" s="453">
        <v>1</v>
      </c>
      <c r="C66" s="693"/>
      <c r="D66" s="696"/>
      <c r="E66" s="512">
        <v>3</v>
      </c>
      <c r="F66" s="465">
        <v>70143636</v>
      </c>
      <c r="G66" s="577">
        <f>IF(ISBLANK(F66),"-",(F66/$D$50*$D$47*$B$68)*($B$57/$D$64))</f>
        <v>61.925748846510899</v>
      </c>
      <c r="H66" s="595">
        <f t="shared" si="0"/>
        <v>103.2095814108515</v>
      </c>
    </row>
    <row r="67" spans="1:8" ht="27" customHeight="1" x14ac:dyDescent="0.4">
      <c r="A67" s="452" t="s">
        <v>102</v>
      </c>
      <c r="B67" s="453">
        <v>1</v>
      </c>
      <c r="C67" s="694"/>
      <c r="D67" s="697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200</v>
      </c>
      <c r="C68" s="692" t="s">
        <v>104</v>
      </c>
      <c r="D68" s="695">
        <v>359.42</v>
      </c>
      <c r="E68" s="510">
        <v>1</v>
      </c>
      <c r="F68" s="511">
        <v>70699195</v>
      </c>
      <c r="G68" s="576">
        <f>IF(ISBLANK(F68),"-",(F68/$D$50*$D$47*$B$68)*($B$57/$D$68))</f>
        <v>60.59107229985711</v>
      </c>
      <c r="H68" s="595">
        <f t="shared" si="0"/>
        <v>100.98512049976185</v>
      </c>
    </row>
    <row r="69" spans="1:8" ht="27" customHeight="1" x14ac:dyDescent="0.4">
      <c r="A69" s="500" t="s">
        <v>105</v>
      </c>
      <c r="B69" s="517">
        <f>(D47*B68)/B56*B57</f>
        <v>348.65550000000007</v>
      </c>
      <c r="C69" s="693"/>
      <c r="D69" s="696"/>
      <c r="E69" s="512">
        <v>2</v>
      </c>
      <c r="F69" s="465">
        <v>70625163</v>
      </c>
      <c r="G69" s="577">
        <f>IF(ISBLANK(F69),"-",(F69/$D$50*$D$47*$B$68)*($B$57/$D$68))</f>
        <v>60.527624925887686</v>
      </c>
      <c r="H69" s="595">
        <f t="shared" si="0"/>
        <v>100.87937487647946</v>
      </c>
    </row>
    <row r="70" spans="1:8" ht="26.25" customHeight="1" x14ac:dyDescent="0.4">
      <c r="A70" s="705" t="s">
        <v>78</v>
      </c>
      <c r="B70" s="706"/>
      <c r="C70" s="693"/>
      <c r="D70" s="696"/>
      <c r="E70" s="512">
        <v>3</v>
      </c>
      <c r="F70" s="465">
        <v>70538332</v>
      </c>
      <c r="G70" s="577">
        <f>IF(ISBLANK(F70),"-",(F70/$D$50*$D$47*$B$68)*($B$57/$D$68))</f>
        <v>60.453208471798369</v>
      </c>
      <c r="H70" s="595">
        <f t="shared" si="0"/>
        <v>100.75534745299728</v>
      </c>
    </row>
    <row r="71" spans="1:8" ht="27" customHeight="1" x14ac:dyDescent="0.4">
      <c r="A71" s="707"/>
      <c r="B71" s="708"/>
      <c r="C71" s="704"/>
      <c r="D71" s="697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61.184568069784667</v>
      </c>
      <c r="H72" s="597">
        <f>AVERAGE(H60:H71)</f>
        <v>101.97428011630778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9.9279990347007543E-3</v>
      </c>
      <c r="H73" s="581">
        <f>STDEV(H60:H71)/H72</f>
        <v>9.9279990347007682E-3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700" t="str">
        <f>B26</f>
        <v>Zidovudine</v>
      </c>
      <c r="D76" s="700"/>
      <c r="E76" s="526" t="s">
        <v>108</v>
      </c>
      <c r="F76" s="526"/>
      <c r="G76" s="613">
        <f>H72</f>
        <v>101.97428011630778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86"/>
      <c r="C79" s="686"/>
    </row>
    <row r="80" spans="1:8" ht="26.25" customHeight="1" x14ac:dyDescent="0.4">
      <c r="A80" s="437" t="s">
        <v>48</v>
      </c>
      <c r="B80" s="686"/>
      <c r="C80" s="686"/>
    </row>
    <row r="81" spans="1:12" ht="27" customHeight="1" x14ac:dyDescent="0.4">
      <c r="A81" s="437" t="s">
        <v>6</v>
      </c>
      <c r="B81" s="529"/>
    </row>
    <row r="82" spans="1:12" s="3" customFormat="1" ht="27" customHeight="1" x14ac:dyDescent="0.4">
      <c r="A82" s="437" t="s">
        <v>49</v>
      </c>
      <c r="B82" s="439">
        <v>0</v>
      </c>
      <c r="C82" s="677" t="s">
        <v>50</v>
      </c>
      <c r="D82" s="678"/>
      <c r="E82" s="678"/>
      <c r="F82" s="678"/>
      <c r="G82" s="679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0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80" t="s">
        <v>111</v>
      </c>
      <c r="D84" s="681"/>
      <c r="E84" s="681"/>
      <c r="F84" s="681"/>
      <c r="G84" s="681"/>
      <c r="H84" s="682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80" t="s">
        <v>112</v>
      </c>
      <c r="D85" s="681"/>
      <c r="E85" s="681"/>
      <c r="F85" s="681"/>
      <c r="G85" s="681"/>
      <c r="H85" s="682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1</v>
      </c>
      <c r="D89" s="530" t="s">
        <v>59</v>
      </c>
      <c r="E89" s="531"/>
      <c r="F89" s="683" t="s">
        <v>60</v>
      </c>
      <c r="G89" s="685"/>
    </row>
    <row r="90" spans="1:12" ht="27" customHeight="1" x14ac:dyDescent="0.4">
      <c r="A90" s="452" t="s">
        <v>61</v>
      </c>
      <c r="B90" s="453">
        <v>1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1</v>
      </c>
      <c r="C91" s="534">
        <v>1</v>
      </c>
      <c r="D91" s="460"/>
      <c r="E91" s="461" t="str">
        <f>IF(ISBLANK(D91),"-",$D$101/$D$98*D91)</f>
        <v>-</v>
      </c>
      <c r="F91" s="460"/>
      <c r="G91" s="462" t="str">
        <f>IF(ISBLANK(F91),"-",$D$101/$F$98*F91)</f>
        <v>-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/>
      <c r="E92" s="466" t="str">
        <f>IF(ISBLANK(D92),"-",$D$101/$D$98*D92)</f>
        <v>-</v>
      </c>
      <c r="F92" s="465"/>
      <c r="G92" s="467" t="str">
        <f>IF(ISBLANK(F92),"-",$D$101/$F$98*F92)</f>
        <v>-</v>
      </c>
      <c r="I92" s="687" t="e">
        <f>ABS((F96/D96*D95)-F95)/D95</f>
        <v>#DIV/0!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/>
      <c r="E93" s="466" t="str">
        <f>IF(ISBLANK(D93),"-",$D$101/$D$98*D93)</f>
        <v>-</v>
      </c>
      <c r="F93" s="465"/>
      <c r="G93" s="467" t="str">
        <f>IF(ISBLANK(F93),"-",$D$101/$F$98*F93)</f>
        <v>-</v>
      </c>
      <c r="I93" s="687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 t="e">
        <f>AVERAGE(D91:D94)</f>
        <v>#DIV/0!</v>
      </c>
      <c r="E95" s="476" t="e">
        <f>AVERAGE(E91:E94)</f>
        <v>#DIV/0!</v>
      </c>
      <c r="F95" s="539" t="e">
        <f>AVERAGE(F91:F94)</f>
        <v>#DIV/0!</v>
      </c>
      <c r="G95" s="540" t="e">
        <f>AVERAGE(G91:G94)</f>
        <v>#DIV/0!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/>
      <c r="E96" s="468"/>
      <c r="F96" s="480"/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0</v>
      </c>
      <c r="E97" s="483"/>
      <c r="F97" s="482">
        <f>F96*$B$87</f>
        <v>0</v>
      </c>
    </row>
    <row r="98" spans="1:10" ht="19.5" customHeight="1" x14ac:dyDescent="0.3">
      <c r="A98" s="452" t="s">
        <v>76</v>
      </c>
      <c r="B98" s="545">
        <f>(B97/B96)*(B95/B94)*(B93/B92)*(B91/B90)*B89</f>
        <v>1</v>
      </c>
      <c r="C98" s="543" t="s">
        <v>115</v>
      </c>
      <c r="D98" s="546">
        <f>D97*$B$83/100</f>
        <v>0</v>
      </c>
      <c r="E98" s="486"/>
      <c r="F98" s="485">
        <f>F97*$B$83/100</f>
        <v>0</v>
      </c>
    </row>
    <row r="99" spans="1:10" ht="19.5" customHeight="1" x14ac:dyDescent="0.3">
      <c r="A99" s="688" t="s">
        <v>78</v>
      </c>
      <c r="B99" s="702"/>
      <c r="C99" s="543" t="s">
        <v>116</v>
      </c>
      <c r="D99" s="547">
        <f>D98/$B$98</f>
        <v>0</v>
      </c>
      <c r="E99" s="486"/>
      <c r="F99" s="489">
        <f>F98/$B$98</f>
        <v>0</v>
      </c>
      <c r="G99" s="548"/>
      <c r="H99" s="478"/>
    </row>
    <row r="100" spans="1:10" ht="19.5" customHeight="1" x14ac:dyDescent="0.3">
      <c r="A100" s="690"/>
      <c r="B100" s="703"/>
      <c r="C100" s="543" t="s">
        <v>80</v>
      </c>
      <c r="D100" s="549">
        <f>$B$56/$B$116</f>
        <v>60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60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60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 t="e">
        <f>AVERAGE(E91:E94,G91:G94)</f>
        <v>#DIV/0!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 t="e">
        <f>STDEV(E91:E94,G91:G94)/D103</f>
        <v>#DIV/0!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0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1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/>
      <c r="E108" s="578" t="str">
        <f t="shared" ref="E108:E113" si="1">IF(ISBLANK(D108),"-",D108/$D$103*$D$100*$B$116)</f>
        <v>-</v>
      </c>
      <c r="F108" s="605" t="str">
        <f t="shared" ref="F108:F113" si="2">IF(ISBLANK(D108), "-", (E108/$B$56)*100)</f>
        <v>-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/>
      <c r="E109" s="579" t="str">
        <f t="shared" si="1"/>
        <v>-</v>
      </c>
      <c r="F109" s="606" t="str">
        <f t="shared" si="2"/>
        <v>-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/>
      <c r="E110" s="579" t="str">
        <f t="shared" si="1"/>
        <v>-</v>
      </c>
      <c r="F110" s="606" t="str">
        <f t="shared" si="2"/>
        <v>-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/>
      <c r="E111" s="579" t="str">
        <f t="shared" si="1"/>
        <v>-</v>
      </c>
      <c r="F111" s="606" t="str">
        <f t="shared" si="2"/>
        <v>-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/>
      <c r="E112" s="579" t="str">
        <f t="shared" si="1"/>
        <v>-</v>
      </c>
      <c r="F112" s="606" t="str">
        <f t="shared" si="2"/>
        <v>-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/>
      <c r="E113" s="580" t="str">
        <f t="shared" si="1"/>
        <v>-</v>
      </c>
      <c r="F113" s="607" t="str">
        <f t="shared" si="2"/>
        <v>-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 t="e">
        <f>AVERAGE(E108:E113)</f>
        <v>#DIV/0!</v>
      </c>
      <c r="F115" s="609" t="e">
        <f>AVERAGE(F108:F113)</f>
        <v>#DIV/0!</v>
      </c>
    </row>
    <row r="116" spans="1:10" ht="27" customHeight="1" x14ac:dyDescent="0.4">
      <c r="A116" s="452" t="s">
        <v>103</v>
      </c>
      <c r="B116" s="484">
        <f>(B115/B114)*(B113/B112)*(B111/B110)*(B109/B108)*B107</f>
        <v>1</v>
      </c>
      <c r="C116" s="562"/>
      <c r="D116" s="586" t="s">
        <v>84</v>
      </c>
      <c r="E116" s="584" t="e">
        <f>STDEV(E108:E113)/E115</f>
        <v>#DIV/0!</v>
      </c>
      <c r="F116" s="563" t="e">
        <f>STDEV(F108:F113)/F115</f>
        <v>#DIV/0!</v>
      </c>
      <c r="I116" s="426"/>
    </row>
    <row r="117" spans="1:10" ht="27" customHeight="1" x14ac:dyDescent="0.4">
      <c r="A117" s="688" t="s">
        <v>78</v>
      </c>
      <c r="B117" s="689"/>
      <c r="C117" s="564"/>
      <c r="D117" s="523" t="s">
        <v>20</v>
      </c>
      <c r="E117" s="589">
        <f>COUNT(E108:E113)</f>
        <v>0</v>
      </c>
      <c r="F117" s="590">
        <f>COUNT(F108:F113)</f>
        <v>0</v>
      </c>
      <c r="I117" s="426"/>
      <c r="J117" s="557"/>
    </row>
    <row r="118" spans="1:10" ht="26.25" customHeight="1" x14ac:dyDescent="0.3">
      <c r="A118" s="690"/>
      <c r="B118" s="691"/>
      <c r="C118" s="426"/>
      <c r="D118" s="588"/>
      <c r="E118" s="668" t="s">
        <v>123</v>
      </c>
      <c r="F118" s="669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0</v>
      </c>
      <c r="F119" s="610">
        <f>MIN(F108:F113)</f>
        <v>0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0</v>
      </c>
      <c r="F120" s="611">
        <f>MAX(F108:F113)</f>
        <v>0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700" t="str">
        <f>B26</f>
        <v>Zidovudine</v>
      </c>
      <c r="D124" s="700"/>
      <c r="E124" s="526" t="s">
        <v>127</v>
      </c>
      <c r="F124" s="526"/>
      <c r="G124" s="612" t="e">
        <f>F115</f>
        <v>#DIV/0!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0</v>
      </c>
      <c r="E125" s="537" t="s">
        <v>130</v>
      </c>
      <c r="F125" s="612">
        <f>MAX(F108:F113)</f>
        <v>0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701" t="s">
        <v>26</v>
      </c>
      <c r="C127" s="701"/>
      <c r="E127" s="532" t="s">
        <v>27</v>
      </c>
      <c r="F127" s="567"/>
      <c r="G127" s="701" t="s">
        <v>28</v>
      </c>
      <c r="H127" s="701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Zidovudine</vt:lpstr>
      <vt:lpstr>SST Nevirapine</vt:lpstr>
      <vt:lpstr>SST Lamivudine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2017-09-04T12:42:09Z</cp:lastPrinted>
  <dcterms:created xsi:type="dcterms:W3CDTF">2005-07-05T10:19:27Z</dcterms:created>
  <dcterms:modified xsi:type="dcterms:W3CDTF">2017-09-04T12:47:42Z</dcterms:modified>
</cp:coreProperties>
</file>