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 S-epimer" sheetId="1" r:id="rId1"/>
    <sheet name="SST R-epimer" sheetId="5" r:id="rId2"/>
    <sheet name="Uniformity" sheetId="2" r:id="rId3"/>
    <sheet name="Cefpodoxime" sheetId="3" r:id="rId4"/>
  </sheets>
  <definedNames>
    <definedName name="_xlnm.Print_Area" localSheetId="3">Cefpodoxime!$A$1:$I$129</definedName>
    <definedName name="_xlnm.Print_Area" localSheetId="1">'SST R-epimer'!$A$14:$H$61</definedName>
    <definedName name="_xlnm.Print_Area" localSheetId="0">'SST S-epimer'!$A$15:$G$61</definedName>
    <definedName name="_xlnm.Print_Area" localSheetId="2">Uniformity!$A$10:$K$54</definedName>
  </definedNames>
  <calcPr calcId="145621"/>
</workbook>
</file>

<file path=xl/calcChain.xml><?xml version="1.0" encoding="utf-8"?>
<calcChain xmlns="http://schemas.openxmlformats.org/spreadsheetml/2006/main">
  <c r="E51" i="5" l="1"/>
  <c r="E30" i="5"/>
  <c r="B21" i="1"/>
  <c r="B21" i="5"/>
  <c r="F70" i="3"/>
  <c r="F69" i="3"/>
  <c r="F68" i="3"/>
  <c r="F66" i="3"/>
  <c r="F65" i="3"/>
  <c r="F64" i="3"/>
  <c r="F40" i="3"/>
  <c r="F39" i="3"/>
  <c r="F38" i="3"/>
  <c r="D40" i="3"/>
  <c r="D39" i="3"/>
  <c r="D38" i="3"/>
  <c r="B30" i="1" l="1"/>
  <c r="B31" i="1" s="1"/>
  <c r="B53" i="5"/>
  <c r="F51" i="5"/>
  <c r="D51" i="5"/>
  <c r="C51" i="5"/>
  <c r="B51" i="5"/>
  <c r="B52" i="5" s="1"/>
  <c r="F30" i="5"/>
  <c r="D30" i="5"/>
  <c r="C30" i="5"/>
  <c r="B32" i="5"/>
  <c r="C124" i="3"/>
  <c r="B116" i="3"/>
  <c r="D100" i="3" s="1"/>
  <c r="B98" i="3"/>
  <c r="F95" i="3"/>
  <c r="D95" i="3"/>
  <c r="I92" i="3" s="1"/>
  <c r="B87" i="3"/>
  <c r="D97" i="3" s="1"/>
  <c r="B83" i="3"/>
  <c r="C76" i="3"/>
  <c r="B68" i="3"/>
  <c r="C56" i="3"/>
  <c r="B55" i="3"/>
  <c r="B45" i="3"/>
  <c r="D48" i="3" s="1"/>
  <c r="D49" i="3" s="1"/>
  <c r="F42" i="3"/>
  <c r="D42" i="3"/>
  <c r="B34" i="3"/>
  <c r="F44" i="3" s="1"/>
  <c r="B30" i="3"/>
  <c r="D50" i="2"/>
  <c r="C49" i="2"/>
  <c r="B49" i="2"/>
  <c r="C46" i="2"/>
  <c r="C45" i="2"/>
  <c r="D43" i="2"/>
  <c r="D42" i="2"/>
  <c r="D41" i="2"/>
  <c r="D39" i="2"/>
  <c r="D38" i="2"/>
  <c r="D37" i="2"/>
  <c r="D35" i="2"/>
  <c r="D34" i="2"/>
  <c r="D33" i="2"/>
  <c r="D31" i="2"/>
  <c r="D30" i="2"/>
  <c r="D29" i="2"/>
  <c r="D27" i="2"/>
  <c r="D26" i="2"/>
  <c r="D25" i="2"/>
  <c r="C19" i="2"/>
  <c r="B53" i="1"/>
  <c r="E51" i="1"/>
  <c r="D51" i="1"/>
  <c r="C51" i="1"/>
  <c r="B51" i="1"/>
  <c r="B52" i="1" s="1"/>
  <c r="E30" i="1"/>
  <c r="D30" i="1"/>
  <c r="C30" i="1"/>
  <c r="B30" i="5" l="1"/>
  <c r="B31" i="5" s="1"/>
  <c r="B32" i="1"/>
  <c r="D101" i="3"/>
  <c r="D102" i="3" s="1"/>
  <c r="F97" i="3"/>
  <c r="D98" i="3"/>
  <c r="D99" i="3" s="1"/>
  <c r="I39" i="3"/>
  <c r="D44" i="3"/>
  <c r="D45" i="3" s="1"/>
  <c r="F45" i="3"/>
  <c r="G38" i="3" s="1"/>
  <c r="F98" i="3"/>
  <c r="F99" i="3" s="1"/>
  <c r="D24" i="2"/>
  <c r="D28" i="2"/>
  <c r="D32" i="2"/>
  <c r="D36" i="2"/>
  <c r="D40" i="2"/>
  <c r="D49" i="2"/>
  <c r="B57" i="3"/>
  <c r="B69" i="3" s="1"/>
  <c r="C50" i="2"/>
  <c r="E94" i="3" l="1"/>
  <c r="G91" i="3"/>
  <c r="E93" i="3"/>
  <c r="G92" i="3"/>
  <c r="E91" i="3"/>
  <c r="E92" i="3"/>
  <c r="G94" i="3"/>
  <c r="G93" i="3"/>
  <c r="E40" i="3"/>
  <c r="E38" i="3"/>
  <c r="D46" i="3"/>
  <c r="E39" i="3"/>
  <c r="G41" i="3"/>
  <c r="F46" i="3"/>
  <c r="G40" i="3"/>
  <c r="G39" i="3"/>
  <c r="E41" i="3"/>
  <c r="G95" i="3" l="1"/>
  <c r="E95" i="3"/>
  <c r="D103" i="3"/>
  <c r="E112" i="3" s="1"/>
  <c r="F112" i="3" s="1"/>
  <c r="D105" i="3"/>
  <c r="E42" i="3"/>
  <c r="D52" i="3"/>
  <c r="D50" i="3"/>
  <c r="G71" i="3" s="1"/>
  <c r="H71" i="3" s="1"/>
  <c r="G42" i="3"/>
  <c r="D104" i="3" l="1"/>
  <c r="E113" i="3"/>
  <c r="F113" i="3" s="1"/>
  <c r="E108" i="3"/>
  <c r="E109" i="3"/>
  <c r="F109" i="3" s="1"/>
  <c r="E110" i="3"/>
  <c r="F110" i="3" s="1"/>
  <c r="E111" i="3"/>
  <c r="F111" i="3" s="1"/>
  <c r="G70" i="3"/>
  <c r="H70" i="3" s="1"/>
  <c r="D51" i="3"/>
  <c r="G68" i="3"/>
  <c r="H68" i="3" s="1"/>
  <c r="G61" i="3"/>
  <c r="H61" i="3" s="1"/>
  <c r="G64" i="3"/>
  <c r="H64" i="3" s="1"/>
  <c r="G63" i="3"/>
  <c r="H63" i="3" s="1"/>
  <c r="G66" i="3"/>
  <c r="H66" i="3" s="1"/>
  <c r="G65" i="3"/>
  <c r="H65" i="3" s="1"/>
  <c r="G60" i="3"/>
  <c r="H60" i="3" s="1"/>
  <c r="G69" i="3"/>
  <c r="H69" i="3" s="1"/>
  <c r="G67" i="3"/>
  <c r="H67" i="3" s="1"/>
  <c r="G62" i="3"/>
  <c r="H62" i="3" s="1"/>
  <c r="E119" i="3" l="1"/>
  <c r="E115" i="3"/>
  <c r="E116" i="3" s="1"/>
  <c r="F108" i="3"/>
  <c r="F117" i="3" s="1"/>
  <c r="E120" i="3"/>
  <c r="E117" i="3"/>
  <c r="G72" i="3"/>
  <c r="G73" i="3" s="1"/>
  <c r="G74" i="3"/>
  <c r="H74" i="3"/>
  <c r="H72" i="3"/>
  <c r="F115" i="3" l="1"/>
  <c r="F116" i="3" s="1"/>
  <c r="F120" i="3"/>
  <c r="F125" i="3"/>
  <c r="D125" i="3"/>
  <c r="F119" i="3"/>
  <c r="G76" i="3"/>
  <c r="H73" i="3"/>
  <c r="G124" i="3" l="1"/>
</calcChain>
</file>

<file path=xl/sharedStrings.xml><?xml version="1.0" encoding="utf-8"?>
<sst xmlns="http://schemas.openxmlformats.org/spreadsheetml/2006/main" count="288" uniqueCount="139">
  <si>
    <t>HPLC System Suitability Report</t>
  </si>
  <si>
    <t>Analysis Data</t>
  </si>
  <si>
    <t>Assay</t>
  </si>
  <si>
    <t>Sample(s)</t>
  </si>
  <si>
    <t>Reference Substance:</t>
  </si>
  <si>
    <t>CEFPODOXIME 100 TABLETS</t>
  </si>
  <si>
    <t>% age Purity:</t>
  </si>
  <si>
    <t>NDQD201711264</t>
  </si>
  <si>
    <t>Weight (mg):</t>
  </si>
  <si>
    <t>Cefpodoxime Proxetil</t>
  </si>
  <si>
    <t>Standard Conc (mg/mL):</t>
  </si>
  <si>
    <t>Each uncoated dispersible tablet contains:Cefpodoxime Proxetil USP equivalent  to Cefpodoxime 100 mg.</t>
  </si>
  <si>
    <t>2017-11-06 14:15:20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</si>
  <si>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</si>
  <si>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</si>
  <si>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</si>
  <si>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</si>
  <si>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</si>
  <si>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</si>
  <si>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</si>
  <si>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</si>
  <si>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</si>
  <si>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</si>
  <si>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</si>
  <si>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</si>
  <si>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</si>
  <si>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</si>
  <si>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</si>
  <si>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</si>
  <si>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</si>
  <si>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</si>
  <si>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</si>
  <si>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</si>
  <si>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</si>
  <si>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</si>
  <si>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</si>
  <si>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</si>
  <si>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</si>
  <si>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</si>
  <si>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</si>
  <si>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</si>
  <si>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</si>
  <si>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</si>
  <si>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</si>
  <si>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</si>
  <si>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</si>
  <si>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</si>
  <si>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</si>
  <si>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</si>
  <si>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</si>
  <si>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</si>
  <si>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</si>
  <si>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</si>
  <si>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</si>
  <si>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</si>
  <si>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</si>
  <si>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</si>
  <si>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</si>
  <si>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</si>
  <si>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</si>
  <si>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</si>
  <si>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</si>
  <si>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</si>
  <si>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</si>
  <si>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</si>
  <si>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</si>
  <si>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</si>
  <si>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</si>
  <si>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</si>
  <si>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</si>
  <si>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</si>
  <si>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</si>
  <si>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</si>
  <si>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</si>
  <si>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</si>
  <si>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</si>
  <si>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</si>
  <si>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</si>
  <si>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</si>
  <si>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</si>
  <si>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</si>
  <si>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</si>
  <si>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</si>
  <si>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</si>
  <si>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</si>
  <si>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</si>
  <si>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</si>
  <si>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</si>
  <si>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</si>
  <si>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</si>
  <si>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</si>
  <si>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</si>
  <si>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</si>
  <si>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</si>
  <si>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</si>
  <si>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</si>
  <si>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</si>
  <si>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</si>
  <si>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</si>
  <si>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</si>
  <si>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</si>
  <si>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</si>
  <si>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</si>
  <si>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</si>
  <si>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</si>
  <si>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</si>
  <si>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</si>
  <si>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</si>
  <si>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</si>
  <si>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</si>
  <si>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</si>
  <si>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</si>
  <si>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</si>
  <si>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</si>
  <si>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</si>
  <si>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</si>
  <si>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</si>
  <si>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</si>
  <si>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</si>
  <si>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</si>
  <si>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</si>
  <si>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</si>
  <si>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</si>
  <si>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</si>
  <si>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</si>
  <si>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</si>
  <si>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</si>
  <si>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</si>
  <si>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</si>
  <si>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</si>
  <si>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</si>
  <si>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Cefpodoxime  Proxetil</t>
  </si>
  <si>
    <t>C68-2</t>
  </si>
  <si>
    <t xml:space="preserve">     Cefpodoxime Proxetil</t>
  </si>
  <si>
    <r>
      <t xml:space="preserve">The tailing factor for Cefpodoxime Proxetil R-epimer is </t>
    </r>
    <r>
      <rPr>
        <b/>
        <sz val="12"/>
        <color rgb="FF000000"/>
        <rFont val="Book Antiqua"/>
        <family val="1"/>
      </rPr>
      <t>NMT 1.5.</t>
    </r>
  </si>
  <si>
    <r>
      <t xml:space="preserve">The resolution between Cefpodoxime Proxetil S-epimer and Cefpodoxime Proxetil R-epimer is </t>
    </r>
    <r>
      <rPr>
        <b/>
        <sz val="12"/>
        <color rgb="FF000000"/>
        <rFont val="Book Antiqua"/>
        <family val="1"/>
      </rPr>
      <t>NLT 2.5</t>
    </r>
  </si>
  <si>
    <t>Resolution(USP)</t>
  </si>
  <si>
    <t>RUTTO   KENNEDY</t>
  </si>
  <si>
    <t>RUTTO   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</si>
</sst>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8" fontId="14" fillId="3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2" fillId="2" borderId="0" xfId="0" applyNumberFormat="1" applyFont="1" applyFill="1" applyBorder="1"/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9" t="s">
        <v>0</v>
      </c>
      <c r="B15" s="289"/>
      <c r="C15" s="289"/>
      <c r="D15" s="289"/>
      <c r="E15" s="28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75.61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15.21</v>
      </c>
      <c r="C20" s="10"/>
      <c r="D20" s="10"/>
      <c r="E20" s="10"/>
    </row>
    <row r="21" spans="1:6" ht="16.5" customHeight="1" x14ac:dyDescent="0.3">
      <c r="A21" s="7" t="s">
        <v>10</v>
      </c>
      <c r="B21" s="13">
        <f>15.21/25*5/100</f>
        <v>3.0420000000000003E-2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6004666</v>
      </c>
      <c r="C24" s="18">
        <v>12869.67</v>
      </c>
      <c r="D24" s="19">
        <v>1.02</v>
      </c>
      <c r="E24" s="20">
        <v>25.06</v>
      </c>
    </row>
    <row r="25" spans="1:6" ht="16.5" customHeight="1" x14ac:dyDescent="0.3">
      <c r="A25" s="17">
        <v>2</v>
      </c>
      <c r="B25" s="18">
        <v>6014345</v>
      </c>
      <c r="C25" s="18">
        <v>12559.88</v>
      </c>
      <c r="D25" s="19">
        <v>1.03</v>
      </c>
      <c r="E25" s="19">
        <v>25.06</v>
      </c>
    </row>
    <row r="26" spans="1:6" ht="16.5" customHeight="1" x14ac:dyDescent="0.3">
      <c r="A26" s="17">
        <v>3</v>
      </c>
      <c r="B26" s="18">
        <v>6016324</v>
      </c>
      <c r="C26" s="19">
        <v>12413.4</v>
      </c>
      <c r="D26" s="19">
        <v>1.03</v>
      </c>
      <c r="E26" s="19">
        <v>25.06</v>
      </c>
    </row>
    <row r="27" spans="1:6" ht="16.5" customHeight="1" x14ac:dyDescent="0.3">
      <c r="A27" s="17">
        <v>4</v>
      </c>
      <c r="B27" s="18">
        <v>6030789</v>
      </c>
      <c r="C27" s="18">
        <v>12331.92</v>
      </c>
      <c r="D27" s="19">
        <v>1.03</v>
      </c>
      <c r="E27" s="19">
        <v>25.08</v>
      </c>
    </row>
    <row r="28" spans="1:6" ht="16.5" customHeight="1" x14ac:dyDescent="0.3">
      <c r="A28" s="17">
        <v>5</v>
      </c>
      <c r="B28" s="18">
        <v>6037771</v>
      </c>
      <c r="C28" s="18">
        <v>12407.17</v>
      </c>
      <c r="D28" s="19">
        <v>1.03</v>
      </c>
      <c r="E28" s="19">
        <v>25.073</v>
      </c>
    </row>
    <row r="29" spans="1:6" ht="16.5" customHeight="1" x14ac:dyDescent="0.3">
      <c r="A29" s="17">
        <v>6</v>
      </c>
      <c r="B29" s="21">
        <v>6039555</v>
      </c>
      <c r="C29" s="21">
        <v>12384.39</v>
      </c>
      <c r="D29" s="22">
        <v>1.03</v>
      </c>
      <c r="E29" s="22">
        <v>25.09</v>
      </c>
    </row>
    <row r="30" spans="1:6" ht="16.5" customHeight="1" x14ac:dyDescent="0.3">
      <c r="A30" s="23" t="s">
        <v>18</v>
      </c>
      <c r="B30" s="24">
        <f>AVERAGE(B24:B29)</f>
        <v>6023908.333333333</v>
      </c>
      <c r="C30" s="25">
        <f>AVERAGE(C24:C29)</f>
        <v>12494.404999999999</v>
      </c>
      <c r="D30" s="26">
        <f>AVERAGE(D24:D29)</f>
        <v>1.0283333333333335</v>
      </c>
      <c r="E30" s="26">
        <f>AVERAGE(E24:E29)</f>
        <v>25.070499999999999</v>
      </c>
    </row>
    <row r="31" spans="1:6" ht="16.5" customHeight="1" x14ac:dyDescent="0.3">
      <c r="A31" s="27" t="s">
        <v>19</v>
      </c>
      <c r="B31" s="28">
        <f>(STDEV(B24:B29)/B30)</f>
        <v>2.3518688635771824E-3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134</v>
      </c>
      <c r="C36" s="38"/>
      <c r="D36" s="38"/>
      <c r="E36" s="38"/>
    </row>
    <row r="37" spans="1:6" ht="15.75" customHeight="1" x14ac:dyDescent="0.3">
      <c r="A37" s="10"/>
      <c r="B37" s="10" t="s">
        <v>135</v>
      </c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AVERAGE(C39:C50)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0" t="s">
        <v>26</v>
      </c>
      <c r="C59" s="290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137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1" workbookViewId="0">
      <selection activeCell="A15" sqref="A15:H61"/>
    </sheetView>
  </sheetViews>
  <sheetFormatPr defaultRowHeight="13.5" x14ac:dyDescent="0.25"/>
  <cols>
    <col min="1" max="1" width="27.5703125" style="288" customWidth="1"/>
    <col min="2" max="2" width="20.42578125" style="288" customWidth="1"/>
    <col min="3" max="3" width="31.85546875" style="288" customWidth="1"/>
    <col min="4" max="5" width="25.85546875" style="288" customWidth="1"/>
    <col min="6" max="6" width="25.7109375" style="288" customWidth="1"/>
    <col min="7" max="7" width="23.140625" style="288" customWidth="1"/>
    <col min="8" max="8" width="28.42578125" style="288" customWidth="1"/>
    <col min="9" max="9" width="21.5703125" style="288" customWidth="1"/>
    <col min="10" max="10" width="9.140625" style="288" customWidth="1"/>
    <col min="11" max="16384" width="9.140625" style="44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289" t="s">
        <v>0</v>
      </c>
      <c r="B15" s="289"/>
      <c r="C15" s="289"/>
      <c r="D15" s="289"/>
      <c r="E15" s="289"/>
      <c r="F15" s="289"/>
    </row>
    <row r="16" spans="1:7" ht="16.5" customHeight="1" x14ac:dyDescent="0.3">
      <c r="A16" s="90" t="s">
        <v>1</v>
      </c>
      <c r="B16" s="59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72"/>
    </row>
    <row r="18" spans="1:6" ht="16.5" customHeight="1" x14ac:dyDescent="0.3">
      <c r="A18" s="75" t="s">
        <v>4</v>
      </c>
      <c r="B18" s="12" t="s">
        <v>133</v>
      </c>
      <c r="C18" s="72"/>
      <c r="D18" s="72"/>
      <c r="E18" s="72"/>
      <c r="F18" s="72"/>
    </row>
    <row r="19" spans="1:6" ht="16.5" customHeight="1" x14ac:dyDescent="0.3">
      <c r="A19" s="75" t="s">
        <v>6</v>
      </c>
      <c r="B19" s="12">
        <v>75.61</v>
      </c>
      <c r="C19" s="72"/>
      <c r="D19" s="72"/>
      <c r="E19" s="72"/>
      <c r="F19" s="72"/>
    </row>
    <row r="20" spans="1:6" ht="16.5" customHeight="1" x14ac:dyDescent="0.3">
      <c r="A20" s="8" t="s">
        <v>8</v>
      </c>
      <c r="B20" s="12">
        <v>15.21</v>
      </c>
      <c r="C20" s="72"/>
      <c r="D20" s="72"/>
      <c r="E20" s="72"/>
      <c r="F20" s="72"/>
    </row>
    <row r="21" spans="1:6" ht="16.5" customHeight="1" x14ac:dyDescent="0.3">
      <c r="A21" s="8" t="s">
        <v>10</v>
      </c>
      <c r="B21" s="13">
        <f>15.21/25*5/100</f>
        <v>3.0420000000000003E-2</v>
      </c>
      <c r="C21" s="72"/>
      <c r="D21" s="72"/>
      <c r="E21" s="72"/>
      <c r="F21" s="72"/>
    </row>
    <row r="22" spans="1:6" ht="15.75" customHeight="1" x14ac:dyDescent="0.25">
      <c r="A22" s="72"/>
      <c r="B22" s="72"/>
      <c r="C22" s="72"/>
      <c r="D22" s="72"/>
      <c r="E22" s="72"/>
      <c r="F22" s="72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136</v>
      </c>
      <c r="F23" s="16" t="s">
        <v>17</v>
      </c>
    </row>
    <row r="24" spans="1:6" ht="16.5" customHeight="1" x14ac:dyDescent="0.3">
      <c r="A24" s="17">
        <v>1</v>
      </c>
      <c r="B24" s="18">
        <v>6117544</v>
      </c>
      <c r="C24" s="18">
        <v>13176.22</v>
      </c>
      <c r="D24" s="19">
        <v>1.02</v>
      </c>
      <c r="E24" s="19">
        <v>4</v>
      </c>
      <c r="F24" s="20">
        <v>28.84</v>
      </c>
    </row>
    <row r="25" spans="1:6" ht="16.5" customHeight="1" x14ac:dyDescent="0.3">
      <c r="A25" s="17">
        <v>2</v>
      </c>
      <c r="B25" s="18">
        <v>6156137</v>
      </c>
      <c r="C25" s="18">
        <v>12797.69</v>
      </c>
      <c r="D25" s="19">
        <v>1.02</v>
      </c>
      <c r="E25" s="19">
        <v>3.95</v>
      </c>
      <c r="F25" s="19">
        <v>28.84</v>
      </c>
    </row>
    <row r="26" spans="1:6" ht="16.5" customHeight="1" x14ac:dyDescent="0.3">
      <c r="A26" s="17">
        <v>3</v>
      </c>
      <c r="B26" s="18">
        <v>6162205</v>
      </c>
      <c r="C26" s="18">
        <v>12617.09</v>
      </c>
      <c r="D26" s="19">
        <v>1.02</v>
      </c>
      <c r="E26" s="19">
        <v>5</v>
      </c>
      <c r="F26" s="19">
        <v>28.84</v>
      </c>
    </row>
    <row r="27" spans="1:6" ht="16.5" customHeight="1" x14ac:dyDescent="0.3">
      <c r="A27" s="17">
        <v>4</v>
      </c>
      <c r="B27" s="18">
        <v>6152786</v>
      </c>
      <c r="C27" s="18">
        <v>12584.32</v>
      </c>
      <c r="D27" s="19">
        <v>1.02</v>
      </c>
      <c r="E27" s="19">
        <v>3.91</v>
      </c>
      <c r="F27" s="19">
        <v>28.86</v>
      </c>
    </row>
    <row r="28" spans="1:6" ht="16.5" customHeight="1" x14ac:dyDescent="0.3">
      <c r="A28" s="17">
        <v>5</v>
      </c>
      <c r="B28" s="18">
        <v>6156754</v>
      </c>
      <c r="C28" s="18">
        <v>12665.07</v>
      </c>
      <c r="D28" s="19">
        <v>1.02</v>
      </c>
      <c r="E28" s="19">
        <v>3.93</v>
      </c>
      <c r="F28" s="19">
        <v>28.86</v>
      </c>
    </row>
    <row r="29" spans="1:6" ht="16.5" customHeight="1" x14ac:dyDescent="0.3">
      <c r="A29" s="17">
        <v>6</v>
      </c>
      <c r="B29" s="21">
        <v>6160727</v>
      </c>
      <c r="C29" s="21">
        <v>12620.26</v>
      </c>
      <c r="D29" s="22">
        <v>1.02</v>
      </c>
      <c r="E29" s="22">
        <v>3.93</v>
      </c>
      <c r="F29" s="22">
        <v>28.88</v>
      </c>
    </row>
    <row r="30" spans="1:6" ht="16.5" customHeight="1" x14ac:dyDescent="0.3">
      <c r="A30" s="23" t="s">
        <v>18</v>
      </c>
      <c r="B30" s="24">
        <f>AVERAGE(B24:B29)</f>
        <v>6151025.5</v>
      </c>
      <c r="C30" s="25">
        <f>AVERAGE(C24:C29)</f>
        <v>12743.441666666666</v>
      </c>
      <c r="D30" s="26">
        <f>AVERAGE(D24:D29)</f>
        <v>1.0199999999999998</v>
      </c>
      <c r="E30" s="26">
        <f>AVERAGE(E24:E29)</f>
        <v>4.12</v>
      </c>
      <c r="F30" s="26">
        <f>AVERAGE(F24:F29)</f>
        <v>28.853333333333335</v>
      </c>
    </row>
    <row r="31" spans="1:6" ht="16.5" customHeight="1" x14ac:dyDescent="0.3">
      <c r="A31" s="27" t="s">
        <v>19</v>
      </c>
      <c r="B31" s="28">
        <f>(STDEV(B24:B29)/B30)</f>
        <v>2.7224836284052752E-3</v>
      </c>
      <c r="C31" s="29"/>
      <c r="D31" s="29"/>
      <c r="E31" s="29"/>
      <c r="F31" s="30"/>
    </row>
    <row r="32" spans="1:6" s="288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73"/>
      <c r="F32" s="35"/>
    </row>
    <row r="33" spans="1:6" s="288" customFormat="1" ht="15.75" customHeight="1" x14ac:dyDescent="0.25">
      <c r="A33" s="72"/>
      <c r="B33" s="72"/>
      <c r="C33" s="72"/>
      <c r="D33" s="72"/>
      <c r="E33" s="72"/>
      <c r="F33" s="72"/>
    </row>
    <row r="34" spans="1:6" s="288" customFormat="1" ht="16.5" customHeight="1" x14ac:dyDescent="0.3">
      <c r="A34" s="75" t="s">
        <v>21</v>
      </c>
      <c r="B34" s="40" t="s">
        <v>22</v>
      </c>
      <c r="C34" s="39"/>
      <c r="D34" s="39"/>
      <c r="E34" s="39"/>
      <c r="F34" s="39"/>
    </row>
    <row r="35" spans="1:6" ht="16.5" customHeight="1" x14ac:dyDescent="0.3">
      <c r="A35" s="75"/>
      <c r="B35" s="40" t="s">
        <v>23</v>
      </c>
      <c r="C35" s="39"/>
      <c r="D35" s="39"/>
      <c r="E35" s="39"/>
      <c r="F35" s="39"/>
    </row>
    <row r="36" spans="1:6" ht="16.5" customHeight="1" x14ac:dyDescent="0.3">
      <c r="A36" s="75"/>
      <c r="B36" s="40" t="s">
        <v>134</v>
      </c>
      <c r="C36" s="39"/>
      <c r="D36" s="39"/>
      <c r="E36" s="39"/>
      <c r="F36" s="39"/>
    </row>
    <row r="37" spans="1:6" ht="15.75" customHeight="1" x14ac:dyDescent="0.3">
      <c r="A37" s="72"/>
      <c r="B37" s="72" t="s">
        <v>135</v>
      </c>
      <c r="C37" s="72"/>
      <c r="D37" s="72"/>
      <c r="E37" s="72"/>
      <c r="F37" s="72"/>
    </row>
    <row r="38" spans="1:6" ht="16.5" customHeight="1" x14ac:dyDescent="0.3">
      <c r="A38" s="90" t="s">
        <v>1</v>
      </c>
      <c r="B38" s="59" t="s">
        <v>25</v>
      </c>
    </row>
    <row r="39" spans="1:6" ht="16.5" customHeight="1" x14ac:dyDescent="0.3">
      <c r="A39" s="75" t="s">
        <v>4</v>
      </c>
      <c r="B39" s="8"/>
      <c r="C39" s="72"/>
      <c r="D39" s="72"/>
      <c r="E39" s="72"/>
      <c r="F39" s="72"/>
    </row>
    <row r="40" spans="1:6" ht="16.5" customHeight="1" x14ac:dyDescent="0.3">
      <c r="A40" s="75" t="s">
        <v>6</v>
      </c>
      <c r="B40" s="12"/>
      <c r="C40" s="72"/>
      <c r="D40" s="72"/>
      <c r="E40" s="72"/>
      <c r="F40" s="72"/>
    </row>
    <row r="41" spans="1:6" ht="16.5" customHeight="1" x14ac:dyDescent="0.3">
      <c r="A41" s="8" t="s">
        <v>8</v>
      </c>
      <c r="B41" s="12"/>
      <c r="C41" s="72"/>
      <c r="D41" s="72"/>
      <c r="E41" s="72"/>
      <c r="F41" s="72"/>
    </row>
    <row r="42" spans="1:6" ht="16.5" customHeight="1" x14ac:dyDescent="0.3">
      <c r="A42" s="8" t="s">
        <v>10</v>
      </c>
      <c r="B42" s="13"/>
      <c r="C42" s="72"/>
      <c r="D42" s="72"/>
      <c r="E42" s="72"/>
      <c r="F42" s="72"/>
    </row>
    <row r="43" spans="1:6" ht="15.75" customHeight="1" x14ac:dyDescent="0.25">
      <c r="A43" s="72"/>
      <c r="B43" s="72"/>
      <c r="C43" s="72"/>
      <c r="D43" s="72"/>
      <c r="E43" s="72"/>
      <c r="F43" s="72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136</v>
      </c>
      <c r="F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19"/>
      <c r="F45" s="20"/>
    </row>
    <row r="46" spans="1:6" ht="16.5" customHeight="1" x14ac:dyDescent="0.3">
      <c r="A46" s="17">
        <v>2</v>
      </c>
      <c r="B46" s="18"/>
      <c r="C46" s="18"/>
      <c r="D46" s="19"/>
      <c r="E46" s="19"/>
      <c r="F46" s="19"/>
    </row>
    <row r="47" spans="1:6" ht="16.5" customHeight="1" x14ac:dyDescent="0.3">
      <c r="A47" s="17">
        <v>3</v>
      </c>
      <c r="B47" s="18"/>
      <c r="C47" s="18"/>
      <c r="D47" s="19"/>
      <c r="E47" s="19"/>
      <c r="F47" s="19"/>
    </row>
    <row r="48" spans="1:6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  <c r="F51" s="26" t="e">
        <f>AVERAGE(F45:F50)</f>
        <v>#DIV/0!</v>
      </c>
    </row>
    <row r="52" spans="1:8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29"/>
      <c r="F52" s="30"/>
    </row>
    <row r="53" spans="1:8" s="288" customFormat="1" ht="16.5" customHeight="1" x14ac:dyDescent="0.3">
      <c r="A53" s="31" t="s">
        <v>20</v>
      </c>
      <c r="B53" s="32">
        <f>COUNT(B45:B50)</f>
        <v>0</v>
      </c>
      <c r="C53" s="33"/>
      <c r="D53" s="73"/>
      <c r="E53" s="73"/>
      <c r="F53" s="35"/>
    </row>
    <row r="54" spans="1:8" s="288" customFormat="1" ht="15.75" customHeight="1" x14ac:dyDescent="0.25">
      <c r="A54" s="72"/>
      <c r="B54" s="72"/>
      <c r="C54" s="72"/>
      <c r="D54" s="72"/>
      <c r="E54" s="72"/>
      <c r="F54" s="72"/>
    </row>
    <row r="55" spans="1:8" s="288" customFormat="1" ht="16.5" customHeight="1" x14ac:dyDescent="0.3">
      <c r="A55" s="75" t="s">
        <v>21</v>
      </c>
      <c r="B55" s="40" t="s">
        <v>22</v>
      </c>
      <c r="C55" s="39"/>
      <c r="D55" s="39"/>
      <c r="E55" s="39"/>
      <c r="F55" s="39"/>
    </row>
    <row r="56" spans="1:8" ht="16.5" customHeight="1" x14ac:dyDescent="0.3">
      <c r="A56" s="75"/>
      <c r="B56" s="40" t="s">
        <v>23</v>
      </c>
      <c r="C56" s="39"/>
      <c r="D56" s="39"/>
      <c r="E56" s="39"/>
      <c r="F56" s="39"/>
    </row>
    <row r="57" spans="1:8" ht="16.5" customHeight="1" x14ac:dyDescent="0.3">
      <c r="A57" s="75"/>
      <c r="B57" s="40" t="s">
        <v>24</v>
      </c>
      <c r="C57" s="39"/>
      <c r="D57" s="39"/>
      <c r="E57" s="39"/>
      <c r="F57" s="39"/>
    </row>
    <row r="58" spans="1:8" ht="14.25" customHeight="1" thickBot="1" x14ac:dyDescent="0.3">
      <c r="A58" s="41"/>
      <c r="B58" s="287"/>
      <c r="D58" s="43"/>
      <c r="E58" s="340"/>
      <c r="G58" s="44"/>
      <c r="H58" s="44"/>
    </row>
    <row r="59" spans="1:8" ht="15" customHeight="1" x14ac:dyDescent="0.3">
      <c r="B59" s="290" t="s">
        <v>26</v>
      </c>
      <c r="C59" s="290"/>
      <c r="F59" s="45" t="s">
        <v>27</v>
      </c>
      <c r="G59" s="46"/>
      <c r="H59" s="45" t="s">
        <v>28</v>
      </c>
    </row>
    <row r="60" spans="1:8" ht="15" customHeight="1" x14ac:dyDescent="0.3">
      <c r="A60" s="47" t="s">
        <v>29</v>
      </c>
      <c r="B60" s="49" t="s">
        <v>138</v>
      </c>
      <c r="C60" s="49"/>
      <c r="F60" s="49"/>
      <c r="H60" s="49"/>
    </row>
    <row r="61" spans="1:8" ht="15" customHeight="1" x14ac:dyDescent="0.3">
      <c r="A61" s="47" t="s">
        <v>30</v>
      </c>
      <c r="B61" s="50"/>
      <c r="C61" s="50"/>
      <c r="F61" s="50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tabSelected="1" view="pageBreakPreview" topLeftCell="A8" workbookViewId="0">
      <selection activeCell="E130" sqref="E13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4" t="s">
        <v>31</v>
      </c>
      <c r="B11" s="295"/>
      <c r="C11" s="295"/>
      <c r="D11" s="295"/>
      <c r="E11" s="295"/>
      <c r="F11" s="296"/>
      <c r="G11" s="91"/>
    </row>
    <row r="12" spans="1:7" ht="16.5" customHeight="1" x14ac:dyDescent="0.3">
      <c r="A12" s="293" t="s">
        <v>32</v>
      </c>
      <c r="B12" s="293"/>
      <c r="C12" s="293"/>
      <c r="D12" s="293"/>
      <c r="E12" s="293"/>
      <c r="F12" s="293"/>
      <c r="G12" s="90"/>
    </row>
    <row r="14" spans="1:7" ht="16.5" customHeight="1" x14ac:dyDescent="0.3">
      <c r="A14" s="298" t="s">
        <v>33</v>
      </c>
      <c r="B14" s="298"/>
      <c r="C14" s="60" t="s">
        <v>5</v>
      </c>
    </row>
    <row r="15" spans="1:7" ht="16.5" customHeight="1" x14ac:dyDescent="0.3">
      <c r="A15" s="298" t="s">
        <v>34</v>
      </c>
      <c r="B15" s="298"/>
      <c r="C15" s="60" t="s">
        <v>7</v>
      </c>
    </row>
    <row r="16" spans="1:7" ht="16.5" customHeight="1" x14ac:dyDescent="0.3">
      <c r="A16" s="298" t="s">
        <v>35</v>
      </c>
      <c r="B16" s="298"/>
      <c r="C16" s="60" t="s">
        <v>9</v>
      </c>
    </row>
    <row r="17" spans="1:5" ht="16.5" customHeight="1" x14ac:dyDescent="0.3">
      <c r="A17" s="298" t="s">
        <v>36</v>
      </c>
      <c r="B17" s="298"/>
      <c r="C17" s="60" t="s">
        <v>11</v>
      </c>
    </row>
    <row r="18" spans="1:5" ht="16.5" customHeight="1" x14ac:dyDescent="0.3">
      <c r="A18" s="298" t="s">
        <v>37</v>
      </c>
      <c r="B18" s="298"/>
      <c r="C18" s="97" t="s">
        <v>12</v>
      </c>
    </row>
    <row r="19" spans="1:5" ht="16.5" customHeight="1" x14ac:dyDescent="0.3">
      <c r="A19" s="298" t="s">
        <v>38</v>
      </c>
      <c r="B19" s="298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3" t="s">
        <v>1</v>
      </c>
      <c r="B21" s="293"/>
      <c r="C21" s="59" t="s">
        <v>39</v>
      </c>
      <c r="D21" s="66"/>
    </row>
    <row r="22" spans="1:5" ht="15.75" customHeight="1" x14ac:dyDescent="0.3">
      <c r="A22" s="297"/>
      <c r="B22" s="297"/>
      <c r="C22" s="57"/>
      <c r="D22" s="297"/>
      <c r="E22" s="297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183.08</v>
      </c>
      <c r="D24" s="87">
        <f t="shared" ref="D24:D43" si="0">(C24-$C$46)/$C$46</f>
        <v>1.5974790467647223E-3</v>
      </c>
      <c r="E24" s="53"/>
    </row>
    <row r="25" spans="1:5" ht="15.75" customHeight="1" x14ac:dyDescent="0.3">
      <c r="C25" s="95">
        <v>184.31</v>
      </c>
      <c r="D25" s="88">
        <f t="shared" si="0"/>
        <v>8.326585990327701E-3</v>
      </c>
      <c r="E25" s="53"/>
    </row>
    <row r="26" spans="1:5" ht="15.75" customHeight="1" x14ac:dyDescent="0.3">
      <c r="C26" s="95">
        <v>189.01</v>
      </c>
      <c r="D26" s="88">
        <f t="shared" si="0"/>
        <v>3.4039433660853061E-2</v>
      </c>
      <c r="E26" s="53"/>
    </row>
    <row r="27" spans="1:5" ht="15.75" customHeight="1" x14ac:dyDescent="0.3">
      <c r="C27" s="95">
        <v>182.84</v>
      </c>
      <c r="D27" s="88">
        <f t="shared" si="0"/>
        <v>2.8448256997188503E-4</v>
      </c>
      <c r="E27" s="53"/>
    </row>
    <row r="28" spans="1:5" ht="15.75" customHeight="1" x14ac:dyDescent="0.3">
      <c r="C28" s="95">
        <v>182.4</v>
      </c>
      <c r="D28" s="88">
        <f t="shared" si="0"/>
        <v>-2.1226776374815462E-3</v>
      </c>
      <c r="E28" s="53"/>
    </row>
    <row r="29" spans="1:5" ht="15.75" customHeight="1" x14ac:dyDescent="0.3">
      <c r="C29" s="95">
        <v>180.87</v>
      </c>
      <c r="D29" s="88">
        <f t="shared" si="0"/>
        <v>-1.0493030177035572E-2</v>
      </c>
      <c r="E29" s="53"/>
    </row>
    <row r="30" spans="1:5" ht="15.75" customHeight="1" x14ac:dyDescent="0.3">
      <c r="C30" s="95">
        <v>182.48</v>
      </c>
      <c r="D30" s="88">
        <f t="shared" si="0"/>
        <v>-1.6850121452173707E-3</v>
      </c>
      <c r="E30" s="53"/>
    </row>
    <row r="31" spans="1:5" ht="15.75" customHeight="1" x14ac:dyDescent="0.3">
      <c r="C31" s="95">
        <v>182.76</v>
      </c>
      <c r="D31" s="88">
        <f t="shared" si="0"/>
        <v>-1.5318292229244584E-4</v>
      </c>
      <c r="E31" s="53"/>
    </row>
    <row r="32" spans="1:5" ht="15.75" customHeight="1" x14ac:dyDescent="0.3">
      <c r="C32" s="95">
        <v>180.08</v>
      </c>
      <c r="D32" s="88">
        <f t="shared" si="0"/>
        <v>-1.4814976913145121E-2</v>
      </c>
      <c r="E32" s="53"/>
    </row>
    <row r="33" spans="1:7" ht="15.75" customHeight="1" x14ac:dyDescent="0.3">
      <c r="C33" s="95">
        <v>183.72</v>
      </c>
      <c r="D33" s="88">
        <f t="shared" si="0"/>
        <v>5.0988029848787475E-3</v>
      </c>
      <c r="E33" s="53"/>
    </row>
    <row r="34" spans="1:7" ht="15.75" customHeight="1" x14ac:dyDescent="0.3">
      <c r="C34" s="95">
        <v>182.93</v>
      </c>
      <c r="D34" s="88">
        <f t="shared" si="0"/>
        <v>7.7685624876919896E-4</v>
      </c>
      <c r="E34" s="53"/>
    </row>
    <row r="35" spans="1:7" ht="15.75" customHeight="1" x14ac:dyDescent="0.3">
      <c r="C35" s="95">
        <v>183.22</v>
      </c>
      <c r="D35" s="88">
        <f t="shared" si="0"/>
        <v>2.363393658227107E-3</v>
      </c>
      <c r="E35" s="53"/>
    </row>
    <row r="36" spans="1:7" ht="15.75" customHeight="1" x14ac:dyDescent="0.3">
      <c r="C36" s="95">
        <v>182.7</v>
      </c>
      <c r="D36" s="88">
        <f t="shared" si="0"/>
        <v>-4.814320414906551E-4</v>
      </c>
      <c r="E36" s="53"/>
    </row>
    <row r="37" spans="1:7" ht="15.75" customHeight="1" x14ac:dyDescent="0.3">
      <c r="C37" s="95">
        <v>181.55</v>
      </c>
      <c r="D37" s="88">
        <f t="shared" si="0"/>
        <v>-6.7728734927893037E-3</v>
      </c>
      <c r="E37" s="53"/>
    </row>
    <row r="38" spans="1:7" ht="15.75" customHeight="1" x14ac:dyDescent="0.3">
      <c r="C38" s="95">
        <v>182.19</v>
      </c>
      <c r="D38" s="88">
        <f t="shared" si="0"/>
        <v>-3.2715495546752787E-3</v>
      </c>
      <c r="E38" s="53"/>
    </row>
    <row r="39" spans="1:7" ht="15.75" customHeight="1" x14ac:dyDescent="0.3">
      <c r="C39" s="95">
        <v>181.27</v>
      </c>
      <c r="D39" s="88">
        <f t="shared" si="0"/>
        <v>-8.3047027157142281E-3</v>
      </c>
      <c r="E39" s="53"/>
    </row>
    <row r="40" spans="1:7" ht="15.75" customHeight="1" x14ac:dyDescent="0.3">
      <c r="C40" s="95">
        <v>181.8</v>
      </c>
      <c r="D40" s="88">
        <f t="shared" si="0"/>
        <v>-5.4051688294634833E-3</v>
      </c>
      <c r="E40" s="53"/>
    </row>
    <row r="41" spans="1:7" ht="15.75" customHeight="1" x14ac:dyDescent="0.3">
      <c r="C41" s="95">
        <v>181.49</v>
      </c>
      <c r="D41" s="88">
        <f t="shared" si="0"/>
        <v>-7.1011226119875133E-3</v>
      </c>
      <c r="E41" s="53"/>
    </row>
    <row r="42" spans="1:7" ht="15.75" customHeight="1" x14ac:dyDescent="0.3">
      <c r="C42" s="95">
        <v>184.06</v>
      </c>
      <c r="D42" s="88">
        <f t="shared" si="0"/>
        <v>6.9588813270018814E-3</v>
      </c>
      <c r="E42" s="53"/>
    </row>
    <row r="43" spans="1:7" ht="16.5" customHeight="1" x14ac:dyDescent="0.3">
      <c r="C43" s="96">
        <v>183</v>
      </c>
      <c r="D43" s="89">
        <f t="shared" si="0"/>
        <v>1.1598135545003913E-3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3655.7599999999998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182.78799999999998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1">
        <f>C46</f>
        <v>182.78799999999998</v>
      </c>
      <c r="C49" s="93">
        <f>-IF(C46&lt;=80,10%,IF(C46&lt;250,7.5%,5%))</f>
        <v>-7.4999999999999997E-2</v>
      </c>
      <c r="D49" s="81">
        <f>IF(C46&lt;=80,C46*0.9,IF(C46&lt;250,C46*0.925,C46*0.95))</f>
        <v>169.0789</v>
      </c>
    </row>
    <row r="50" spans="1:6" ht="17.25" customHeight="1" x14ac:dyDescent="0.3">
      <c r="B50" s="292"/>
      <c r="C50" s="94">
        <f>IF(C46&lt;=80, 10%, IF(C46&lt;250, 7.5%, 5%))</f>
        <v>7.4999999999999997E-2</v>
      </c>
      <c r="D50" s="81">
        <f>IF(C46&lt;=80, C46*1.1, IF(C46&lt;250, C46*1.075, C46*1.05))</f>
        <v>196.49709999999996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16" sqref="A16:H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9" t="s">
        <v>45</v>
      </c>
      <c r="B1" s="299"/>
      <c r="C1" s="299"/>
      <c r="D1" s="299"/>
      <c r="E1" s="299"/>
      <c r="F1" s="299"/>
      <c r="G1" s="299"/>
      <c r="H1" s="299"/>
      <c r="I1" s="299"/>
    </row>
    <row r="2" spans="1:9" ht="18.75" customHeight="1" x14ac:dyDescent="0.25">
      <c r="A2" s="299"/>
      <c r="B2" s="299"/>
      <c r="C2" s="299"/>
      <c r="D2" s="299"/>
      <c r="E2" s="299"/>
      <c r="F2" s="299"/>
      <c r="G2" s="299"/>
      <c r="H2" s="299"/>
      <c r="I2" s="299"/>
    </row>
    <row r="3" spans="1:9" ht="18.75" customHeight="1" x14ac:dyDescent="0.25">
      <c r="A3" s="299"/>
      <c r="B3" s="299"/>
      <c r="C3" s="299"/>
      <c r="D3" s="299"/>
      <c r="E3" s="299"/>
      <c r="F3" s="299"/>
      <c r="G3" s="299"/>
      <c r="H3" s="299"/>
      <c r="I3" s="299"/>
    </row>
    <row r="4" spans="1:9" ht="18.75" customHeight="1" x14ac:dyDescent="0.25">
      <c r="A4" s="299"/>
      <c r="B4" s="299"/>
      <c r="C4" s="299"/>
      <c r="D4" s="299"/>
      <c r="E4" s="299"/>
      <c r="F4" s="299"/>
      <c r="G4" s="299"/>
      <c r="H4" s="299"/>
      <c r="I4" s="299"/>
    </row>
    <row r="5" spans="1:9" ht="18.75" customHeight="1" x14ac:dyDescent="0.25">
      <c r="A5" s="299"/>
      <c r="B5" s="299"/>
      <c r="C5" s="299"/>
      <c r="D5" s="299"/>
      <c r="E5" s="299"/>
      <c r="F5" s="299"/>
      <c r="G5" s="299"/>
      <c r="H5" s="299"/>
      <c r="I5" s="299"/>
    </row>
    <row r="6" spans="1:9" ht="18.75" customHeight="1" x14ac:dyDescent="0.25">
      <c r="A6" s="299"/>
      <c r="B6" s="299"/>
      <c r="C6" s="299"/>
      <c r="D6" s="299"/>
      <c r="E6" s="299"/>
      <c r="F6" s="299"/>
      <c r="G6" s="299"/>
      <c r="H6" s="299"/>
      <c r="I6" s="299"/>
    </row>
    <row r="7" spans="1:9" ht="18.75" customHeight="1" x14ac:dyDescent="0.25">
      <c r="A7" s="299"/>
      <c r="B7" s="299"/>
      <c r="C7" s="299"/>
      <c r="D7" s="299"/>
      <c r="E7" s="299"/>
      <c r="F7" s="299"/>
      <c r="G7" s="299"/>
      <c r="H7" s="299"/>
      <c r="I7" s="299"/>
    </row>
    <row r="8" spans="1:9" x14ac:dyDescent="0.25">
      <c r="A8" s="300" t="s">
        <v>46</v>
      </c>
      <c r="B8" s="300"/>
      <c r="C8" s="300"/>
      <c r="D8" s="300"/>
      <c r="E8" s="300"/>
      <c r="F8" s="300"/>
      <c r="G8" s="300"/>
      <c r="H8" s="300"/>
      <c r="I8" s="300"/>
    </row>
    <row r="9" spans="1:9" x14ac:dyDescent="0.25">
      <c r="A9" s="300"/>
      <c r="B9" s="300"/>
      <c r="C9" s="300"/>
      <c r="D9" s="300"/>
      <c r="E9" s="300"/>
      <c r="F9" s="300"/>
      <c r="G9" s="300"/>
      <c r="H9" s="300"/>
      <c r="I9" s="300"/>
    </row>
    <row r="10" spans="1:9" x14ac:dyDescent="0.25">
      <c r="A10" s="300"/>
      <c r="B10" s="300"/>
      <c r="C10" s="300"/>
      <c r="D10" s="300"/>
      <c r="E10" s="300"/>
      <c r="F10" s="300"/>
      <c r="G10" s="300"/>
      <c r="H10" s="300"/>
      <c r="I10" s="300"/>
    </row>
    <row r="11" spans="1:9" x14ac:dyDescent="0.25">
      <c r="A11" s="300"/>
      <c r="B11" s="300"/>
      <c r="C11" s="300"/>
      <c r="D11" s="300"/>
      <c r="E11" s="300"/>
      <c r="F11" s="300"/>
      <c r="G11" s="300"/>
      <c r="H11" s="300"/>
      <c r="I11" s="300"/>
    </row>
    <row r="12" spans="1:9" x14ac:dyDescent="0.25">
      <c r="A12" s="300"/>
      <c r="B12" s="300"/>
      <c r="C12" s="300"/>
      <c r="D12" s="300"/>
      <c r="E12" s="300"/>
      <c r="F12" s="300"/>
      <c r="G12" s="300"/>
      <c r="H12" s="300"/>
      <c r="I12" s="300"/>
    </row>
    <row r="13" spans="1:9" x14ac:dyDescent="0.25">
      <c r="A13" s="300"/>
      <c r="B13" s="300"/>
      <c r="C13" s="300"/>
      <c r="D13" s="300"/>
      <c r="E13" s="300"/>
      <c r="F13" s="300"/>
      <c r="G13" s="300"/>
      <c r="H13" s="300"/>
      <c r="I13" s="300"/>
    </row>
    <row r="14" spans="1:9" x14ac:dyDescent="0.25">
      <c r="A14" s="300"/>
      <c r="B14" s="300"/>
      <c r="C14" s="300"/>
      <c r="D14" s="300"/>
      <c r="E14" s="300"/>
      <c r="F14" s="300"/>
      <c r="G14" s="300"/>
      <c r="H14" s="300"/>
      <c r="I14" s="300"/>
    </row>
    <row r="15" spans="1:9" ht="19.5" customHeight="1" x14ac:dyDescent="0.3">
      <c r="A15" s="98"/>
    </row>
    <row r="16" spans="1:9" ht="19.5" customHeight="1" x14ac:dyDescent="0.3">
      <c r="A16" s="332" t="s">
        <v>31</v>
      </c>
      <c r="B16" s="333"/>
      <c r="C16" s="333"/>
      <c r="D16" s="333"/>
      <c r="E16" s="333"/>
      <c r="F16" s="333"/>
      <c r="G16" s="333"/>
      <c r="H16" s="334"/>
    </row>
    <row r="17" spans="1:14" ht="20.25" customHeight="1" x14ac:dyDescent="0.25">
      <c r="A17" s="335" t="s">
        <v>47</v>
      </c>
      <c r="B17" s="335"/>
      <c r="C17" s="335"/>
      <c r="D17" s="335"/>
      <c r="E17" s="335"/>
      <c r="F17" s="335"/>
      <c r="G17" s="335"/>
      <c r="H17" s="335"/>
    </row>
    <row r="18" spans="1:14" ht="26.25" customHeight="1" x14ac:dyDescent="0.4">
      <c r="A18" s="100" t="s">
        <v>33</v>
      </c>
      <c r="B18" s="331" t="s">
        <v>5</v>
      </c>
      <c r="C18" s="331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6" t="s">
        <v>9</v>
      </c>
      <c r="C20" s="336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6" t="s">
        <v>11</v>
      </c>
      <c r="C21" s="336"/>
      <c r="D21" s="336"/>
      <c r="E21" s="336"/>
      <c r="F21" s="336"/>
      <c r="G21" s="336"/>
      <c r="H21" s="336"/>
      <c r="I21" s="104"/>
    </row>
    <row r="22" spans="1:14" ht="26.25" customHeight="1" x14ac:dyDescent="0.4">
      <c r="A22" s="100" t="s">
        <v>37</v>
      </c>
      <c r="B22" s="105">
        <v>43115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286">
        <v>43116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31" t="s">
        <v>131</v>
      </c>
      <c r="C26" s="331"/>
    </row>
    <row r="27" spans="1:14" ht="26.25" customHeight="1" x14ac:dyDescent="0.4">
      <c r="A27" s="109" t="s">
        <v>48</v>
      </c>
      <c r="B27" s="337" t="s">
        <v>132</v>
      </c>
      <c r="C27" s="337"/>
    </row>
    <row r="28" spans="1:14" ht="27" customHeight="1" x14ac:dyDescent="0.4">
      <c r="A28" s="109" t="s">
        <v>6</v>
      </c>
      <c r="B28" s="110">
        <v>75.61</v>
      </c>
    </row>
    <row r="29" spans="1:14" s="14" customFormat="1" ht="27" customHeight="1" x14ac:dyDescent="0.4">
      <c r="A29" s="109" t="s">
        <v>49</v>
      </c>
      <c r="B29" s="111">
        <v>0</v>
      </c>
      <c r="C29" s="307" t="s">
        <v>50</v>
      </c>
      <c r="D29" s="308"/>
      <c r="E29" s="308"/>
      <c r="F29" s="308"/>
      <c r="G29" s="309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75.61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427.45800000000003</v>
      </c>
      <c r="C31" s="310" t="s">
        <v>53</v>
      </c>
      <c r="D31" s="311"/>
      <c r="E31" s="311"/>
      <c r="F31" s="311"/>
      <c r="G31" s="311"/>
      <c r="H31" s="312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557.59299999999996</v>
      </c>
      <c r="C32" s="310" t="s">
        <v>55</v>
      </c>
      <c r="D32" s="311"/>
      <c r="E32" s="311"/>
      <c r="F32" s="311"/>
      <c r="G32" s="311"/>
      <c r="H32" s="312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0.7666129237633903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25</v>
      </c>
      <c r="C36" s="99"/>
      <c r="D36" s="313" t="s">
        <v>59</v>
      </c>
      <c r="E36" s="338"/>
      <c r="F36" s="313" t="s">
        <v>60</v>
      </c>
      <c r="G36" s="314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100</v>
      </c>
      <c r="C38" s="131">
        <v>1</v>
      </c>
      <c r="D38" s="132">
        <f>6003431+6126637</f>
        <v>12130068</v>
      </c>
      <c r="E38" s="133">
        <f>IF(ISBLANK(D38),"-",$D$48/$D$45*D38)</f>
        <v>17198424.330995947</v>
      </c>
      <c r="F38" s="132">
        <f>6171369+6311110</f>
        <v>12482479</v>
      </c>
      <c r="G38" s="134">
        <f>IF(ISBLANK(F38),"-",$D$48/$F$45*F38)</f>
        <v>17513849.568358459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f>6018539+6137507</f>
        <v>12156046</v>
      </c>
      <c r="E39" s="138">
        <f>IF(ISBLANK(D39),"-",$D$48/$D$45*D39)</f>
        <v>17235256.825856704</v>
      </c>
      <c r="F39" s="137">
        <f>6160863+6290499</f>
        <v>12451362</v>
      </c>
      <c r="G39" s="139">
        <f>IF(ISBLANK(F39),"-",$D$48/$F$45*F39)</f>
        <v>17470190.095186617</v>
      </c>
      <c r="I39" s="315">
        <f>ABS((F43/D43*D42)-F42)/D42</f>
        <v>1.6468594278672664E-2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f>6001974+6119626</f>
        <v>12121600</v>
      </c>
      <c r="E40" s="138">
        <f>IF(ISBLANK(D40),"-",$D$48/$D$45*D40)</f>
        <v>17186418.111637998</v>
      </c>
      <c r="F40" s="137">
        <f>6165665+6290779</f>
        <v>12456444</v>
      </c>
      <c r="G40" s="139">
        <f>IF(ISBLANK(F40),"-",$D$48/$F$45*F40)</f>
        <v>17477320.520441599</v>
      </c>
      <c r="I40" s="315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12135904.666666666</v>
      </c>
      <c r="E42" s="148">
        <f>AVERAGE(E38:E41)</f>
        <v>17206699.756163549</v>
      </c>
      <c r="F42" s="147">
        <f>AVERAGE(F38:F41)</f>
        <v>12463428.333333334</v>
      </c>
      <c r="G42" s="149">
        <f>AVERAGE(G38:G41)</f>
        <v>17487120.061328892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15.21</v>
      </c>
      <c r="E43" s="140"/>
      <c r="F43" s="152">
        <v>15.37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11.660182570441167</v>
      </c>
      <c r="E44" s="155"/>
      <c r="F44" s="154">
        <f>F43*$B$34</f>
        <v>11.782840638243309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500</v>
      </c>
      <c r="C45" s="153" t="s">
        <v>77</v>
      </c>
      <c r="D45" s="157">
        <f>D44*$B$30/100</f>
        <v>8.816264041510566</v>
      </c>
      <c r="E45" s="158"/>
      <c r="F45" s="157">
        <f>F44*$B$30/100</f>
        <v>8.9090058065757667</v>
      </c>
      <c r="H45" s="150"/>
    </row>
    <row r="46" spans="1:14" ht="19.5" customHeight="1" x14ac:dyDescent="0.3">
      <c r="A46" s="301" t="s">
        <v>78</v>
      </c>
      <c r="B46" s="302"/>
      <c r="C46" s="153" t="s">
        <v>79</v>
      </c>
      <c r="D46" s="159">
        <f>D45/$B$45</f>
        <v>1.7632528083021133E-2</v>
      </c>
      <c r="E46" s="160"/>
      <c r="F46" s="161">
        <f>F45/$B$45</f>
        <v>1.7818011613151535E-2</v>
      </c>
      <c r="H46" s="150"/>
    </row>
    <row r="47" spans="1:14" ht="27" customHeight="1" x14ac:dyDescent="0.4">
      <c r="A47" s="303"/>
      <c r="B47" s="304"/>
      <c r="C47" s="162" t="s">
        <v>80</v>
      </c>
      <c r="D47" s="163">
        <v>2.5000000000000001E-2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12.5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16.305490831847806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17346909.908746216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8.9435162781104863E-3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uncoated dispersible tablet contains:Cefpodoxime Proxetil USP equivalent  to Cefpodoxime 100 mg.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>Cefpodoxime Proxetil</v>
      </c>
      <c r="H56" s="179"/>
    </row>
    <row r="57" spans="1:12" ht="18.75" x14ac:dyDescent="0.3">
      <c r="A57" s="176" t="s">
        <v>88</v>
      </c>
      <c r="B57" s="247">
        <f>Uniformity!C46</f>
        <v>182.78799999999998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8" t="s">
        <v>94</v>
      </c>
      <c r="D60" s="321">
        <v>98.67</v>
      </c>
      <c r="E60" s="182">
        <v>1</v>
      </c>
      <c r="F60" s="183"/>
      <c r="G60" s="248" t="str">
        <f>IF(ISBLANK(F60),"-",(F60/$D$50*$D$47*$B$68)*($B$57/$D$60))</f>
        <v>-</v>
      </c>
      <c r="H60" s="266" t="str">
        <f t="shared" ref="H60:H71" si="0">IF(ISBLANK(F60),"-",(G60/$B$56)*100)</f>
        <v>-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9"/>
      <c r="D61" s="322"/>
      <c r="E61" s="184">
        <v>2</v>
      </c>
      <c r="F61" s="137"/>
      <c r="G61" s="249" t="str">
        <f>IF(ISBLANK(F61),"-",(F61/$D$50*$D$47*$B$68)*($B$57/$D$60))</f>
        <v>-</v>
      </c>
      <c r="H61" s="267" t="str">
        <f t="shared" si="0"/>
        <v>-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9"/>
      <c r="D62" s="322"/>
      <c r="E62" s="184">
        <v>3</v>
      </c>
      <c r="F62" s="185"/>
      <c r="G62" s="249" t="str">
        <f>IF(ISBLANK(F62),"-",(F62/$D$50*$D$47*$B$68)*($B$57/$D$60))</f>
        <v>-</v>
      </c>
      <c r="H62" s="267" t="str">
        <f t="shared" si="0"/>
        <v>-</v>
      </c>
      <c r="L62" s="112"/>
    </row>
    <row r="63" spans="1:12" ht="27" customHeight="1" x14ac:dyDescent="0.4">
      <c r="A63" s="124" t="s">
        <v>97</v>
      </c>
      <c r="B63" s="125">
        <v>1</v>
      </c>
      <c r="C63" s="328"/>
      <c r="D63" s="323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8" t="s">
        <v>99</v>
      </c>
      <c r="D64" s="321">
        <v>88.63</v>
      </c>
      <c r="E64" s="182">
        <v>1</v>
      </c>
      <c r="F64" s="183">
        <f>8586065+8787738</f>
        <v>17373803</v>
      </c>
      <c r="G64" s="248">
        <f>IF(ISBLANK(F64),"-",(F64/$D$50*$D$47*$B$68)*($B$57/$D$64))</f>
        <v>103.27844866276253</v>
      </c>
      <c r="H64" s="266">
        <f t="shared" si="0"/>
        <v>103.27844866276253</v>
      </c>
    </row>
    <row r="65" spans="1:8" ht="26.25" customHeight="1" x14ac:dyDescent="0.4">
      <c r="A65" s="124" t="s">
        <v>100</v>
      </c>
      <c r="B65" s="125">
        <v>1</v>
      </c>
      <c r="C65" s="319"/>
      <c r="D65" s="322"/>
      <c r="E65" s="184">
        <v>2</v>
      </c>
      <c r="F65" s="137">
        <f>8584871+8782396</f>
        <v>17367267</v>
      </c>
      <c r="G65" s="249">
        <f>IF(ISBLANK(F65),"-",(F65/$D$50*$D$47*$B$68)*($B$57/$D$64))</f>
        <v>103.23959545713682</v>
      </c>
      <c r="H65" s="267">
        <f t="shared" si="0"/>
        <v>103.23959545713682</v>
      </c>
    </row>
    <row r="66" spans="1:8" ht="26.25" customHeight="1" x14ac:dyDescent="0.4">
      <c r="A66" s="124" t="s">
        <v>101</v>
      </c>
      <c r="B66" s="125">
        <v>1</v>
      </c>
      <c r="C66" s="319"/>
      <c r="D66" s="322"/>
      <c r="E66" s="184">
        <v>3</v>
      </c>
      <c r="F66" s="137">
        <f>8598341+8786487</f>
        <v>17384828</v>
      </c>
      <c r="G66" s="249">
        <f>IF(ISBLANK(F66),"-",(F66/$D$50*$D$47*$B$68)*($B$57/$D$64))</f>
        <v>103.34398669703789</v>
      </c>
      <c r="H66" s="267">
        <f t="shared" si="0"/>
        <v>103.34398669703788</v>
      </c>
    </row>
    <row r="67" spans="1:8" ht="27" customHeight="1" x14ac:dyDescent="0.4">
      <c r="A67" s="124" t="s">
        <v>102</v>
      </c>
      <c r="B67" s="125">
        <v>1</v>
      </c>
      <c r="C67" s="328"/>
      <c r="D67" s="323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2000</v>
      </c>
      <c r="C68" s="318" t="s">
        <v>104</v>
      </c>
      <c r="D68" s="321">
        <v>100.73</v>
      </c>
      <c r="E68" s="182">
        <v>1</v>
      </c>
      <c r="F68" s="183">
        <f>9554410+9781314</f>
        <v>19335724</v>
      </c>
      <c r="G68" s="248">
        <f>IF(ISBLANK(F68),"-",(F68/$D$50*$D$47*$B$68)*($B$57/$D$68))</f>
        <v>101.1339958292297</v>
      </c>
      <c r="H68" s="267">
        <f t="shared" si="0"/>
        <v>101.1339958292297</v>
      </c>
    </row>
    <row r="69" spans="1:8" ht="27" customHeight="1" x14ac:dyDescent="0.4">
      <c r="A69" s="172" t="s">
        <v>105</v>
      </c>
      <c r="B69" s="189">
        <f>(D47*B68)/B56*B57</f>
        <v>91.393999999999991</v>
      </c>
      <c r="C69" s="319"/>
      <c r="D69" s="322"/>
      <c r="E69" s="184">
        <v>2</v>
      </c>
      <c r="F69" s="137">
        <f>9549139+9755852</f>
        <v>19304991</v>
      </c>
      <c r="G69" s="249">
        <f>IF(ISBLANK(F69),"-",(F69/$D$50*$D$47*$B$68)*($B$57/$D$68))</f>
        <v>100.97324927048592</v>
      </c>
      <c r="H69" s="267">
        <f t="shared" si="0"/>
        <v>100.97324927048592</v>
      </c>
    </row>
    <row r="70" spans="1:8" ht="26.25" customHeight="1" x14ac:dyDescent="0.4">
      <c r="A70" s="324" t="s">
        <v>78</v>
      </c>
      <c r="B70" s="325"/>
      <c r="C70" s="319"/>
      <c r="D70" s="322"/>
      <c r="E70" s="184">
        <v>3</v>
      </c>
      <c r="F70" s="137">
        <f>9560734+9786709</f>
        <v>19347443</v>
      </c>
      <c r="G70" s="249">
        <f>IF(ISBLANK(F70),"-",(F70/$D$50*$D$47*$B$68)*($B$57/$D$68))</f>
        <v>101.19529114442571</v>
      </c>
      <c r="H70" s="267">
        <f t="shared" si="0"/>
        <v>101.19529114442571</v>
      </c>
    </row>
    <row r="71" spans="1:8" ht="27" customHeight="1" x14ac:dyDescent="0.4">
      <c r="A71" s="326"/>
      <c r="B71" s="327"/>
      <c r="C71" s="320"/>
      <c r="D71" s="323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102.19409451017977</v>
      </c>
      <c r="H72" s="269">
        <f>AVERAGE(H60:H71)</f>
        <v>102.19409451017977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1.1744830940235431E-2</v>
      </c>
      <c r="H73" s="253">
        <f>STDEV(H60:H71)/H72</f>
        <v>1.1744830940235405E-2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6</v>
      </c>
      <c r="H74" s="196">
        <f>COUNT(H60:H71)</f>
        <v>6</v>
      </c>
    </row>
    <row r="76" spans="1:8" ht="26.25" customHeight="1" x14ac:dyDescent="0.4">
      <c r="A76" s="108" t="s">
        <v>106</v>
      </c>
      <c r="B76" s="197" t="s">
        <v>107</v>
      </c>
      <c r="C76" s="305" t="str">
        <f>B26</f>
        <v>Cefpodoxime  Proxetil</v>
      </c>
      <c r="D76" s="305"/>
      <c r="E76" s="198" t="s">
        <v>108</v>
      </c>
      <c r="F76" s="198"/>
      <c r="G76" s="285">
        <f>H72</f>
        <v>102.19409451017977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9"/>
      <c r="C79" s="339"/>
    </row>
    <row r="80" spans="1:8" ht="26.25" customHeight="1" x14ac:dyDescent="0.4">
      <c r="A80" s="109" t="s">
        <v>48</v>
      </c>
      <c r="B80" s="339"/>
      <c r="C80" s="339"/>
    </row>
    <row r="81" spans="1:12" ht="27" customHeight="1" x14ac:dyDescent="0.4">
      <c r="A81" s="109" t="s">
        <v>6</v>
      </c>
      <c r="B81" s="201"/>
    </row>
    <row r="82" spans="1:12" s="14" customFormat="1" ht="27" customHeight="1" x14ac:dyDescent="0.4">
      <c r="A82" s="109" t="s">
        <v>49</v>
      </c>
      <c r="B82" s="111">
        <v>0</v>
      </c>
      <c r="C82" s="307" t="s">
        <v>50</v>
      </c>
      <c r="D82" s="308"/>
      <c r="E82" s="308"/>
      <c r="F82" s="308"/>
      <c r="G82" s="309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0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10" t="s">
        <v>111</v>
      </c>
      <c r="D84" s="311"/>
      <c r="E84" s="311"/>
      <c r="F84" s="311"/>
      <c r="G84" s="311"/>
      <c r="H84" s="312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10" t="s">
        <v>112</v>
      </c>
      <c r="D85" s="311"/>
      <c r="E85" s="311"/>
      <c r="F85" s="311"/>
      <c r="G85" s="311"/>
      <c r="H85" s="312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1</v>
      </c>
      <c r="D89" s="202" t="s">
        <v>59</v>
      </c>
      <c r="E89" s="203"/>
      <c r="F89" s="313" t="s">
        <v>60</v>
      </c>
      <c r="G89" s="314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/>
      <c r="E91" s="133" t="str">
        <f>IF(ISBLANK(D91),"-",$D$101/$D$98*D91)</f>
        <v>-</v>
      </c>
      <c r="F91" s="132"/>
      <c r="G91" s="134" t="str">
        <f>IF(ISBLANK(F91),"-",$D$101/$F$98*F91)</f>
        <v>-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/>
      <c r="E92" s="138" t="str">
        <f>IF(ISBLANK(D92),"-",$D$101/$D$98*D92)</f>
        <v>-</v>
      </c>
      <c r="F92" s="137"/>
      <c r="G92" s="139" t="str">
        <f>IF(ISBLANK(F92),"-",$D$101/$F$98*F92)</f>
        <v>-</v>
      </c>
      <c r="I92" s="315" t="e">
        <f>ABS((F96/D96*D95)-F95)/D95</f>
        <v>#DIV/0!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/>
      <c r="E93" s="138" t="str">
        <f>IF(ISBLANK(D93),"-",$D$101/$D$98*D93)</f>
        <v>-</v>
      </c>
      <c r="F93" s="137"/>
      <c r="G93" s="139" t="str">
        <f>IF(ISBLANK(F93),"-",$D$101/$F$98*F93)</f>
        <v>-</v>
      </c>
      <c r="I93" s="315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 t="e">
        <f>AVERAGE(D91:D94)</f>
        <v>#DIV/0!</v>
      </c>
      <c r="E95" s="148" t="e">
        <f>AVERAGE(E91:E94)</f>
        <v>#DIV/0!</v>
      </c>
      <c r="F95" s="211" t="e">
        <f>AVERAGE(F91:F94)</f>
        <v>#DIV/0!</v>
      </c>
      <c r="G95" s="212" t="e">
        <f>AVERAGE(G91:G94)</f>
        <v>#DIV/0!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/>
      <c r="E96" s="140"/>
      <c r="F96" s="152"/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0</v>
      </c>
      <c r="E97" s="155"/>
      <c r="F97" s="154">
        <f>F96*$B$87</f>
        <v>0</v>
      </c>
    </row>
    <row r="98" spans="1:10" ht="19.5" customHeight="1" x14ac:dyDescent="0.3">
      <c r="A98" s="124" t="s">
        <v>76</v>
      </c>
      <c r="B98" s="217">
        <f>(B97/B96)*(B95/B94)*(B93/B92)*(B91/B90)*B89</f>
        <v>1</v>
      </c>
      <c r="C98" s="215" t="s">
        <v>115</v>
      </c>
      <c r="D98" s="218">
        <f>D97*$B$83/100</f>
        <v>0</v>
      </c>
      <c r="E98" s="158"/>
      <c r="F98" s="157">
        <f>F97*$B$83/100</f>
        <v>0</v>
      </c>
    </row>
    <row r="99" spans="1:10" ht="19.5" customHeight="1" x14ac:dyDescent="0.3">
      <c r="A99" s="301" t="s">
        <v>78</v>
      </c>
      <c r="B99" s="316"/>
      <c r="C99" s="215" t="s">
        <v>116</v>
      </c>
      <c r="D99" s="219">
        <f>D98/$B$98</f>
        <v>0</v>
      </c>
      <c r="E99" s="158"/>
      <c r="F99" s="161">
        <f>F98/$B$98</f>
        <v>0</v>
      </c>
      <c r="G99" s="220"/>
      <c r="H99" s="150"/>
    </row>
    <row r="100" spans="1:10" ht="19.5" customHeight="1" x14ac:dyDescent="0.3">
      <c r="A100" s="303"/>
      <c r="B100" s="317"/>
      <c r="C100" s="215" t="s">
        <v>80</v>
      </c>
      <c r="D100" s="221">
        <f>$B$56/$B$116</f>
        <v>100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100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130.44392665478244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 t="e">
        <f>AVERAGE(E91:E94,G91:G94)</f>
        <v>#DIV/0!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 t="e">
        <f>STDEV(E91:E94,G91:G94)/D103</f>
        <v>#DIV/0!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0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1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/>
      <c r="E108" s="250" t="str">
        <f t="shared" ref="E108:E113" si="1">IF(ISBLANK(D108),"-",D108/$D$103*$D$100*$B$116)</f>
        <v>-</v>
      </c>
      <c r="F108" s="277" t="str">
        <f t="shared" ref="F108:F113" si="2">IF(ISBLANK(D108), "-", (E108/$B$56)*100)</f>
        <v>-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/>
      <c r="E109" s="251" t="str">
        <f t="shared" si="1"/>
        <v>-</v>
      </c>
      <c r="F109" s="278" t="str">
        <f t="shared" si="2"/>
        <v>-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/>
      <c r="E110" s="251" t="str">
        <f t="shared" si="1"/>
        <v>-</v>
      </c>
      <c r="F110" s="278" t="str">
        <f t="shared" si="2"/>
        <v>-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/>
      <c r="E111" s="251" t="str">
        <f t="shared" si="1"/>
        <v>-</v>
      </c>
      <c r="F111" s="278" t="str">
        <f t="shared" si="2"/>
        <v>-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/>
      <c r="E112" s="251" t="str">
        <f t="shared" si="1"/>
        <v>-</v>
      </c>
      <c r="F112" s="278" t="str">
        <f t="shared" si="2"/>
        <v>-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/>
      <c r="E113" s="252" t="str">
        <f t="shared" si="1"/>
        <v>-</v>
      </c>
      <c r="F113" s="279" t="str">
        <f t="shared" si="2"/>
        <v>-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 t="e">
        <f>AVERAGE(E108:E113)</f>
        <v>#DIV/0!</v>
      </c>
      <c r="F115" s="281" t="e">
        <f>AVERAGE(F108:F113)</f>
        <v>#DIV/0!</v>
      </c>
    </row>
    <row r="116" spans="1:10" ht="27" customHeight="1" x14ac:dyDescent="0.4">
      <c r="A116" s="124" t="s">
        <v>103</v>
      </c>
      <c r="B116" s="156">
        <f>(B115/B114)*(B113/B112)*(B111/B110)*(B109/B108)*B107</f>
        <v>1</v>
      </c>
      <c r="C116" s="234"/>
      <c r="D116" s="258" t="s">
        <v>84</v>
      </c>
      <c r="E116" s="256" t="e">
        <f>STDEV(E108:E113)/E115</f>
        <v>#DIV/0!</v>
      </c>
      <c r="F116" s="235" t="e">
        <f>STDEV(F108:F113)/F115</f>
        <v>#DIV/0!</v>
      </c>
      <c r="I116" s="98"/>
    </row>
    <row r="117" spans="1:10" ht="27" customHeight="1" x14ac:dyDescent="0.4">
      <c r="A117" s="301" t="s">
        <v>78</v>
      </c>
      <c r="B117" s="302"/>
      <c r="C117" s="236"/>
      <c r="D117" s="195" t="s">
        <v>20</v>
      </c>
      <c r="E117" s="261">
        <f>COUNT(E108:E113)</f>
        <v>0</v>
      </c>
      <c r="F117" s="262">
        <f>COUNT(F108:F113)</f>
        <v>0</v>
      </c>
      <c r="I117" s="98"/>
      <c r="J117" s="229"/>
    </row>
    <row r="118" spans="1:10" ht="26.25" customHeight="1" x14ac:dyDescent="0.3">
      <c r="A118" s="303"/>
      <c r="B118" s="304"/>
      <c r="C118" s="98"/>
      <c r="D118" s="260"/>
      <c r="E118" s="329" t="s">
        <v>123</v>
      </c>
      <c r="F118" s="330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0</v>
      </c>
      <c r="F119" s="282">
        <f>MIN(F108:F113)</f>
        <v>0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0</v>
      </c>
      <c r="F120" s="283">
        <f>MAX(F108:F113)</f>
        <v>0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5" t="str">
        <f>B26</f>
        <v>Cefpodoxime  Proxetil</v>
      </c>
      <c r="D124" s="305"/>
      <c r="E124" s="198" t="s">
        <v>127</v>
      </c>
      <c r="F124" s="198"/>
      <c r="G124" s="284" t="e">
        <f>F115</f>
        <v>#DIV/0!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0</v>
      </c>
      <c r="E125" s="209" t="s">
        <v>130</v>
      </c>
      <c r="F125" s="284">
        <f>MAX(F108:F113)</f>
        <v>0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6" t="s">
        <v>26</v>
      </c>
      <c r="C127" s="306"/>
      <c r="E127" s="204" t="s">
        <v>27</v>
      </c>
      <c r="F127" s="239"/>
      <c r="G127" s="306" t="s">
        <v>28</v>
      </c>
      <c r="H127" s="306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 S-epimer</vt:lpstr>
      <vt:lpstr>SST R-epimer</vt:lpstr>
      <vt:lpstr>Uniformity</vt:lpstr>
      <vt:lpstr>Cefpodoxime</vt:lpstr>
      <vt:lpstr>Cefpodoxime!Print_Area</vt:lpstr>
      <vt:lpstr>'SST R-epimer'!Print_Area</vt:lpstr>
      <vt:lpstr>'SST S-epimer'!Print_Area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2018-01-16T09:08:47Z</cp:lastPrinted>
  <dcterms:created xsi:type="dcterms:W3CDTF">2005-07-05T10:19:27Z</dcterms:created>
  <dcterms:modified xsi:type="dcterms:W3CDTF">2018-01-16T09:40:02Z</dcterms:modified>
</cp:coreProperties>
</file>