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8" activeTab="11"/>
  </bookViews>
  <sheets>
    <sheet name="S-epimer SST DAY 1" sheetId="8" r:id="rId1"/>
    <sheet name="R-epimer SST DAY 1" sheetId="9" r:id="rId2"/>
    <sheet name="S-epimer SST DAY 7" sheetId="10" r:id="rId3"/>
    <sheet name="R-epimer SST DAY 7 " sheetId="11" r:id="rId4"/>
    <sheet name="RD" sheetId="12" r:id="rId5"/>
    <sheet name="Cefpodoxime" sheetId="13" r:id="rId6"/>
    <sheet name="S-epimer SST DAY 1 Rpt" sheetId="1" r:id="rId7"/>
    <sheet name="R-epimer SST DAY 1 Rpt" sheetId="6" r:id="rId8"/>
    <sheet name="S-epimer SST DAY 7 Rpt" sheetId="5" r:id="rId9"/>
    <sheet name="R-epimer SST DAY 7 Rpt " sheetId="7" r:id="rId10"/>
    <sheet name="RD Rpt" sheetId="3" r:id="rId11"/>
    <sheet name="Cefpodoxime Rpt" sheetId="2" r:id="rId12"/>
  </sheets>
  <externalReferences>
    <externalReference r:id="rId13"/>
  </externalReferences>
  <definedNames>
    <definedName name="_xlnm.Print_Area" localSheetId="5">Cefpodoxime!$A$1:$H$135</definedName>
    <definedName name="_xlnm.Print_Area" localSheetId="11">'Cefpodoxime Rpt'!$A$1:$H$141</definedName>
    <definedName name="_xlnm.Print_Area" localSheetId="4">RD!$A$1:$H$44</definedName>
    <definedName name="_xlnm.Print_Area" localSheetId="10">'RD Rpt'!$A$1:$H$44</definedName>
    <definedName name="_xlnm.Print_Area" localSheetId="1">'R-epimer SST DAY 1'!$A$15:$G$61</definedName>
    <definedName name="_xlnm.Print_Area" localSheetId="7">'R-epimer SST DAY 1 Rpt'!$A$15:$G$61</definedName>
    <definedName name="_xlnm.Print_Area" localSheetId="3">'R-epimer SST DAY 7 '!$A$15:$G$61</definedName>
    <definedName name="_xlnm.Print_Area" localSheetId="9">'R-epimer SST DAY 7 Rpt '!$A$15:$G$61</definedName>
    <definedName name="_xlnm.Print_Area" localSheetId="0">'S-epimer SST DAY 1'!$A$15:$G$61</definedName>
    <definedName name="_xlnm.Print_Area" localSheetId="6">'S-epimer SST DAY 1 Rpt'!$A$15:$G$61</definedName>
    <definedName name="_xlnm.Print_Area" localSheetId="2">'S-epimer SST DAY 7'!$A$15:$G$61</definedName>
    <definedName name="_xlnm.Print_Area" localSheetId="8">'S-epimer SST DAY 7 Rpt'!$A$15:$G$61</definedName>
  </definedNames>
  <calcPr calcId="162913"/>
</workbook>
</file>

<file path=xl/calcChain.xml><?xml version="1.0" encoding="utf-8"?>
<calcChain xmlns="http://schemas.openxmlformats.org/spreadsheetml/2006/main">
  <c r="F119" i="2" l="1"/>
  <c r="F67" i="2"/>
  <c r="H126" i="13"/>
  <c r="F70" i="13"/>
  <c r="C132" i="13"/>
  <c r="H127" i="13"/>
  <c r="G127" i="13"/>
  <c r="G126" i="13"/>
  <c r="G125" i="13"/>
  <c r="H125" i="13" s="1"/>
  <c r="B124" i="13"/>
  <c r="H123" i="13"/>
  <c r="G123" i="13"/>
  <c r="F122" i="13"/>
  <c r="F121" i="13"/>
  <c r="F120" i="13"/>
  <c r="H119" i="13"/>
  <c r="G119" i="13"/>
  <c r="F118" i="13"/>
  <c r="F117" i="13"/>
  <c r="F116" i="13"/>
  <c r="B113" i="13"/>
  <c r="E111" i="13"/>
  <c r="B110" i="13"/>
  <c r="D103" i="13"/>
  <c r="D104" i="13" s="1"/>
  <c r="D100" i="13"/>
  <c r="D101" i="13" s="1"/>
  <c r="B100" i="13"/>
  <c r="D99" i="13"/>
  <c r="D97" i="13"/>
  <c r="G96" i="13"/>
  <c r="E96" i="13"/>
  <c r="F95" i="13"/>
  <c r="E95" i="13"/>
  <c r="D95" i="13"/>
  <c r="F94" i="13"/>
  <c r="E94" i="13"/>
  <c r="D94" i="13"/>
  <c r="F93" i="13"/>
  <c r="E93" i="13"/>
  <c r="D93" i="13"/>
  <c r="B89" i="13"/>
  <c r="F99" i="13" s="1"/>
  <c r="F100" i="13" s="1"/>
  <c r="F101" i="13" s="1"/>
  <c r="B85" i="13"/>
  <c r="C78" i="13"/>
  <c r="H73" i="13"/>
  <c r="G73" i="13"/>
  <c r="F72" i="13"/>
  <c r="F71" i="13"/>
  <c r="B70" i="13"/>
  <c r="H69" i="13"/>
  <c r="G69" i="13"/>
  <c r="F68" i="13"/>
  <c r="F67" i="13"/>
  <c r="F66" i="13"/>
  <c r="H65" i="13"/>
  <c r="G65" i="13"/>
  <c r="F64" i="13"/>
  <c r="F63" i="13"/>
  <c r="F62" i="13"/>
  <c r="B59" i="13"/>
  <c r="E57" i="13"/>
  <c r="B56" i="13"/>
  <c r="D49" i="13"/>
  <c r="D50" i="13" s="1"/>
  <c r="B46" i="13"/>
  <c r="G42" i="13"/>
  <c r="E42" i="13"/>
  <c r="F41" i="13"/>
  <c r="G41" i="13" s="1"/>
  <c r="D41" i="13"/>
  <c r="F40" i="13"/>
  <c r="D40" i="13"/>
  <c r="F39" i="13"/>
  <c r="G39" i="13" s="1"/>
  <c r="D39" i="13"/>
  <c r="D43" i="13" s="1"/>
  <c r="B35" i="13"/>
  <c r="F45" i="13" s="1"/>
  <c r="F46" i="13" s="1"/>
  <c r="F47" i="13" s="1"/>
  <c r="B31" i="13"/>
  <c r="D33" i="12"/>
  <c r="C37" i="12" s="1"/>
  <c r="C39" i="12" s="1"/>
  <c r="C33" i="12"/>
  <c r="C35" i="12" s="1"/>
  <c r="B33" i="12"/>
  <c r="B18" i="12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B53" i="9"/>
  <c r="E51" i="9"/>
  <c r="D51" i="9"/>
  <c r="C51" i="9"/>
  <c r="B51" i="9"/>
  <c r="B52" i="9" s="1"/>
  <c r="B32" i="9"/>
  <c r="E30" i="9"/>
  <c r="D30" i="9"/>
  <c r="C30" i="9"/>
  <c r="B30" i="9"/>
  <c r="B31" i="9" s="1"/>
  <c r="B21" i="9"/>
  <c r="B53" i="8"/>
  <c r="E51" i="8"/>
  <c r="D51" i="8"/>
  <c r="C51" i="8"/>
  <c r="B51" i="8"/>
  <c r="B52" i="8" s="1"/>
  <c r="B32" i="8"/>
  <c r="E30" i="8"/>
  <c r="C30" i="8"/>
  <c r="B30" i="8"/>
  <c r="B31" i="8" s="1"/>
  <c r="B21" i="8"/>
  <c r="G124" i="13" l="1"/>
  <c r="H124" i="13" s="1"/>
  <c r="G40" i="13"/>
  <c r="G43" i="13" s="1"/>
  <c r="G95" i="13"/>
  <c r="D105" i="13"/>
  <c r="G94" i="13"/>
  <c r="B125" i="13"/>
  <c r="B112" i="13"/>
  <c r="D113" i="13" s="1"/>
  <c r="B58" i="13"/>
  <c r="D59" i="13" s="1"/>
  <c r="B71" i="13" s="1"/>
  <c r="G93" i="13"/>
  <c r="F43" i="13"/>
  <c r="F97" i="13"/>
  <c r="D107" i="13"/>
  <c r="D45" i="13"/>
  <c r="D46" i="13" s="1"/>
  <c r="G118" i="13"/>
  <c r="H118" i="13" s="1"/>
  <c r="E97" i="13"/>
  <c r="G122" i="13" l="1"/>
  <c r="H122" i="13" s="1"/>
  <c r="D106" i="13"/>
  <c r="G116" i="13"/>
  <c r="H116" i="13" s="1"/>
  <c r="G121" i="13"/>
  <c r="H121" i="13" s="1"/>
  <c r="G120" i="13"/>
  <c r="H120" i="13" s="1"/>
  <c r="D47" i="13"/>
  <c r="E41" i="13"/>
  <c r="E40" i="13"/>
  <c r="E39" i="13"/>
  <c r="G97" i="13"/>
  <c r="G117" i="13"/>
  <c r="H117" i="13" s="1"/>
  <c r="D51" i="13" l="1"/>
  <c r="E43" i="13"/>
  <c r="D53" i="13"/>
  <c r="H128" i="13"/>
  <c r="H130" i="13"/>
  <c r="G132" i="13" l="1"/>
  <c r="H129" i="13"/>
  <c r="G70" i="13"/>
  <c r="H70" i="13" s="1"/>
  <c r="G72" i="13"/>
  <c r="H72" i="13" s="1"/>
  <c r="G68" i="13"/>
  <c r="H68" i="13" s="1"/>
  <c r="D52" i="13"/>
  <c r="G63" i="13"/>
  <c r="H63" i="13" s="1"/>
  <c r="G66" i="13"/>
  <c r="H66" i="13" s="1"/>
  <c r="G64" i="13"/>
  <c r="H64" i="13" s="1"/>
  <c r="G62" i="13"/>
  <c r="H62" i="13" s="1"/>
  <c r="G67" i="13"/>
  <c r="H67" i="13" s="1"/>
  <c r="G71" i="13"/>
  <c r="H71" i="13" s="1"/>
  <c r="H76" i="13" l="1"/>
  <c r="H74" i="13"/>
  <c r="H75" i="13" l="1"/>
  <c r="G78" i="13"/>
  <c r="F123" i="2" l="1"/>
  <c r="F129" i="2"/>
  <c r="F128" i="2"/>
  <c r="F127" i="2"/>
  <c r="F125" i="2"/>
  <c r="F124" i="2"/>
  <c r="F121" i="2"/>
  <c r="F120" i="2"/>
  <c r="F98" i="2"/>
  <c r="F97" i="2"/>
  <c r="F96" i="2"/>
  <c r="D98" i="2"/>
  <c r="D97" i="2"/>
  <c r="D96" i="2"/>
  <c r="B21" i="5"/>
  <c r="B21" i="7"/>
  <c r="F72" i="2" l="1"/>
  <c r="F71" i="2"/>
  <c r="F70" i="2"/>
  <c r="F64" i="2"/>
  <c r="F63" i="2"/>
  <c r="F62" i="2"/>
  <c r="F41" i="2"/>
  <c r="F40" i="2"/>
  <c r="F39" i="2"/>
  <c r="D41" i="2"/>
  <c r="D40" i="2"/>
  <c r="D39" i="2"/>
  <c r="B21" i="1"/>
  <c r="B21" i="6" l="1"/>
  <c r="B53" i="7"/>
  <c r="E51" i="7"/>
  <c r="D51" i="7"/>
  <c r="C51" i="7"/>
  <c r="B51" i="7"/>
  <c r="B52" i="7" s="1"/>
  <c r="B32" i="7"/>
  <c r="E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D33" i="3" l="1"/>
  <c r="C33" i="3"/>
  <c r="B33" i="3"/>
  <c r="B18" i="3"/>
  <c r="C135" i="2"/>
  <c r="H130" i="2"/>
  <c r="G130" i="2"/>
  <c r="B127" i="2"/>
  <c r="H126" i="2"/>
  <c r="G126" i="2"/>
  <c r="H122" i="2"/>
  <c r="G122" i="2"/>
  <c r="B116" i="2"/>
  <c r="E114" i="2"/>
  <c r="B113" i="2"/>
  <c r="B103" i="2"/>
  <c r="D106" i="2" s="1"/>
  <c r="F100" i="2"/>
  <c r="D100" i="2"/>
  <c r="G99" i="2"/>
  <c r="E99" i="2"/>
  <c r="B92" i="2"/>
  <c r="F102" i="2" s="1"/>
  <c r="B88" i="2"/>
  <c r="C78" i="2"/>
  <c r="H73" i="2"/>
  <c r="G73" i="2"/>
  <c r="B70" i="2"/>
  <c r="H69" i="2"/>
  <c r="G69" i="2"/>
  <c r="H65" i="2"/>
  <c r="G65" i="2"/>
  <c r="B59" i="2"/>
  <c r="E57" i="2"/>
  <c r="B56" i="2"/>
  <c r="B46" i="2"/>
  <c r="D49" i="2" s="1"/>
  <c r="F43" i="2"/>
  <c r="D43" i="2"/>
  <c r="G42" i="2"/>
  <c r="E42" i="2"/>
  <c r="B35" i="2"/>
  <c r="F45" i="2" s="1"/>
  <c r="B31" i="2"/>
  <c r="B53" i="1"/>
  <c r="E51" i="1"/>
  <c r="D51" i="1"/>
  <c r="C51" i="1"/>
  <c r="B51" i="1"/>
  <c r="B52" i="1" s="1"/>
  <c r="B32" i="1"/>
  <c r="E30" i="1"/>
  <c r="C30" i="1"/>
  <c r="B30" i="1"/>
  <c r="B31" i="1" s="1"/>
  <c r="D45" i="2" l="1"/>
  <c r="C35" i="3"/>
  <c r="C37" i="3"/>
  <c r="F103" i="2"/>
  <c r="F104" i="2" s="1"/>
  <c r="D46" i="2"/>
  <c r="D47" i="2" s="1"/>
  <c r="F46" i="2"/>
  <c r="F47" i="2" s="1"/>
  <c r="D50" i="2"/>
  <c r="D107" i="2"/>
  <c r="D102" i="2"/>
  <c r="D103" i="2" s="1"/>
  <c r="D104" i="2" s="1"/>
  <c r="C39" i="3" l="1"/>
  <c r="B115" i="2" s="1"/>
  <c r="D116" i="2" s="1"/>
  <c r="B128" i="2" s="1"/>
  <c r="G98" i="2"/>
  <c r="G41" i="2"/>
  <c r="G39" i="2"/>
  <c r="B58" i="2"/>
  <c r="D59" i="2" s="1"/>
  <c r="B71" i="2" s="1"/>
  <c r="G97" i="2"/>
  <c r="E39" i="2"/>
  <c r="G96" i="2"/>
  <c r="E41" i="2"/>
  <c r="E40" i="2"/>
  <c r="G40" i="2"/>
  <c r="E96" i="2"/>
  <c r="E98" i="2"/>
  <c r="E97" i="2"/>
  <c r="G100" i="2" l="1"/>
  <c r="G43" i="2"/>
  <c r="D53" i="2"/>
  <c r="E43" i="2"/>
  <c r="D51" i="2"/>
  <c r="D52" i="2" s="1"/>
  <c r="D110" i="2"/>
  <c r="E100" i="2"/>
  <c r="D108" i="2"/>
  <c r="G119" i="2" l="1"/>
  <c r="H119" i="2" s="1"/>
  <c r="G120" i="2"/>
  <c r="H120" i="2" s="1"/>
  <c r="G67" i="2"/>
  <c r="H67" i="2" s="1"/>
  <c r="G63" i="2"/>
  <c r="H63" i="2" s="1"/>
  <c r="G62" i="2"/>
  <c r="H62" i="2" s="1"/>
  <c r="G66" i="2"/>
  <c r="H66" i="2" s="1"/>
  <c r="G64" i="2"/>
  <c r="H64" i="2" s="1"/>
  <c r="G68" i="2"/>
  <c r="H68" i="2" s="1"/>
  <c r="G71" i="2"/>
  <c r="H71" i="2" s="1"/>
  <c r="G72" i="2"/>
  <c r="H72" i="2" s="1"/>
  <c r="G70" i="2"/>
  <c r="H70" i="2" s="1"/>
  <c r="G129" i="2"/>
  <c r="H129" i="2" s="1"/>
  <c r="G127" i="2"/>
  <c r="H127" i="2" s="1"/>
  <c r="D109" i="2"/>
  <c r="G128" i="2"/>
  <c r="H128" i="2" s="1"/>
  <c r="G125" i="2"/>
  <c r="H125" i="2" s="1"/>
  <c r="G121" i="2"/>
  <c r="H121" i="2" s="1"/>
  <c r="G124" i="2"/>
  <c r="H124" i="2" s="1"/>
  <c r="G123" i="2"/>
  <c r="H123" i="2" s="1"/>
  <c r="H82" i="2" l="1"/>
  <c r="H80" i="2"/>
  <c r="H81" i="2" s="1"/>
  <c r="H138" i="2"/>
  <c r="H136" i="2"/>
  <c r="H137" i="2" s="1"/>
  <c r="H76" i="2"/>
  <c r="H74" i="2"/>
  <c r="H75" i="2" s="1"/>
  <c r="H133" i="2"/>
  <c r="H131" i="2"/>
  <c r="G78" i="2" l="1"/>
  <c r="G135" i="2"/>
  <c r="H132" i="2"/>
  <c r="D30" i="7" l="1"/>
</calcChain>
</file>

<file path=xl/sharedStrings.xml><?xml version="1.0" encoding="utf-8"?>
<sst xmlns="http://schemas.openxmlformats.org/spreadsheetml/2006/main" count="770" uniqueCount="123">
  <si>
    <t>HPLC System Suitability Report</t>
  </si>
  <si>
    <t>Analysis Data</t>
  </si>
  <si>
    <t>Assay</t>
  </si>
  <si>
    <t>Sample(s)</t>
  </si>
  <si>
    <t>Reference Substance:</t>
  </si>
  <si>
    <t>CEFPODOXIME 50 SUSPENSION</t>
  </si>
  <si>
    <t>% age Purity:</t>
  </si>
  <si>
    <t>NDQD201711265</t>
  </si>
  <si>
    <t>Weight (mg):</t>
  </si>
  <si>
    <t>Cefpodoxime Proxetil</t>
  </si>
  <si>
    <t>Standard Conc (mg/mL):</t>
  </si>
  <si>
    <t>Each 5 mL reconsitituted suspension contains: 50 mg Cefpodoxime Proxetil USP equivalent to  Cefpodoxine 50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</si>
  <si>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</si>
  <si>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</si>
  <si>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</si>
  <si>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</si>
  <si>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</si>
  <si>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</si>
  <si>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</si>
  <si>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</si>
  <si>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</si>
  <si>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</si>
  <si>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</si>
  <si>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</si>
  <si>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</si>
  <si>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</si>
  <si>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</si>
  <si>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</si>
  <si>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</si>
  <si>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</si>
  <si>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</si>
  <si>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</si>
  <si>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</si>
  <si>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</si>
  <si>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</si>
  <si>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</si>
  <si>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</si>
  <si>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</si>
  <si>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</si>
  <si>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</si>
  <si>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</si>
  <si>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</si>
  <si>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</si>
  <si>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</si>
  <si>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</si>
  <si>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</si>
  <si>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</si>
  <si>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</si>
  <si>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</si>
  <si>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</si>
  <si>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</si>
  <si>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</si>
  <si>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</si>
  <si>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</si>
  <si>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</si>
  <si>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</si>
  <si>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</si>
  <si>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</si>
  <si>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</si>
  <si>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</si>
  <si>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</si>
  <si>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</si>
  <si>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</si>
  <si>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</si>
  <si>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</si>
  <si>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</si>
  <si>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</si>
  <si>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</si>
  <si>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</si>
  <si>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</si>
  <si>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</si>
  <si>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</si>
  <si>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</si>
  <si>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</si>
  <si>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</si>
  <si>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</si>
  <si>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</si>
  <si>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</si>
  <si>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</si>
  <si>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</si>
  <si>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</si>
  <si>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</si>
  <si>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</si>
  <si>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</si>
  <si>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</si>
  <si>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</si>
  <si>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</si>
  <si>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</si>
  <si>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</si>
  <si>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</si>
  <si>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</si>
  <si>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</si>
  <si>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</si>
  <si>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</si>
  <si>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</si>
  <si>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</si>
  <si>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</si>
  <si>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</si>
  <si>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</si>
  <si>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</si>
  <si>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</si>
  <si>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</si>
  <si>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</si>
  <si>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</si>
  <si>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</si>
  <si>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C68-2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</si>
  <si>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</si>
  <si>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</si>
  <si>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</si>
  <si>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</si>
  <si>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</si>
  <si>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</si>
  <si>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</si>
  <si>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CEPPODOXIME</t>
  </si>
  <si>
    <t>Each 5ml reconstituted suspension contains: 50 mg Cefpodoxime Proxetil USP equivalent to Cefpodoxime 50 mg.</t>
  </si>
  <si>
    <t xml:space="preserve">Cefpodoxime </t>
  </si>
  <si>
    <t>C68-3</t>
  </si>
  <si>
    <t>RESOLUTION</t>
  </si>
  <si>
    <r>
      <t xml:space="preserve">The resolution between the two epimers should be more than </t>
    </r>
    <r>
      <rPr>
        <b/>
        <sz val="12"/>
        <color rgb="FF000000"/>
        <rFont val="Book Antiqua"/>
        <family val="1"/>
      </rPr>
      <t>2.5</t>
    </r>
  </si>
  <si>
    <t>SARAH MUTHONI</t>
  </si>
  <si>
    <t>RUTTO KENNEDY</t>
  </si>
  <si>
    <t>RUTTO     KENNEDY</t>
  </si>
  <si>
    <t xml:space="preserve">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</si>
</sst>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0000"/>
    <numFmt numFmtId="165" formatCode="0.0%"/>
    <numFmt numFmtId="166" formatCode="0.0000\ &quot;mg&quot;"/>
    <numFmt numFmtId="167" formatCode="0.000"/>
    <numFmt numFmtId="168" formatCode="0.0\ &quot;mL&quot;"/>
    <numFmt numFmtId="169" formatCode="0.0000\ &quot;g&quot;"/>
    <numFmt numFmtId="170" formatCode="0.0\ &quot;mg&quot;"/>
    <numFmt numFmtId="171" formatCode="0.0000"/>
    <numFmt numFmtId="172" formatCode="[$-409]d/mmm/yy;@"/>
    <numFmt numFmtId="173" formatCode="0.000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28"/>
      <color rgb="FF000000"/>
      <name val="Book Antiqua"/>
      <family val="1"/>
    </font>
    <font>
      <sz val="10"/>
      <color rgb="FF000000"/>
      <name val="Arial"/>
    </font>
    <font>
      <b/>
      <u/>
      <sz val="20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2" borderId="0"/>
    <xf numFmtId="0" fontId="24" fillId="2" borderId="0"/>
  </cellStyleXfs>
  <cellXfs count="4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7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7" fontId="8" fillId="2" borderId="17" xfId="0" applyNumberFormat="1" applyFont="1" applyFill="1" applyBorder="1" applyAlignment="1">
      <alignment horizontal="center"/>
    </xf>
    <xf numFmtId="167" fontId="8" fillId="2" borderId="30" xfId="0" applyNumberFormat="1" applyFont="1" applyFill="1" applyBorder="1" applyAlignment="1">
      <alignment horizontal="center"/>
    </xf>
    <xf numFmtId="167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7" fontId="8" fillId="2" borderId="29" xfId="0" applyNumberFormat="1" applyFont="1" applyFill="1" applyBorder="1" applyAlignment="1">
      <alignment horizontal="center"/>
    </xf>
    <xf numFmtId="167" fontId="8" fillId="2" borderId="34" xfId="0" applyNumberFormat="1" applyFont="1" applyFill="1" applyBorder="1" applyAlignment="1">
      <alignment horizontal="center"/>
    </xf>
    <xf numFmtId="167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7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5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" fillId="2" borderId="0" xfId="1" applyFont="1" applyFill="1"/>
    <xf numFmtId="0" fontId="21" fillId="2" borderId="0" xfId="1" applyFill="1"/>
    <xf numFmtId="0" fontId="18" fillId="2" borderId="0" xfId="1" applyFont="1" applyFill="1" applyAlignment="1">
      <alignment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172" fontId="6" fillId="2" borderId="0" xfId="1" applyNumberFormat="1" applyFont="1" applyFill="1" applyProtection="1">
      <protection locked="0"/>
    </xf>
    <xf numFmtId="2" fontId="5" fillId="2" borderId="47" xfId="1" applyNumberFormat="1" applyFont="1" applyFill="1" applyBorder="1" applyAlignment="1">
      <alignment horizontal="center" wrapText="1"/>
    </xf>
    <xf numFmtId="2" fontId="5" fillId="2" borderId="41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 wrapText="1"/>
    </xf>
    <xf numFmtId="171" fontId="5" fillId="5" borderId="49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71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7" fontId="2" fillId="2" borderId="0" xfId="1" applyNumberFormat="1" applyFont="1" applyFill="1" applyAlignment="1">
      <alignment horizontal="center"/>
    </xf>
    <xf numFmtId="171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7" fontId="21" fillId="2" borderId="0" xfId="1" applyNumberFormat="1" applyFill="1"/>
    <xf numFmtId="0" fontId="21" fillId="2" borderId="0" xfId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52" xfId="0" applyFont="1" applyFill="1" applyBorder="1"/>
    <xf numFmtId="2" fontId="7" fillId="3" borderId="29" xfId="0" applyNumberFormat="1" applyFont="1" applyFill="1" applyBorder="1" applyAlignment="1" applyProtection="1">
      <alignment horizontal="center"/>
      <protection locked="0"/>
    </xf>
    <xf numFmtId="2" fontId="7" fillId="3" borderId="34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4" xfId="0" applyFont="1" applyFill="1" applyBorder="1"/>
    <xf numFmtId="0" fontId="2" fillId="2" borderId="55" xfId="0" applyFont="1" applyFill="1" applyBorder="1"/>
    <xf numFmtId="0" fontId="7" fillId="8" borderId="53" xfId="0" applyFont="1" applyFill="1" applyBorder="1" applyAlignment="1">
      <alignment horizontal="center"/>
    </xf>
    <xf numFmtId="0" fontId="7" fillId="8" borderId="54" xfId="0" applyFont="1" applyFill="1" applyBorder="1" applyAlignment="1">
      <alignment horizontal="center"/>
    </xf>
    <xf numFmtId="0" fontId="7" fillId="9" borderId="5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9" fillId="2" borderId="0" xfId="2" applyFont="1" applyFill="1"/>
    <xf numFmtId="0" fontId="15" fillId="3" borderId="0" xfId="2" applyFont="1" applyFill="1" applyAlignment="1" applyProtection="1">
      <alignment horizontal="left"/>
      <protection locked="0"/>
    </xf>
    <xf numFmtId="0" fontId="15" fillId="2" borderId="0" xfId="2" applyFont="1" applyFill="1" applyProtection="1">
      <protection locked="0"/>
    </xf>
    <xf numFmtId="0" fontId="15" fillId="2" borderId="0" xfId="2" applyFont="1" applyFill="1"/>
    <xf numFmtId="0" fontId="15" fillId="3" borderId="0" xfId="2" applyFont="1" applyFill="1" applyProtection="1">
      <protection locked="0"/>
    </xf>
    <xf numFmtId="15" fontId="15" fillId="3" borderId="0" xfId="2" applyNumberFormat="1" applyFont="1" applyFill="1" applyAlignment="1" applyProtection="1">
      <alignment horizontal="left"/>
      <protection locked="0"/>
    </xf>
    <xf numFmtId="15" fontId="8" fillId="2" borderId="0" xfId="2" applyNumberFormat="1" applyFont="1" applyFill="1" applyAlignment="1">
      <alignment horizontal="left"/>
    </xf>
    <xf numFmtId="0" fontId="3" fillId="2" borderId="0" xfId="2" applyFont="1" applyFill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6" fillId="3" borderId="0" xfId="2" applyFont="1" applyFill="1" applyAlignment="1" applyProtection="1">
      <alignment horizontal="center"/>
      <protection locked="0"/>
    </xf>
    <xf numFmtId="0" fontId="15" fillId="3" borderId="0" xfId="2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2" fillId="2" borderId="0" xfId="2" applyFont="1" applyFill="1"/>
    <xf numFmtId="0" fontId="13" fillId="2" borderId="0" xfId="2" applyFont="1" applyFill="1"/>
    <xf numFmtId="2" fontId="16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0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6" fontId="9" fillId="2" borderId="0" xfId="2" applyNumberFormat="1" applyFont="1" applyFill="1" applyAlignment="1">
      <alignment horizontal="center"/>
    </xf>
    <xf numFmtId="0" fontId="8" fillId="2" borderId="0" xfId="2" applyFont="1" applyFill="1"/>
    <xf numFmtId="0" fontId="8" fillId="2" borderId="12" xfId="2" applyFont="1" applyFill="1" applyBorder="1" applyAlignment="1">
      <alignment horizontal="right"/>
    </xf>
    <xf numFmtId="0" fontId="16" fillId="3" borderId="15" xfId="2" applyFont="1" applyFill="1" applyBorder="1" applyAlignment="1" applyProtection="1">
      <alignment horizontal="center"/>
      <protection locked="0"/>
    </xf>
    <xf numFmtId="0" fontId="9" fillId="2" borderId="32" xfId="2" applyFont="1" applyFill="1" applyBorder="1"/>
    <xf numFmtId="0" fontId="9" fillId="2" borderId="33" xfId="2" applyFont="1" applyFill="1" applyBorder="1"/>
    <xf numFmtId="0" fontId="8" fillId="2" borderId="13" xfId="2" applyFont="1" applyFill="1" applyBorder="1" applyAlignment="1">
      <alignment horizontal="right"/>
    </xf>
    <xf numFmtId="0" fontId="16" fillId="3" borderId="14" xfId="2" applyFont="1" applyFill="1" applyBorder="1" applyAlignment="1" applyProtection="1">
      <alignment horizontal="center"/>
      <protection locked="0"/>
    </xf>
    <xf numFmtId="0" fontId="9" fillId="2" borderId="15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0" fontId="16" fillId="3" borderId="42" xfId="2" applyFont="1" applyFill="1" applyBorder="1" applyAlignment="1" applyProtection="1">
      <alignment horizontal="center"/>
      <protection locked="0"/>
    </xf>
    <xf numFmtId="167" fontId="8" fillId="2" borderId="29" xfId="2" applyNumberFormat="1" applyFont="1" applyFill="1" applyBorder="1" applyAlignment="1">
      <alignment horizontal="center"/>
    </xf>
    <xf numFmtId="167" fontId="8" fillId="2" borderId="17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16" fillId="3" borderId="13" xfId="2" applyFont="1" applyFill="1" applyBorder="1" applyAlignment="1" applyProtection="1">
      <alignment horizontal="center"/>
      <protection locked="0"/>
    </xf>
    <xf numFmtId="167" fontId="8" fillId="2" borderId="34" xfId="2" applyNumberFormat="1" applyFont="1" applyFill="1" applyBorder="1" applyAlignment="1">
      <alignment horizontal="center"/>
    </xf>
    <xf numFmtId="167" fontId="8" fillId="2" borderId="30" xfId="2" applyNumberFormat="1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16" fillId="3" borderId="43" xfId="2" applyFont="1" applyFill="1" applyBorder="1" applyAlignment="1" applyProtection="1">
      <alignment horizontal="center"/>
      <protection locked="0"/>
    </xf>
    <xf numFmtId="167" fontId="8" fillId="2" borderId="35" xfId="2" applyNumberFormat="1" applyFont="1" applyFill="1" applyBorder="1" applyAlignment="1">
      <alignment horizontal="center"/>
    </xf>
    <xf numFmtId="167" fontId="8" fillId="2" borderId="31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right"/>
    </xf>
    <xf numFmtId="1" fontId="9" fillId="6" borderId="38" xfId="2" applyNumberFormat="1" applyFont="1" applyFill="1" applyBorder="1" applyAlignment="1">
      <alignment horizontal="center"/>
    </xf>
    <xf numFmtId="167" fontId="9" fillId="6" borderId="28" xfId="2" applyNumberFormat="1" applyFont="1" applyFill="1" applyBorder="1" applyAlignment="1">
      <alignment horizontal="center"/>
    </xf>
    <xf numFmtId="1" fontId="9" fillId="6" borderId="20" xfId="2" applyNumberFormat="1" applyFont="1" applyFill="1" applyBorder="1" applyAlignment="1">
      <alignment horizontal="center"/>
    </xf>
    <xf numFmtId="167" fontId="9" fillId="6" borderId="21" xfId="2" applyNumberFormat="1" applyFont="1" applyFill="1" applyBorder="1" applyAlignment="1">
      <alignment horizontal="center"/>
    </xf>
    <xf numFmtId="0" fontId="8" fillId="2" borderId="39" xfId="2" applyFont="1" applyFill="1" applyBorder="1" applyAlignment="1">
      <alignment horizontal="right"/>
    </xf>
    <xf numFmtId="0" fontId="16" fillId="3" borderId="44" xfId="2" applyFont="1" applyFill="1" applyBorder="1" applyAlignment="1" applyProtection="1">
      <alignment horizontal="center"/>
      <protection locked="0"/>
    </xf>
    <xf numFmtId="0" fontId="16" fillId="3" borderId="41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8" fillId="2" borderId="16" xfId="2" applyFont="1" applyFill="1" applyBorder="1" applyAlignment="1">
      <alignment horizontal="right"/>
    </xf>
    <xf numFmtId="2" fontId="8" fillId="6" borderId="40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6" borderId="22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7" borderId="40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6" borderId="23" xfId="2" applyNumberFormat="1" applyFont="1" applyFill="1" applyBorder="1" applyAlignment="1">
      <alignment horizontal="center"/>
    </xf>
    <xf numFmtId="0" fontId="16" fillId="3" borderId="40" xfId="2" applyFont="1" applyFill="1" applyBorder="1" applyAlignment="1" applyProtection="1">
      <alignment horizontal="center"/>
      <protection locked="0"/>
    </xf>
    <xf numFmtId="0" fontId="8" fillId="2" borderId="38" xfId="2" applyFont="1" applyFill="1" applyBorder="1" applyAlignment="1">
      <alignment horizontal="right"/>
    </xf>
    <xf numFmtId="2" fontId="8" fillId="6" borderId="17" xfId="2" applyNumberFormat="1" applyFont="1" applyFill="1" applyBorder="1" applyAlignment="1">
      <alignment horizontal="center"/>
    </xf>
    <xf numFmtId="167" fontId="9" fillId="2" borderId="0" xfId="2" applyNumberFormat="1" applyFont="1" applyFill="1" applyAlignment="1">
      <alignment horizontal="center"/>
    </xf>
    <xf numFmtId="0" fontId="8" fillId="2" borderId="41" xfId="2" applyFont="1" applyFill="1" applyBorder="1" applyAlignment="1">
      <alignment horizontal="right"/>
    </xf>
    <xf numFmtId="167" fontId="9" fillId="7" borderId="41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22" xfId="2" applyFont="1" applyFill="1" applyBorder="1" applyAlignment="1">
      <alignment horizontal="right"/>
    </xf>
    <xf numFmtId="10" fontId="8" fillId="6" borderId="22" xfId="2" applyNumberFormat="1" applyFont="1" applyFill="1" applyBorder="1" applyAlignment="1">
      <alignment horizontal="center"/>
    </xf>
    <xf numFmtId="0" fontId="8" fillId="2" borderId="23" xfId="2" applyFont="1" applyFill="1" applyBorder="1" applyAlignment="1">
      <alignment horizontal="right"/>
    </xf>
    <xf numFmtId="0" fontId="8" fillId="7" borderId="23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68" fontId="16" fillId="3" borderId="0" xfId="2" applyNumberFormat="1" applyFont="1" applyFill="1" applyAlignment="1" applyProtection="1">
      <alignment horizontal="center"/>
      <protection locked="0"/>
    </xf>
    <xf numFmtId="170" fontId="16" fillId="3" borderId="0" xfId="2" applyNumberFormat="1" applyFont="1" applyFill="1" applyAlignment="1" applyProtection="1">
      <alignment horizontal="center"/>
      <protection locked="0"/>
    </xf>
    <xf numFmtId="171" fontId="9" fillId="2" borderId="0" xfId="2" applyNumberFormat="1" applyFont="1" applyFill="1" applyAlignment="1" applyProtection="1">
      <alignment horizontal="center"/>
      <protection locked="0"/>
    </xf>
    <xf numFmtId="168" fontId="9" fillId="2" borderId="0" xfId="2" applyNumberFormat="1" applyFont="1" applyFill="1" applyAlignment="1">
      <alignment horizontal="center"/>
    </xf>
    <xf numFmtId="169" fontId="9" fillId="2" borderId="0" xfId="2" applyNumberFormat="1" applyFont="1" applyFill="1" applyAlignment="1">
      <alignment horizontal="center"/>
    </xf>
    <xf numFmtId="2" fontId="9" fillId="2" borderId="25" xfId="2" applyNumberFormat="1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16" fillId="3" borderId="12" xfId="2" applyFont="1" applyFill="1" applyBorder="1" applyAlignment="1" applyProtection="1">
      <alignment horizontal="center"/>
      <protection locked="0"/>
    </xf>
    <xf numFmtId="2" fontId="8" fillId="2" borderId="25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2" fontId="8" fillId="2" borderId="26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center"/>
    </xf>
    <xf numFmtId="0" fontId="16" fillId="3" borderId="36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center"/>
    </xf>
    <xf numFmtId="0" fontId="8" fillId="2" borderId="26" xfId="2" applyFont="1" applyFill="1" applyBorder="1" applyAlignment="1">
      <alignment horizontal="center"/>
    </xf>
    <xf numFmtId="0" fontId="8" fillId="2" borderId="27" xfId="2" applyFont="1" applyFill="1" applyBorder="1" applyAlignment="1">
      <alignment horizontal="center"/>
    </xf>
    <xf numFmtId="2" fontId="8" fillId="2" borderId="27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right"/>
    </xf>
    <xf numFmtId="2" fontId="15" fillId="2" borderId="37" xfId="2" applyNumberFormat="1" applyFont="1" applyFill="1" applyBorder="1" applyAlignment="1">
      <alignment horizontal="center"/>
    </xf>
    <xf numFmtId="0" fontId="8" fillId="2" borderId="24" xfId="2" applyFont="1" applyFill="1" applyBorder="1" applyAlignment="1">
      <alignment horizontal="right"/>
    </xf>
    <xf numFmtId="10" fontId="16" fillId="7" borderId="19" xfId="2" applyNumberFormat="1" applyFont="1" applyFill="1" applyBorder="1" applyAlignment="1">
      <alignment horizontal="center"/>
    </xf>
    <xf numFmtId="10" fontId="16" fillId="6" borderId="45" xfId="2" applyNumberFormat="1" applyFont="1" applyFill="1" applyBorder="1" applyAlignment="1">
      <alignment horizontal="center"/>
    </xf>
    <xf numFmtId="0" fontId="16" fillId="7" borderId="46" xfId="2" applyFont="1" applyFill="1" applyBorder="1" applyAlignment="1">
      <alignment horizontal="center"/>
    </xf>
    <xf numFmtId="165" fontId="16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9" xfId="2" applyFont="1" applyFill="1" applyBorder="1" applyAlignment="1">
      <alignment horizontal="center"/>
    </xf>
    <xf numFmtId="10" fontId="8" fillId="2" borderId="25" xfId="2" applyNumberFormat="1" applyFont="1" applyFill="1" applyBorder="1" applyAlignment="1">
      <alignment horizontal="center" vertical="center"/>
    </xf>
    <xf numFmtId="10" fontId="8" fillId="2" borderId="26" xfId="2" applyNumberFormat="1" applyFont="1" applyFill="1" applyBorder="1" applyAlignment="1">
      <alignment horizontal="center" vertical="center"/>
    </xf>
    <xf numFmtId="10" fontId="8" fillId="2" borderId="27" xfId="2" applyNumberFormat="1" applyFont="1" applyFill="1" applyBorder="1" applyAlignment="1">
      <alignment horizontal="center" vertical="center"/>
    </xf>
    <xf numFmtId="0" fontId="8" fillId="2" borderId="7" xfId="2" applyFont="1" applyFill="1" applyBorder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8" fillId="2" borderId="11" xfId="2" applyFont="1" applyFill="1" applyBorder="1"/>
    <xf numFmtId="165" fontId="25" fillId="10" borderId="0" xfId="0" applyNumberFormat="1" applyFont="1" applyFill="1" applyAlignment="1">
      <alignment horizontal="center"/>
    </xf>
    <xf numFmtId="10" fontId="16" fillId="0" borderId="56" xfId="0" applyNumberFormat="1" applyFont="1" applyFill="1" applyBorder="1" applyAlignment="1">
      <alignment horizontal="center"/>
    </xf>
    <xf numFmtId="0" fontId="16" fillId="0" borderId="56" xfId="0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4" fillId="2" borderId="47" xfId="1" applyFont="1" applyFill="1" applyBorder="1" applyAlignment="1">
      <alignment horizont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14" fillId="2" borderId="47" xfId="2" applyFont="1" applyFill="1" applyBorder="1" applyAlignment="1">
      <alignment horizontal="left" vertical="center" wrapText="1"/>
    </xf>
    <xf numFmtId="0" fontId="14" fillId="2" borderId="48" xfId="2" applyFont="1" applyFill="1" applyBorder="1" applyAlignment="1">
      <alignment horizontal="left" vertical="center" wrapText="1"/>
    </xf>
    <xf numFmtId="0" fontId="14" fillId="2" borderId="49" xfId="2" applyFont="1" applyFill="1" applyBorder="1" applyAlignment="1">
      <alignment horizontal="left" vertical="center" wrapText="1"/>
    </xf>
    <xf numFmtId="0" fontId="17" fillId="2" borderId="0" xfId="2" applyFont="1" applyFill="1" applyAlignment="1">
      <alignment horizontal="center" vertical="center"/>
    </xf>
    <xf numFmtId="0" fontId="18" fillId="2" borderId="0" xfId="2" applyFont="1" applyFill="1" applyAlignment="1">
      <alignment horizontal="center" vertical="center"/>
    </xf>
    <xf numFmtId="0" fontId="14" fillId="2" borderId="47" xfId="2" applyFont="1" applyFill="1" applyBorder="1" applyAlignment="1">
      <alignment horizontal="center"/>
    </xf>
    <xf numFmtId="0" fontId="14" fillId="2" borderId="48" xfId="2" applyFont="1" applyFill="1" applyBorder="1" applyAlignment="1">
      <alignment horizontal="center"/>
    </xf>
    <xf numFmtId="0" fontId="14" fillId="2" borderId="49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6" fillId="3" borderId="0" xfId="2" applyFont="1" applyFill="1" applyAlignment="1" applyProtection="1">
      <alignment horizontal="left"/>
      <protection locked="0"/>
    </xf>
    <xf numFmtId="0" fontId="15" fillId="3" borderId="0" xfId="2" applyFont="1" applyFill="1" applyAlignment="1" applyProtection="1">
      <alignment horizontal="left"/>
      <protection locked="0"/>
    </xf>
    <xf numFmtId="0" fontId="9" fillId="2" borderId="0" xfId="2" applyFont="1" applyFill="1" applyAlignment="1">
      <alignment horizontal="center"/>
    </xf>
    <xf numFmtId="0" fontId="14" fillId="2" borderId="47" xfId="2" applyFont="1" applyFill="1" applyBorder="1" applyAlignment="1">
      <alignment horizontal="justify" vertical="center" wrapText="1"/>
    </xf>
    <xf numFmtId="0" fontId="14" fillId="2" borderId="48" xfId="2" applyFont="1" applyFill="1" applyBorder="1" applyAlignment="1">
      <alignment horizontal="justify" vertical="center" wrapText="1"/>
    </xf>
    <xf numFmtId="0" fontId="14" fillId="2" borderId="49" xfId="2" applyFont="1" applyFill="1" applyBorder="1" applyAlignment="1">
      <alignment horizontal="justify" vertical="center" wrapText="1"/>
    </xf>
    <xf numFmtId="0" fontId="9" fillId="2" borderId="32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6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164" fontId="16" fillId="3" borderId="25" xfId="2" applyNumberFormat="1" applyFont="1" applyFill="1" applyBorder="1" applyAlignment="1" applyProtection="1">
      <alignment horizontal="center" vertical="center"/>
      <protection locked="0"/>
    </xf>
    <xf numFmtId="164" fontId="16" fillId="3" borderId="26" xfId="2" applyNumberFormat="1" applyFont="1" applyFill="1" applyBorder="1" applyAlignment="1" applyProtection="1">
      <alignment horizontal="center" vertical="center"/>
      <protection locked="0"/>
    </xf>
    <xf numFmtId="164" fontId="16" fillId="3" borderId="27" xfId="2" applyNumberFormat="1" applyFont="1" applyFill="1" applyBorder="1" applyAlignment="1" applyProtection="1">
      <alignment horizontal="center" vertical="center"/>
      <protection locked="0"/>
    </xf>
    <xf numFmtId="0" fontId="9" fillId="2" borderId="36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left" vertical="center" wrapText="1"/>
    </xf>
    <xf numFmtId="0" fontId="14" fillId="2" borderId="37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9" fillId="2" borderId="5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A37" sqref="A37"/>
    </sheetView>
  </sheetViews>
  <sheetFormatPr defaultRowHeight="13.5" x14ac:dyDescent="0.25"/>
  <cols>
    <col min="1" max="1" width="27.5703125" style="245" customWidth="1"/>
    <col min="2" max="2" width="20.42578125" style="245" customWidth="1"/>
    <col min="3" max="3" width="31.85546875" style="245" customWidth="1"/>
    <col min="4" max="4" width="25.85546875" style="245" customWidth="1"/>
    <col min="5" max="5" width="25.7109375" style="245" customWidth="1"/>
    <col min="6" max="6" width="23.140625" style="245" customWidth="1"/>
    <col min="7" max="7" width="28.42578125" style="245" customWidth="1"/>
    <col min="8" max="8" width="21.5703125" style="245" customWidth="1"/>
    <col min="9" max="9" width="9.140625" style="245" customWidth="1"/>
    <col min="10" max="16384" width="9.140625" style="281"/>
  </cols>
  <sheetData>
    <row r="14" spans="1:6" ht="15" customHeight="1" x14ac:dyDescent="0.3">
      <c r="A14" s="244"/>
      <c r="C14" s="246"/>
      <c r="F14" s="246"/>
    </row>
    <row r="15" spans="1:6" ht="18.75" customHeight="1" x14ac:dyDescent="0.3">
      <c r="A15" s="404" t="s">
        <v>0</v>
      </c>
      <c r="B15" s="404"/>
      <c r="C15" s="404"/>
      <c r="D15" s="404"/>
      <c r="E15" s="404"/>
    </row>
    <row r="16" spans="1:6" ht="16.5" customHeight="1" x14ac:dyDescent="0.3">
      <c r="A16" s="247" t="s">
        <v>1</v>
      </c>
      <c r="B16" s="248" t="s">
        <v>2</v>
      </c>
    </row>
    <row r="17" spans="1:5" ht="16.5" customHeight="1" x14ac:dyDescent="0.3">
      <c r="A17" s="249" t="s">
        <v>3</v>
      </c>
      <c r="B17" s="249" t="s">
        <v>5</v>
      </c>
      <c r="D17" s="250"/>
      <c r="E17" s="251"/>
    </row>
    <row r="18" spans="1:5" ht="16.5" customHeight="1" x14ac:dyDescent="0.3">
      <c r="A18" s="252" t="s">
        <v>4</v>
      </c>
      <c r="B18" s="249" t="s">
        <v>9</v>
      </c>
      <c r="C18" s="251"/>
      <c r="D18" s="251"/>
      <c r="E18" s="251"/>
    </row>
    <row r="19" spans="1:5" ht="16.5" customHeight="1" x14ac:dyDescent="0.3">
      <c r="A19" s="252" t="s">
        <v>6</v>
      </c>
      <c r="B19" s="253">
        <v>75.599999999999994</v>
      </c>
      <c r="C19" s="251"/>
      <c r="D19" s="251"/>
      <c r="E19" s="251"/>
    </row>
    <row r="20" spans="1:5" ht="16.5" customHeight="1" x14ac:dyDescent="0.3">
      <c r="A20" s="249" t="s">
        <v>8</v>
      </c>
      <c r="B20" s="253">
        <v>15.83</v>
      </c>
      <c r="C20" s="251"/>
      <c r="D20" s="251"/>
      <c r="E20" s="251"/>
    </row>
    <row r="21" spans="1:5" ht="16.5" customHeight="1" x14ac:dyDescent="0.3">
      <c r="A21" s="249" t="s">
        <v>10</v>
      </c>
      <c r="B21" s="254">
        <f>15.83/25*5/100</f>
        <v>3.1660000000000001E-2</v>
      </c>
      <c r="C21" s="251"/>
      <c r="D21" s="251"/>
      <c r="E21" s="251"/>
    </row>
    <row r="22" spans="1:5" ht="15.75" customHeight="1" x14ac:dyDescent="0.25">
      <c r="A22" s="251"/>
      <c r="B22" s="251"/>
      <c r="C22" s="251"/>
      <c r="D22" s="251"/>
      <c r="E22" s="251"/>
    </row>
    <row r="23" spans="1:5" ht="16.5" customHeight="1" x14ac:dyDescent="0.3">
      <c r="A23" s="255" t="s">
        <v>12</v>
      </c>
      <c r="B23" s="256" t="s">
        <v>13</v>
      </c>
      <c r="C23" s="255" t="s">
        <v>14</v>
      </c>
      <c r="D23" s="255" t="s">
        <v>15</v>
      </c>
      <c r="E23" s="255" t="s">
        <v>16</v>
      </c>
    </row>
    <row r="24" spans="1:5" ht="16.5" customHeight="1" x14ac:dyDescent="0.3">
      <c r="A24" s="257">
        <v>1</v>
      </c>
      <c r="B24" s="258">
        <v>518759</v>
      </c>
      <c r="C24" s="258">
        <v>15035</v>
      </c>
      <c r="D24" s="259">
        <v>1</v>
      </c>
      <c r="E24" s="260">
        <v>27.6</v>
      </c>
    </row>
    <row r="25" spans="1:5" ht="16.5" customHeight="1" x14ac:dyDescent="0.3">
      <c r="A25" s="257">
        <v>2</v>
      </c>
      <c r="B25" s="258">
        <v>518940</v>
      </c>
      <c r="C25" s="258">
        <v>15002.7</v>
      </c>
      <c r="D25" s="259">
        <v>1</v>
      </c>
      <c r="E25" s="259">
        <v>27.6</v>
      </c>
    </row>
    <row r="26" spans="1:5" ht="16.5" customHeight="1" x14ac:dyDescent="0.3">
      <c r="A26" s="257">
        <v>3</v>
      </c>
      <c r="B26" s="258">
        <v>519889</v>
      </c>
      <c r="C26" s="258">
        <v>14942.6</v>
      </c>
      <c r="D26" s="259">
        <v>1</v>
      </c>
      <c r="E26" s="259">
        <v>27.6</v>
      </c>
    </row>
    <row r="27" spans="1:5" ht="16.5" customHeight="1" x14ac:dyDescent="0.3">
      <c r="A27" s="257">
        <v>4</v>
      </c>
      <c r="B27" s="258">
        <v>520042</v>
      </c>
      <c r="C27" s="258">
        <v>14842.4</v>
      </c>
      <c r="D27" s="259">
        <v>1</v>
      </c>
      <c r="E27" s="259">
        <v>27.7</v>
      </c>
    </row>
    <row r="28" spans="1:5" ht="16.5" customHeight="1" x14ac:dyDescent="0.3">
      <c r="A28" s="257">
        <v>5</v>
      </c>
      <c r="B28" s="258">
        <v>519826</v>
      </c>
      <c r="C28" s="258">
        <v>14855</v>
      </c>
      <c r="D28" s="259">
        <v>1</v>
      </c>
      <c r="E28" s="259">
        <v>27.7</v>
      </c>
    </row>
    <row r="29" spans="1:5" ht="16.5" customHeight="1" x14ac:dyDescent="0.3">
      <c r="A29" s="257">
        <v>6</v>
      </c>
      <c r="B29" s="261">
        <v>520870</v>
      </c>
      <c r="C29" s="261">
        <v>14804.6</v>
      </c>
      <c r="D29" s="262">
        <v>1</v>
      </c>
      <c r="E29" s="262">
        <v>27.7</v>
      </c>
    </row>
    <row r="30" spans="1:5" ht="16.5" customHeight="1" x14ac:dyDescent="0.3">
      <c r="A30" s="263" t="s">
        <v>17</v>
      </c>
      <c r="B30" s="264">
        <f>AVERAGE(B24:B29)</f>
        <v>519721</v>
      </c>
      <c r="C30" s="265">
        <f>AVERAGE(C24:C29)</f>
        <v>14913.716666666669</v>
      </c>
      <c r="D30" s="266">
        <v>1</v>
      </c>
      <c r="E30" s="266">
        <f>AVERAGE(E24:E29)</f>
        <v>27.650000000000002</v>
      </c>
    </row>
    <row r="31" spans="1:5" ht="16.5" customHeight="1" x14ac:dyDescent="0.3">
      <c r="A31" s="267" t="s">
        <v>18</v>
      </c>
      <c r="B31" s="268">
        <f>(STDEV(B24:B29)/B30)</f>
        <v>1.4898859125719456E-3</v>
      </c>
      <c r="C31" s="269"/>
      <c r="D31" s="269"/>
      <c r="E31" s="270"/>
    </row>
    <row r="32" spans="1:5" s="245" customFormat="1" ht="16.5" customHeight="1" x14ac:dyDescent="0.3">
      <c r="A32" s="271" t="s">
        <v>19</v>
      </c>
      <c r="B32" s="272">
        <f>COUNT(B24:B29)</f>
        <v>6</v>
      </c>
      <c r="C32" s="273"/>
      <c r="D32" s="274"/>
      <c r="E32" s="275"/>
    </row>
    <row r="33" spans="1:5" s="245" customFormat="1" ht="15.75" customHeight="1" x14ac:dyDescent="0.25">
      <c r="A33" s="251"/>
      <c r="B33" s="251"/>
      <c r="C33" s="251"/>
      <c r="D33" s="251"/>
      <c r="E33" s="251"/>
    </row>
    <row r="34" spans="1:5" s="245" customFormat="1" ht="16.5" customHeight="1" x14ac:dyDescent="0.3">
      <c r="A34" s="252" t="s">
        <v>20</v>
      </c>
      <c r="B34" s="276" t="s">
        <v>21</v>
      </c>
      <c r="C34" s="277"/>
      <c r="D34" s="277"/>
      <c r="E34" s="277"/>
    </row>
    <row r="35" spans="1:5" ht="16.5" customHeight="1" x14ac:dyDescent="0.3">
      <c r="A35" s="252"/>
      <c r="B35" s="276" t="s">
        <v>22</v>
      </c>
      <c r="C35" s="277"/>
      <c r="D35" s="277"/>
      <c r="E35" s="277"/>
    </row>
    <row r="36" spans="1:5" ht="16.5" customHeight="1" x14ac:dyDescent="0.3">
      <c r="A36" s="252"/>
      <c r="B36" s="276" t="s">
        <v>23</v>
      </c>
      <c r="C36" s="277"/>
      <c r="D36" s="277"/>
      <c r="E36" s="277"/>
    </row>
    <row r="37" spans="1:5" ht="15.75" customHeight="1" x14ac:dyDescent="0.25">
      <c r="A37" s="251"/>
      <c r="B37" s="251"/>
      <c r="C37" s="251"/>
      <c r="D37" s="251"/>
      <c r="E37" s="251"/>
    </row>
    <row r="38" spans="1:5" ht="16.5" customHeight="1" x14ac:dyDescent="0.3">
      <c r="A38" s="247" t="s">
        <v>1</v>
      </c>
      <c r="B38" s="248" t="s">
        <v>24</v>
      </c>
    </row>
    <row r="39" spans="1:5" ht="16.5" customHeight="1" x14ac:dyDescent="0.3">
      <c r="A39" s="252" t="s">
        <v>4</v>
      </c>
      <c r="B39" s="249"/>
      <c r="C39" s="251"/>
      <c r="D39" s="251"/>
      <c r="E39" s="251"/>
    </row>
    <row r="40" spans="1:5" ht="16.5" customHeight="1" x14ac:dyDescent="0.3">
      <c r="A40" s="252" t="s">
        <v>6</v>
      </c>
      <c r="B40" s="253"/>
      <c r="C40" s="251"/>
      <c r="D40" s="251"/>
      <c r="E40" s="251"/>
    </row>
    <row r="41" spans="1:5" ht="16.5" customHeight="1" x14ac:dyDescent="0.3">
      <c r="A41" s="249" t="s">
        <v>8</v>
      </c>
      <c r="B41" s="253"/>
      <c r="C41" s="251"/>
      <c r="D41" s="251"/>
      <c r="E41" s="251"/>
    </row>
    <row r="42" spans="1:5" ht="16.5" customHeight="1" x14ac:dyDescent="0.3">
      <c r="A42" s="249" t="s">
        <v>10</v>
      </c>
      <c r="B42" s="254"/>
      <c r="C42" s="251"/>
      <c r="D42" s="251"/>
      <c r="E42" s="251"/>
    </row>
    <row r="43" spans="1:5" ht="15.75" customHeight="1" x14ac:dyDescent="0.25">
      <c r="A43" s="251"/>
      <c r="B43" s="251"/>
      <c r="C43" s="251"/>
      <c r="D43" s="251"/>
      <c r="E43" s="251"/>
    </row>
    <row r="44" spans="1:5" ht="16.5" customHeight="1" x14ac:dyDescent="0.3">
      <c r="A44" s="255" t="s">
        <v>12</v>
      </c>
      <c r="B44" s="256" t="s">
        <v>13</v>
      </c>
      <c r="C44" s="255" t="s">
        <v>14</v>
      </c>
      <c r="D44" s="255" t="s">
        <v>15</v>
      </c>
      <c r="E44" s="255" t="s">
        <v>16</v>
      </c>
    </row>
    <row r="45" spans="1:5" ht="16.5" customHeight="1" x14ac:dyDescent="0.3">
      <c r="A45" s="257">
        <v>1</v>
      </c>
      <c r="B45" s="258"/>
      <c r="C45" s="258"/>
      <c r="D45" s="259"/>
      <c r="E45" s="260"/>
    </row>
    <row r="46" spans="1:5" ht="16.5" customHeight="1" x14ac:dyDescent="0.3">
      <c r="A46" s="257">
        <v>2</v>
      </c>
      <c r="B46" s="258"/>
      <c r="C46" s="258"/>
      <c r="D46" s="259"/>
      <c r="E46" s="259"/>
    </row>
    <row r="47" spans="1:5" ht="16.5" customHeight="1" x14ac:dyDescent="0.3">
      <c r="A47" s="257">
        <v>3</v>
      </c>
      <c r="B47" s="258"/>
      <c r="C47" s="258"/>
      <c r="D47" s="259"/>
      <c r="E47" s="259"/>
    </row>
    <row r="48" spans="1:5" ht="16.5" customHeight="1" x14ac:dyDescent="0.3">
      <c r="A48" s="257">
        <v>4</v>
      </c>
      <c r="B48" s="258"/>
      <c r="C48" s="258"/>
      <c r="D48" s="259"/>
      <c r="E48" s="259"/>
    </row>
    <row r="49" spans="1:7" ht="16.5" customHeight="1" x14ac:dyDescent="0.3">
      <c r="A49" s="257">
        <v>5</v>
      </c>
      <c r="B49" s="258"/>
      <c r="C49" s="258"/>
      <c r="D49" s="259"/>
      <c r="E49" s="259"/>
    </row>
    <row r="50" spans="1:7" ht="16.5" customHeight="1" x14ac:dyDescent="0.3">
      <c r="A50" s="257">
        <v>6</v>
      </c>
      <c r="B50" s="261"/>
      <c r="C50" s="261"/>
      <c r="D50" s="262"/>
      <c r="E50" s="262"/>
    </row>
    <row r="51" spans="1:7" ht="16.5" customHeight="1" x14ac:dyDescent="0.3">
      <c r="A51" s="263" t="s">
        <v>17</v>
      </c>
      <c r="B51" s="264" t="e">
        <f>AVERAGE(B45:B50)</f>
        <v>#DIV/0!</v>
      </c>
      <c r="C51" s="265" t="e">
        <f>AVERAGE(C45:C50)</f>
        <v>#DIV/0!</v>
      </c>
      <c r="D51" s="266" t="e">
        <f>AVERAGE(D45:D50)</f>
        <v>#DIV/0!</v>
      </c>
      <c r="E51" s="266" t="e">
        <f>AVERAGE(E45:E50)</f>
        <v>#DIV/0!</v>
      </c>
    </row>
    <row r="52" spans="1:7" ht="16.5" customHeight="1" x14ac:dyDescent="0.3">
      <c r="A52" s="267" t="s">
        <v>18</v>
      </c>
      <c r="B52" s="268" t="e">
        <f>(STDEV(B45:B50)/B51)</f>
        <v>#DIV/0!</v>
      </c>
      <c r="C52" s="269"/>
      <c r="D52" s="269"/>
      <c r="E52" s="270"/>
    </row>
    <row r="53" spans="1:7" s="245" customFormat="1" ht="16.5" customHeight="1" x14ac:dyDescent="0.3">
      <c r="A53" s="271" t="s">
        <v>19</v>
      </c>
      <c r="B53" s="272">
        <f>COUNT(B45:B50)</f>
        <v>0</v>
      </c>
      <c r="C53" s="273"/>
      <c r="D53" s="274"/>
      <c r="E53" s="275"/>
    </row>
    <row r="54" spans="1:7" s="245" customFormat="1" ht="15.75" customHeight="1" x14ac:dyDescent="0.25">
      <c r="A54" s="251"/>
      <c r="B54" s="251"/>
      <c r="C54" s="251"/>
      <c r="D54" s="251"/>
      <c r="E54" s="251"/>
    </row>
    <row r="55" spans="1:7" s="245" customFormat="1" ht="16.5" customHeight="1" x14ac:dyDescent="0.3">
      <c r="A55" s="252" t="s">
        <v>20</v>
      </c>
      <c r="B55" s="276" t="s">
        <v>21</v>
      </c>
      <c r="C55" s="277"/>
      <c r="D55" s="277"/>
      <c r="E55" s="277"/>
    </row>
    <row r="56" spans="1:7" ht="16.5" customHeight="1" x14ac:dyDescent="0.3">
      <c r="A56" s="252"/>
      <c r="B56" s="276" t="s">
        <v>22</v>
      </c>
      <c r="C56" s="277"/>
      <c r="D56" s="277"/>
      <c r="E56" s="277"/>
    </row>
    <row r="57" spans="1:7" ht="16.5" customHeight="1" x14ac:dyDescent="0.3">
      <c r="A57" s="252"/>
      <c r="B57" s="276" t="s">
        <v>23</v>
      </c>
      <c r="C57" s="277"/>
      <c r="D57" s="277"/>
      <c r="E57" s="277"/>
    </row>
    <row r="58" spans="1:7" ht="14.25" customHeight="1" thickBot="1" x14ac:dyDescent="0.3">
      <c r="A58" s="278"/>
      <c r="B58" s="279"/>
      <c r="D58" s="280"/>
      <c r="F58" s="281"/>
      <c r="G58" s="281"/>
    </row>
    <row r="59" spans="1:7" ht="15" customHeight="1" x14ac:dyDescent="0.3">
      <c r="B59" s="405" t="s">
        <v>25</v>
      </c>
      <c r="C59" s="405"/>
      <c r="E59" s="282" t="s">
        <v>26</v>
      </c>
      <c r="F59" s="283"/>
      <c r="G59" s="282" t="s">
        <v>27</v>
      </c>
    </row>
    <row r="60" spans="1:7" ht="15" customHeight="1" x14ac:dyDescent="0.3">
      <c r="A60" s="284" t="s">
        <v>28</v>
      </c>
      <c r="B60" s="285" t="s">
        <v>120</v>
      </c>
      <c r="C60" s="285"/>
      <c r="E60" s="285"/>
      <c r="G60" s="285"/>
    </row>
    <row r="61" spans="1:7" ht="15" customHeight="1" x14ac:dyDescent="0.3">
      <c r="A61" s="284" t="s">
        <v>29</v>
      </c>
      <c r="B61" s="286"/>
      <c r="C61" s="286"/>
      <c r="E61" s="286"/>
      <c r="G61" s="28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6" sqref="B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9</v>
      </c>
      <c r="C18" s="36"/>
      <c r="D18" s="36"/>
      <c r="E18" s="36"/>
    </row>
    <row r="19" spans="1:5" ht="16.5" customHeight="1" x14ac:dyDescent="0.3">
      <c r="A19" s="11" t="s">
        <v>6</v>
      </c>
      <c r="B19" s="12">
        <v>75.599999999999994</v>
      </c>
      <c r="C19" s="36"/>
      <c r="D19" s="36"/>
      <c r="E19" s="36"/>
    </row>
    <row r="20" spans="1:5" ht="16.5" customHeight="1" x14ac:dyDescent="0.3">
      <c r="A20" s="8" t="s">
        <v>8</v>
      </c>
      <c r="B20" s="12">
        <v>15.12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B20/25*5/100</f>
        <v>3.024E-2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26596055</v>
      </c>
      <c r="C24" s="18">
        <v>15723.82</v>
      </c>
      <c r="D24" s="19">
        <v>1</v>
      </c>
      <c r="E24" s="20">
        <v>31.88</v>
      </c>
    </row>
    <row r="25" spans="1:5" ht="16.5" customHeight="1" x14ac:dyDescent="0.3">
      <c r="A25" s="17">
        <v>2</v>
      </c>
      <c r="B25" s="18">
        <v>26343150</v>
      </c>
      <c r="C25" s="18">
        <v>15816.58</v>
      </c>
      <c r="D25" s="19">
        <v>0.99</v>
      </c>
      <c r="E25" s="19">
        <v>31.89</v>
      </c>
    </row>
    <row r="26" spans="1:5" ht="16.5" customHeight="1" x14ac:dyDescent="0.3">
      <c r="A26" s="17">
        <v>3</v>
      </c>
      <c r="B26" s="18">
        <v>26626664</v>
      </c>
      <c r="C26" s="18">
        <v>15794.32</v>
      </c>
      <c r="D26" s="19">
        <v>0.99</v>
      </c>
      <c r="E26" s="19">
        <v>31.9</v>
      </c>
    </row>
    <row r="27" spans="1:5" ht="16.5" customHeight="1" x14ac:dyDescent="0.3">
      <c r="A27" s="17">
        <v>4</v>
      </c>
      <c r="B27" s="18">
        <v>26889871</v>
      </c>
      <c r="C27" s="18">
        <v>15790.89</v>
      </c>
      <c r="D27" s="19">
        <v>1</v>
      </c>
      <c r="E27" s="19">
        <v>31.92</v>
      </c>
    </row>
    <row r="28" spans="1:5" ht="16.5" customHeight="1" x14ac:dyDescent="0.3">
      <c r="A28" s="17">
        <v>5</v>
      </c>
      <c r="B28" s="18">
        <v>26823399</v>
      </c>
      <c r="C28" s="18">
        <v>15769.91</v>
      </c>
      <c r="D28" s="19">
        <v>0.99</v>
      </c>
      <c r="E28" s="19">
        <v>31.93</v>
      </c>
    </row>
    <row r="29" spans="1:5" ht="16.5" customHeight="1" x14ac:dyDescent="0.3">
      <c r="A29" s="17">
        <v>6</v>
      </c>
      <c r="B29" s="21">
        <v>27091535</v>
      </c>
      <c r="C29" s="21">
        <v>15822.55</v>
      </c>
      <c r="D29" s="22">
        <v>0.99</v>
      </c>
      <c r="E29" s="22">
        <v>31.95</v>
      </c>
    </row>
    <row r="30" spans="1:5" ht="16.5" customHeight="1" x14ac:dyDescent="0.3">
      <c r="A30" s="23" t="s">
        <v>17</v>
      </c>
      <c r="B30" s="24">
        <f>AVERAGE(B24:B29)</f>
        <v>26728445.666666668</v>
      </c>
      <c r="C30" s="25">
        <f>AVERAGE(C24:C29)</f>
        <v>15786.345000000001</v>
      </c>
      <c r="D30" s="26">
        <f>AVERAGE(D24:D29)</f>
        <v>0.99333333333333329</v>
      </c>
      <c r="E30" s="26">
        <f>AVERAGE(E24:E29)</f>
        <v>31.911666666666662</v>
      </c>
    </row>
    <row r="31" spans="1:5" ht="16.5" customHeight="1" x14ac:dyDescent="0.3">
      <c r="A31" s="27" t="s">
        <v>18</v>
      </c>
      <c r="B31" s="28">
        <f>(STDEV(B24:B29)/B30)</f>
        <v>9.802686237824319E-3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444" t="s">
        <v>25</v>
      </c>
      <c r="C59" s="444"/>
      <c r="E59" s="231" t="s">
        <v>26</v>
      </c>
      <c r="F59" s="46"/>
      <c r="G59" s="231" t="s">
        <v>27</v>
      </c>
    </row>
    <row r="60" spans="1:7" ht="15" customHeight="1" x14ac:dyDescent="0.3">
      <c r="A60" s="47" t="s">
        <v>28</v>
      </c>
      <c r="B60" s="49" t="s">
        <v>119</v>
      </c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6" zoomScale="60" workbookViewId="0">
      <selection activeCell="D30" sqref="D30"/>
    </sheetView>
  </sheetViews>
  <sheetFormatPr defaultRowHeight="15" x14ac:dyDescent="0.3"/>
  <cols>
    <col min="1" max="1" width="25.140625" style="185" customWidth="1"/>
    <col min="2" max="2" width="20.42578125" style="185" customWidth="1"/>
    <col min="3" max="3" width="23" style="185" customWidth="1"/>
    <col min="4" max="4" width="24.42578125" style="185" customWidth="1"/>
    <col min="5" max="5" width="6.7109375" style="185" customWidth="1"/>
    <col min="6" max="6" width="18.85546875" style="185" customWidth="1"/>
    <col min="7" max="7" width="20.140625" style="185" customWidth="1"/>
    <col min="8" max="8" width="9" style="185" customWidth="1"/>
    <col min="9" max="9" width="26.42578125" style="185" customWidth="1"/>
    <col min="10" max="10" width="18.85546875" style="185" customWidth="1"/>
    <col min="11" max="11" width="20.140625" style="185" customWidth="1"/>
    <col min="12" max="256" width="9" style="185" customWidth="1"/>
    <col min="257" max="257" width="21" style="185" customWidth="1"/>
    <col min="258" max="258" width="18.85546875" style="185" customWidth="1"/>
    <col min="259" max="259" width="20.140625" style="185" customWidth="1"/>
    <col min="260" max="512" width="9" style="185" customWidth="1"/>
    <col min="513" max="513" width="21" style="185" customWidth="1"/>
    <col min="514" max="514" width="18.85546875" style="185" customWidth="1"/>
    <col min="515" max="515" width="20.140625" style="185" customWidth="1"/>
    <col min="516" max="768" width="9" style="185" customWidth="1"/>
    <col min="769" max="769" width="21" style="185" customWidth="1"/>
    <col min="770" max="770" width="18.85546875" style="185" customWidth="1"/>
    <col min="771" max="771" width="20.140625" style="185" customWidth="1"/>
    <col min="772" max="1024" width="9" style="185" customWidth="1"/>
    <col min="1025" max="1025" width="21" style="185" customWidth="1"/>
    <col min="1026" max="1026" width="18.85546875" style="185" customWidth="1"/>
    <col min="1027" max="1027" width="20.140625" style="185" customWidth="1"/>
    <col min="1028" max="1280" width="9" style="185" customWidth="1"/>
    <col min="1281" max="1281" width="21" style="185" customWidth="1"/>
    <col min="1282" max="1282" width="18.85546875" style="185" customWidth="1"/>
    <col min="1283" max="1283" width="20.140625" style="185" customWidth="1"/>
    <col min="1284" max="1536" width="9" style="185" customWidth="1"/>
    <col min="1537" max="1537" width="21" style="185" customWidth="1"/>
    <col min="1538" max="1538" width="18.85546875" style="185" customWidth="1"/>
    <col min="1539" max="1539" width="20.140625" style="185" customWidth="1"/>
    <col min="1540" max="1792" width="9" style="185" customWidth="1"/>
    <col min="1793" max="1793" width="21" style="185" customWidth="1"/>
    <col min="1794" max="1794" width="18.85546875" style="185" customWidth="1"/>
    <col min="1795" max="1795" width="20.140625" style="185" customWidth="1"/>
    <col min="1796" max="2048" width="9" style="185" customWidth="1"/>
    <col min="2049" max="2049" width="21" style="185" customWidth="1"/>
    <col min="2050" max="2050" width="18.85546875" style="185" customWidth="1"/>
    <col min="2051" max="2051" width="20.140625" style="185" customWidth="1"/>
    <col min="2052" max="2304" width="9" style="185" customWidth="1"/>
    <col min="2305" max="2305" width="21" style="185" customWidth="1"/>
    <col min="2306" max="2306" width="18.85546875" style="185" customWidth="1"/>
    <col min="2307" max="2307" width="20.140625" style="185" customWidth="1"/>
    <col min="2308" max="2560" width="9" style="185" customWidth="1"/>
    <col min="2561" max="2561" width="21" style="185" customWidth="1"/>
    <col min="2562" max="2562" width="18.85546875" style="185" customWidth="1"/>
    <col min="2563" max="2563" width="20.140625" style="185" customWidth="1"/>
    <col min="2564" max="2816" width="9" style="185" customWidth="1"/>
    <col min="2817" max="2817" width="21" style="185" customWidth="1"/>
    <col min="2818" max="2818" width="18.85546875" style="185" customWidth="1"/>
    <col min="2819" max="2819" width="20.140625" style="185" customWidth="1"/>
    <col min="2820" max="3072" width="9" style="185" customWidth="1"/>
    <col min="3073" max="3073" width="21" style="185" customWidth="1"/>
    <col min="3074" max="3074" width="18.85546875" style="185" customWidth="1"/>
    <col min="3075" max="3075" width="20.140625" style="185" customWidth="1"/>
    <col min="3076" max="3328" width="9" style="185" customWidth="1"/>
    <col min="3329" max="3329" width="21" style="185" customWidth="1"/>
    <col min="3330" max="3330" width="18.85546875" style="185" customWidth="1"/>
    <col min="3331" max="3331" width="20.140625" style="185" customWidth="1"/>
    <col min="3332" max="3584" width="9" style="185" customWidth="1"/>
    <col min="3585" max="3585" width="21" style="185" customWidth="1"/>
    <col min="3586" max="3586" width="18.85546875" style="185" customWidth="1"/>
    <col min="3587" max="3587" width="20.140625" style="185" customWidth="1"/>
    <col min="3588" max="3840" width="9" style="185" customWidth="1"/>
    <col min="3841" max="3841" width="21" style="185" customWidth="1"/>
    <col min="3842" max="3842" width="18.85546875" style="185" customWidth="1"/>
    <col min="3843" max="3843" width="20.140625" style="185" customWidth="1"/>
    <col min="3844" max="4096" width="9" style="185" customWidth="1"/>
    <col min="4097" max="4097" width="21" style="185" customWidth="1"/>
    <col min="4098" max="4098" width="18.85546875" style="185" customWidth="1"/>
    <col min="4099" max="4099" width="20.140625" style="185" customWidth="1"/>
    <col min="4100" max="4352" width="9" style="185" customWidth="1"/>
    <col min="4353" max="4353" width="21" style="185" customWidth="1"/>
    <col min="4354" max="4354" width="18.85546875" style="185" customWidth="1"/>
    <col min="4355" max="4355" width="20.140625" style="185" customWidth="1"/>
    <col min="4356" max="4608" width="9" style="185" customWidth="1"/>
    <col min="4609" max="4609" width="21" style="185" customWidth="1"/>
    <col min="4610" max="4610" width="18.85546875" style="185" customWidth="1"/>
    <col min="4611" max="4611" width="20.140625" style="185" customWidth="1"/>
    <col min="4612" max="4864" width="9" style="185" customWidth="1"/>
    <col min="4865" max="4865" width="21" style="185" customWidth="1"/>
    <col min="4866" max="4866" width="18.85546875" style="185" customWidth="1"/>
    <col min="4867" max="4867" width="20.140625" style="185" customWidth="1"/>
    <col min="4868" max="5120" width="9" style="185" customWidth="1"/>
    <col min="5121" max="5121" width="21" style="185" customWidth="1"/>
    <col min="5122" max="5122" width="18.85546875" style="185" customWidth="1"/>
    <col min="5123" max="5123" width="20.140625" style="185" customWidth="1"/>
    <col min="5124" max="5376" width="9" style="185" customWidth="1"/>
    <col min="5377" max="5377" width="21" style="185" customWidth="1"/>
    <col min="5378" max="5378" width="18.85546875" style="185" customWidth="1"/>
    <col min="5379" max="5379" width="20.140625" style="185" customWidth="1"/>
    <col min="5380" max="5632" width="9" style="185" customWidth="1"/>
    <col min="5633" max="5633" width="21" style="185" customWidth="1"/>
    <col min="5634" max="5634" width="18.85546875" style="185" customWidth="1"/>
    <col min="5635" max="5635" width="20.140625" style="185" customWidth="1"/>
    <col min="5636" max="5888" width="9" style="185" customWidth="1"/>
    <col min="5889" max="5889" width="21" style="185" customWidth="1"/>
    <col min="5890" max="5890" width="18.85546875" style="185" customWidth="1"/>
    <col min="5891" max="5891" width="20.140625" style="185" customWidth="1"/>
    <col min="5892" max="6144" width="9" style="185" customWidth="1"/>
    <col min="6145" max="6145" width="21" style="185" customWidth="1"/>
    <col min="6146" max="6146" width="18.85546875" style="185" customWidth="1"/>
    <col min="6147" max="6147" width="20.140625" style="185" customWidth="1"/>
    <col min="6148" max="6400" width="9" style="185" customWidth="1"/>
    <col min="6401" max="6401" width="21" style="185" customWidth="1"/>
    <col min="6402" max="6402" width="18.85546875" style="185" customWidth="1"/>
    <col min="6403" max="6403" width="20.140625" style="185" customWidth="1"/>
    <col min="6404" max="6656" width="9" style="185" customWidth="1"/>
    <col min="6657" max="6657" width="21" style="185" customWidth="1"/>
    <col min="6658" max="6658" width="18.85546875" style="185" customWidth="1"/>
    <col min="6659" max="6659" width="20.140625" style="185" customWidth="1"/>
    <col min="6660" max="6912" width="9" style="185" customWidth="1"/>
    <col min="6913" max="6913" width="21" style="185" customWidth="1"/>
    <col min="6914" max="6914" width="18.85546875" style="185" customWidth="1"/>
    <col min="6915" max="6915" width="20.140625" style="185" customWidth="1"/>
    <col min="6916" max="7168" width="9" style="185" customWidth="1"/>
    <col min="7169" max="7169" width="21" style="185" customWidth="1"/>
    <col min="7170" max="7170" width="18.85546875" style="185" customWidth="1"/>
    <col min="7171" max="7171" width="20.140625" style="185" customWidth="1"/>
    <col min="7172" max="7424" width="9" style="185" customWidth="1"/>
    <col min="7425" max="7425" width="21" style="185" customWidth="1"/>
    <col min="7426" max="7426" width="18.85546875" style="185" customWidth="1"/>
    <col min="7427" max="7427" width="20.140625" style="185" customWidth="1"/>
    <col min="7428" max="7680" width="9" style="185" customWidth="1"/>
    <col min="7681" max="7681" width="21" style="185" customWidth="1"/>
    <col min="7682" max="7682" width="18.85546875" style="185" customWidth="1"/>
    <col min="7683" max="7683" width="20.140625" style="185" customWidth="1"/>
    <col min="7684" max="7936" width="9" style="185" customWidth="1"/>
    <col min="7937" max="7937" width="21" style="185" customWidth="1"/>
    <col min="7938" max="7938" width="18.85546875" style="185" customWidth="1"/>
    <col min="7939" max="7939" width="20.140625" style="185" customWidth="1"/>
    <col min="7940" max="8192" width="9" style="185" customWidth="1"/>
    <col min="8193" max="8193" width="21" style="185" customWidth="1"/>
    <col min="8194" max="8194" width="18.85546875" style="185" customWidth="1"/>
    <col min="8195" max="8195" width="20.140625" style="185" customWidth="1"/>
    <col min="8196" max="8448" width="9" style="185" customWidth="1"/>
    <col min="8449" max="8449" width="21" style="185" customWidth="1"/>
    <col min="8450" max="8450" width="18.85546875" style="185" customWidth="1"/>
    <col min="8451" max="8451" width="20.140625" style="185" customWidth="1"/>
    <col min="8452" max="8704" width="9" style="185" customWidth="1"/>
    <col min="8705" max="8705" width="21" style="185" customWidth="1"/>
    <col min="8706" max="8706" width="18.85546875" style="185" customWidth="1"/>
    <col min="8707" max="8707" width="20.140625" style="185" customWidth="1"/>
    <col min="8708" max="8960" width="9" style="185" customWidth="1"/>
    <col min="8961" max="8961" width="21" style="185" customWidth="1"/>
    <col min="8962" max="8962" width="18.85546875" style="185" customWidth="1"/>
    <col min="8963" max="8963" width="20.140625" style="185" customWidth="1"/>
    <col min="8964" max="9216" width="9" style="185" customWidth="1"/>
    <col min="9217" max="9217" width="21" style="185" customWidth="1"/>
    <col min="9218" max="9218" width="18.85546875" style="185" customWidth="1"/>
    <col min="9219" max="9219" width="20.140625" style="185" customWidth="1"/>
    <col min="9220" max="9472" width="9" style="185" customWidth="1"/>
    <col min="9473" max="9473" width="21" style="185" customWidth="1"/>
    <col min="9474" max="9474" width="18.85546875" style="185" customWidth="1"/>
    <col min="9475" max="9475" width="20.140625" style="185" customWidth="1"/>
    <col min="9476" max="9728" width="9" style="185" customWidth="1"/>
    <col min="9729" max="9729" width="21" style="185" customWidth="1"/>
    <col min="9730" max="9730" width="18.85546875" style="185" customWidth="1"/>
    <col min="9731" max="9731" width="20.140625" style="185" customWidth="1"/>
    <col min="9732" max="9984" width="9" style="185" customWidth="1"/>
    <col min="9985" max="9985" width="21" style="185" customWidth="1"/>
    <col min="9986" max="9986" width="18.85546875" style="185" customWidth="1"/>
    <col min="9987" max="9987" width="20.140625" style="185" customWidth="1"/>
    <col min="9988" max="10240" width="9" style="185" customWidth="1"/>
    <col min="10241" max="10241" width="21" style="185" customWidth="1"/>
    <col min="10242" max="10242" width="18.85546875" style="185" customWidth="1"/>
    <col min="10243" max="10243" width="20.140625" style="185" customWidth="1"/>
    <col min="10244" max="10496" width="9" style="185" customWidth="1"/>
    <col min="10497" max="10497" width="21" style="185" customWidth="1"/>
    <col min="10498" max="10498" width="18.85546875" style="185" customWidth="1"/>
    <col min="10499" max="10499" width="20.140625" style="185" customWidth="1"/>
    <col min="10500" max="10752" width="9" style="185" customWidth="1"/>
    <col min="10753" max="10753" width="21" style="185" customWidth="1"/>
    <col min="10754" max="10754" width="18.85546875" style="185" customWidth="1"/>
    <col min="10755" max="10755" width="20.140625" style="185" customWidth="1"/>
    <col min="10756" max="11008" width="9" style="185" customWidth="1"/>
    <col min="11009" max="11009" width="21" style="185" customWidth="1"/>
    <col min="11010" max="11010" width="18.85546875" style="185" customWidth="1"/>
    <col min="11011" max="11011" width="20.140625" style="185" customWidth="1"/>
    <col min="11012" max="11264" width="9" style="185" customWidth="1"/>
    <col min="11265" max="11265" width="21" style="185" customWidth="1"/>
    <col min="11266" max="11266" width="18.85546875" style="185" customWidth="1"/>
    <col min="11267" max="11267" width="20.140625" style="185" customWidth="1"/>
    <col min="11268" max="11520" width="9" style="185" customWidth="1"/>
    <col min="11521" max="11521" width="21" style="185" customWidth="1"/>
    <col min="11522" max="11522" width="18.85546875" style="185" customWidth="1"/>
    <col min="11523" max="11523" width="20.140625" style="185" customWidth="1"/>
    <col min="11524" max="11776" width="9" style="185" customWidth="1"/>
    <col min="11777" max="11777" width="21" style="185" customWidth="1"/>
    <col min="11778" max="11778" width="18.85546875" style="185" customWidth="1"/>
    <col min="11779" max="11779" width="20.140625" style="185" customWidth="1"/>
    <col min="11780" max="12032" width="9" style="185" customWidth="1"/>
    <col min="12033" max="12033" width="21" style="185" customWidth="1"/>
    <col min="12034" max="12034" width="18.85546875" style="185" customWidth="1"/>
    <col min="12035" max="12035" width="20.140625" style="185" customWidth="1"/>
    <col min="12036" max="12288" width="9" style="185" customWidth="1"/>
    <col min="12289" max="12289" width="21" style="185" customWidth="1"/>
    <col min="12290" max="12290" width="18.85546875" style="185" customWidth="1"/>
    <col min="12291" max="12291" width="20.140625" style="185" customWidth="1"/>
    <col min="12292" max="12544" width="9" style="185" customWidth="1"/>
    <col min="12545" max="12545" width="21" style="185" customWidth="1"/>
    <col min="12546" max="12546" width="18.85546875" style="185" customWidth="1"/>
    <col min="12547" max="12547" width="20.140625" style="185" customWidth="1"/>
    <col min="12548" max="12800" width="9" style="185" customWidth="1"/>
    <col min="12801" max="12801" width="21" style="185" customWidth="1"/>
    <col min="12802" max="12802" width="18.85546875" style="185" customWidth="1"/>
    <col min="12803" max="12803" width="20.140625" style="185" customWidth="1"/>
    <col min="12804" max="13056" width="9" style="185" customWidth="1"/>
    <col min="13057" max="13057" width="21" style="185" customWidth="1"/>
    <col min="13058" max="13058" width="18.85546875" style="185" customWidth="1"/>
    <col min="13059" max="13059" width="20.140625" style="185" customWidth="1"/>
    <col min="13060" max="13312" width="9" style="185" customWidth="1"/>
    <col min="13313" max="13313" width="21" style="185" customWidth="1"/>
    <col min="13314" max="13314" width="18.85546875" style="185" customWidth="1"/>
    <col min="13315" max="13315" width="20.140625" style="185" customWidth="1"/>
    <col min="13316" max="13568" width="9" style="185" customWidth="1"/>
    <col min="13569" max="13569" width="21" style="185" customWidth="1"/>
    <col min="13570" max="13570" width="18.85546875" style="185" customWidth="1"/>
    <col min="13571" max="13571" width="20.140625" style="185" customWidth="1"/>
    <col min="13572" max="13824" width="9" style="185" customWidth="1"/>
    <col min="13825" max="13825" width="21" style="185" customWidth="1"/>
    <col min="13826" max="13826" width="18.85546875" style="185" customWidth="1"/>
    <col min="13827" max="13827" width="20.140625" style="185" customWidth="1"/>
    <col min="13828" max="14080" width="9" style="185" customWidth="1"/>
    <col min="14081" max="14081" width="21" style="185" customWidth="1"/>
    <col min="14082" max="14082" width="18.85546875" style="185" customWidth="1"/>
    <col min="14083" max="14083" width="20.140625" style="185" customWidth="1"/>
    <col min="14084" max="14336" width="9" style="185" customWidth="1"/>
    <col min="14337" max="14337" width="21" style="185" customWidth="1"/>
    <col min="14338" max="14338" width="18.85546875" style="185" customWidth="1"/>
    <col min="14339" max="14339" width="20.140625" style="185" customWidth="1"/>
    <col min="14340" max="14592" width="9" style="185" customWidth="1"/>
    <col min="14593" max="14593" width="21" style="185" customWidth="1"/>
    <col min="14594" max="14594" width="18.85546875" style="185" customWidth="1"/>
    <col min="14595" max="14595" width="20.140625" style="185" customWidth="1"/>
    <col min="14596" max="14848" width="9" style="185" customWidth="1"/>
    <col min="14849" max="14849" width="21" style="185" customWidth="1"/>
    <col min="14850" max="14850" width="18.85546875" style="185" customWidth="1"/>
    <col min="14851" max="14851" width="20.140625" style="185" customWidth="1"/>
    <col min="14852" max="15104" width="9" style="185" customWidth="1"/>
    <col min="15105" max="15105" width="21" style="185" customWidth="1"/>
    <col min="15106" max="15106" width="18.85546875" style="185" customWidth="1"/>
    <col min="15107" max="15107" width="20.140625" style="185" customWidth="1"/>
    <col min="15108" max="15360" width="9" style="185" customWidth="1"/>
    <col min="15361" max="15361" width="21" style="185" customWidth="1"/>
    <col min="15362" max="15362" width="18.85546875" style="185" customWidth="1"/>
    <col min="15363" max="15363" width="20.140625" style="185" customWidth="1"/>
    <col min="15364" max="15616" width="9" style="185" customWidth="1"/>
    <col min="15617" max="15617" width="21" style="185" customWidth="1"/>
    <col min="15618" max="15618" width="18.85546875" style="185" customWidth="1"/>
    <col min="15619" max="15619" width="20.140625" style="185" customWidth="1"/>
    <col min="15620" max="15872" width="9" style="185" customWidth="1"/>
    <col min="15873" max="15873" width="21" style="185" customWidth="1"/>
    <col min="15874" max="15874" width="18.85546875" style="185" customWidth="1"/>
    <col min="15875" max="15875" width="20.140625" style="185" customWidth="1"/>
    <col min="15876" max="16128" width="9" style="185" customWidth="1"/>
    <col min="16129" max="16129" width="21" style="185" customWidth="1"/>
    <col min="16130" max="16130" width="18.85546875" style="185" customWidth="1"/>
    <col min="16131" max="16131" width="20.140625" style="185" customWidth="1"/>
    <col min="16132" max="16132" width="9" style="185" customWidth="1"/>
    <col min="16133" max="16384" width="9.140625" style="186"/>
  </cols>
  <sheetData>
    <row r="1" spans="1:7" ht="12.75" customHeight="1" x14ac:dyDescent="0.3">
      <c r="A1" s="406" t="s">
        <v>30</v>
      </c>
      <c r="B1" s="406"/>
      <c r="C1" s="406"/>
      <c r="D1" s="406"/>
      <c r="E1" s="406"/>
      <c r="F1" s="406"/>
      <c r="G1" s="184"/>
    </row>
    <row r="2" spans="1:7" ht="12.75" customHeight="1" x14ac:dyDescent="0.3">
      <c r="A2" s="406"/>
      <c r="B2" s="406"/>
      <c r="C2" s="406"/>
      <c r="D2" s="406"/>
      <c r="E2" s="406"/>
      <c r="F2" s="406"/>
      <c r="G2" s="184"/>
    </row>
    <row r="3" spans="1:7" ht="12.75" customHeight="1" x14ac:dyDescent="0.3">
      <c r="A3" s="406"/>
      <c r="B3" s="406"/>
      <c r="C3" s="406"/>
      <c r="D3" s="406"/>
      <c r="E3" s="406"/>
      <c r="F3" s="406"/>
      <c r="G3" s="184"/>
    </row>
    <row r="4" spans="1:7" ht="12.75" customHeight="1" x14ac:dyDescent="0.3">
      <c r="A4" s="406"/>
      <c r="B4" s="406"/>
      <c r="C4" s="406"/>
      <c r="D4" s="406"/>
      <c r="E4" s="406"/>
      <c r="F4" s="406"/>
      <c r="G4" s="184"/>
    </row>
    <row r="5" spans="1:7" ht="12.75" customHeight="1" x14ac:dyDescent="0.3">
      <c r="A5" s="406"/>
      <c r="B5" s="406"/>
      <c r="C5" s="406"/>
      <c r="D5" s="406"/>
      <c r="E5" s="406"/>
      <c r="F5" s="406"/>
      <c r="G5" s="184"/>
    </row>
    <row r="6" spans="1:7" ht="12.75" customHeight="1" x14ac:dyDescent="0.3">
      <c r="A6" s="406"/>
      <c r="B6" s="406"/>
      <c r="C6" s="406"/>
      <c r="D6" s="406"/>
      <c r="E6" s="406"/>
      <c r="F6" s="406"/>
      <c r="G6" s="184"/>
    </row>
    <row r="7" spans="1:7" ht="12.75" customHeight="1" x14ac:dyDescent="0.3">
      <c r="A7" s="406"/>
      <c r="B7" s="406"/>
      <c r="C7" s="406"/>
      <c r="D7" s="406"/>
      <c r="E7" s="406"/>
      <c r="F7" s="406"/>
      <c r="G7" s="184"/>
    </row>
    <row r="8" spans="1:7" ht="15" customHeight="1" x14ac:dyDescent="0.3">
      <c r="A8" s="407" t="s">
        <v>31</v>
      </c>
      <c r="B8" s="407"/>
      <c r="C8" s="407"/>
      <c r="D8" s="407"/>
      <c r="E8" s="407"/>
      <c r="F8" s="407"/>
      <c r="G8" s="187"/>
    </row>
    <row r="9" spans="1:7" ht="12.75" customHeight="1" x14ac:dyDescent="0.3">
      <c r="A9" s="407"/>
      <c r="B9" s="407"/>
      <c r="C9" s="407"/>
      <c r="D9" s="407"/>
      <c r="E9" s="407"/>
      <c r="F9" s="407"/>
      <c r="G9" s="187"/>
    </row>
    <row r="10" spans="1:7" ht="12.75" customHeight="1" x14ac:dyDescent="0.3">
      <c r="A10" s="407"/>
      <c r="B10" s="407"/>
      <c r="C10" s="407"/>
      <c r="D10" s="407"/>
      <c r="E10" s="407"/>
      <c r="F10" s="407"/>
      <c r="G10" s="187"/>
    </row>
    <row r="11" spans="1:7" ht="12.75" customHeight="1" x14ac:dyDescent="0.3">
      <c r="A11" s="407"/>
      <c r="B11" s="407"/>
      <c r="C11" s="407"/>
      <c r="D11" s="407"/>
      <c r="E11" s="407"/>
      <c r="F11" s="407"/>
      <c r="G11" s="187"/>
    </row>
    <row r="12" spans="1:7" ht="12.75" customHeight="1" x14ac:dyDescent="0.3">
      <c r="A12" s="407"/>
      <c r="B12" s="407"/>
      <c r="C12" s="407"/>
      <c r="D12" s="407"/>
      <c r="E12" s="407"/>
      <c r="F12" s="407"/>
      <c r="G12" s="187"/>
    </row>
    <row r="13" spans="1:7" ht="12.75" customHeight="1" x14ac:dyDescent="0.3">
      <c r="A13" s="407"/>
      <c r="B13" s="407"/>
      <c r="C13" s="407"/>
      <c r="D13" s="407"/>
      <c r="E13" s="407"/>
      <c r="F13" s="407"/>
      <c r="G13" s="187"/>
    </row>
    <row r="14" spans="1:7" ht="12.75" customHeight="1" x14ac:dyDescent="0.3">
      <c r="A14" s="407"/>
      <c r="B14" s="407"/>
      <c r="C14" s="407"/>
      <c r="D14" s="407"/>
      <c r="E14" s="407"/>
      <c r="F14" s="407"/>
      <c r="G14" s="187"/>
    </row>
    <row r="15" spans="1:7" ht="13.5" customHeight="1" thickBot="1" x14ac:dyDescent="0.35"/>
    <row r="16" spans="1:7" ht="19.5" customHeight="1" thickBot="1" x14ac:dyDescent="0.35">
      <c r="A16" s="408" t="s">
        <v>32</v>
      </c>
      <c r="B16" s="409"/>
      <c r="C16" s="409"/>
      <c r="D16" s="409"/>
      <c r="E16" s="409"/>
      <c r="F16" s="410"/>
    </row>
    <row r="17" spans="1:13" ht="18.75" customHeight="1" x14ac:dyDescent="0.3">
      <c r="A17" s="411" t="s">
        <v>106</v>
      </c>
      <c r="B17" s="411"/>
      <c r="C17" s="411"/>
      <c r="D17" s="411"/>
      <c r="E17" s="411"/>
      <c r="F17" s="411"/>
    </row>
    <row r="18" spans="1:13" x14ac:dyDescent="0.3">
      <c r="B18" s="185" t="e">
        <f>[1]Relative!B13</f>
        <v>#REF!</v>
      </c>
    </row>
    <row r="20" spans="1:13" ht="16.5" customHeight="1" x14ac:dyDescent="0.3">
      <c r="A20" s="188" t="s">
        <v>34</v>
      </c>
      <c r="B20" s="189" t="s">
        <v>5</v>
      </c>
    </row>
    <row r="21" spans="1:13" ht="16.5" customHeight="1" x14ac:dyDescent="0.3">
      <c r="A21" s="188" t="s">
        <v>35</v>
      </c>
      <c r="B21" s="189" t="s">
        <v>7</v>
      </c>
    </row>
    <row r="22" spans="1:13" ht="16.5" customHeight="1" x14ac:dyDescent="0.3">
      <c r="A22" s="188" t="s">
        <v>36</v>
      </c>
      <c r="B22" s="189" t="s">
        <v>113</v>
      </c>
    </row>
    <row r="23" spans="1:13" ht="16.5" customHeight="1" x14ac:dyDescent="0.3">
      <c r="A23" s="188" t="s">
        <v>37</v>
      </c>
      <c r="B23" s="189" t="s">
        <v>114</v>
      </c>
    </row>
    <row r="24" spans="1:13" ht="16.5" customHeight="1" x14ac:dyDescent="0.3">
      <c r="A24" s="188" t="s">
        <v>38</v>
      </c>
      <c r="B24" s="190">
        <v>43111</v>
      </c>
    </row>
    <row r="25" spans="1:13" ht="16.5" customHeight="1" x14ac:dyDescent="0.3">
      <c r="A25" s="188" t="s">
        <v>39</v>
      </c>
      <c r="B25" s="190">
        <v>43111</v>
      </c>
    </row>
    <row r="27" spans="1:13" ht="13.5" customHeight="1" thickBot="1" x14ac:dyDescent="0.35"/>
    <row r="28" spans="1:13" ht="17.25" customHeight="1" thickBot="1" x14ac:dyDescent="0.35">
      <c r="B28" s="191" t="s">
        <v>107</v>
      </c>
      <c r="C28" s="192" t="s">
        <v>108</v>
      </c>
      <c r="D28" s="192" t="s">
        <v>109</v>
      </c>
      <c r="E28" s="193"/>
      <c r="F28" s="193"/>
      <c r="G28" s="193"/>
      <c r="H28" s="194"/>
      <c r="I28" s="193"/>
      <c r="J28" s="193"/>
      <c r="K28" s="193"/>
      <c r="L28" s="186"/>
      <c r="M28" s="186"/>
    </row>
    <row r="29" spans="1:13" ht="16.5" customHeight="1" thickBot="1" x14ac:dyDescent="0.35">
      <c r="B29" s="195">
        <v>11.66901</v>
      </c>
      <c r="C29" s="196">
        <v>18.098500000000001</v>
      </c>
      <c r="D29" s="196">
        <v>19.683109999999999</v>
      </c>
      <c r="E29" s="197"/>
      <c r="F29" s="197"/>
      <c r="G29" s="197"/>
      <c r="H29" s="194"/>
      <c r="I29" s="197"/>
      <c r="J29" s="197"/>
      <c r="K29" s="197"/>
      <c r="L29" s="186"/>
      <c r="M29" s="186"/>
    </row>
    <row r="30" spans="1:13" ht="15.75" customHeight="1" x14ac:dyDescent="0.3">
      <c r="B30" s="198"/>
      <c r="C30" s="196">
        <v>18.09845</v>
      </c>
      <c r="D30" s="196">
        <v>19.682939999999999</v>
      </c>
      <c r="E30" s="197"/>
      <c r="F30" s="197"/>
      <c r="G30" s="197"/>
      <c r="H30" s="194"/>
      <c r="I30" s="197"/>
      <c r="J30" s="197"/>
      <c r="K30" s="197"/>
      <c r="L30" s="186"/>
      <c r="M30" s="186"/>
    </row>
    <row r="31" spans="1:13" ht="16.5" customHeight="1" thickBot="1" x14ac:dyDescent="0.35">
      <c r="B31" s="198"/>
      <c r="C31" s="199">
        <v>18.098410000000001</v>
      </c>
      <c r="D31" s="199">
        <v>19.682839999999999</v>
      </c>
      <c r="E31" s="197"/>
      <c r="F31" s="197"/>
      <c r="G31" s="197"/>
      <c r="H31" s="194"/>
      <c r="I31" s="197"/>
      <c r="J31" s="197"/>
      <c r="K31" s="197"/>
      <c r="L31" s="186"/>
      <c r="M31" s="186"/>
    </row>
    <row r="32" spans="1:13" ht="16.5" customHeight="1" thickBot="1" x14ac:dyDescent="0.35">
      <c r="B32" s="198"/>
      <c r="C32" s="200"/>
      <c r="D32" s="201"/>
      <c r="E32" s="197"/>
      <c r="F32" s="197"/>
      <c r="G32" s="197"/>
      <c r="H32" s="194"/>
      <c r="I32" s="197"/>
      <c r="J32" s="197"/>
      <c r="K32" s="197"/>
      <c r="L32" s="186"/>
      <c r="M32" s="186"/>
    </row>
    <row r="33" spans="1:13" ht="17.25" customHeight="1" thickBot="1" x14ac:dyDescent="0.35">
      <c r="B33" s="202">
        <f>AVERAGE(B29:B32)</f>
        <v>11.66901</v>
      </c>
      <c r="C33" s="202">
        <f>AVERAGE(C29:C32)</f>
        <v>18.098453333333335</v>
      </c>
      <c r="D33" s="202">
        <f>AVERAGE(D29:D32)</f>
        <v>19.682963333333333</v>
      </c>
      <c r="E33" s="203"/>
      <c r="F33" s="203"/>
      <c r="G33" s="203"/>
      <c r="H33" s="194"/>
      <c r="I33" s="203"/>
      <c r="J33" s="203"/>
      <c r="K33" s="203"/>
      <c r="L33" s="186"/>
      <c r="M33" s="186"/>
    </row>
    <row r="34" spans="1:13" ht="16.5" customHeight="1" thickBot="1" x14ac:dyDescent="0.35">
      <c r="B34" s="204"/>
      <c r="C34" s="204"/>
      <c r="D34" s="204"/>
      <c r="E34" s="194"/>
      <c r="F34" s="194"/>
      <c r="G34" s="194"/>
      <c r="H34" s="194"/>
      <c r="I34" s="194"/>
      <c r="J34" s="194"/>
      <c r="K34" s="194"/>
      <c r="L34" s="186"/>
      <c r="M34" s="186"/>
    </row>
    <row r="35" spans="1:13" ht="16.5" customHeight="1" thickBot="1" x14ac:dyDescent="0.35">
      <c r="B35" s="205" t="s">
        <v>110</v>
      </c>
      <c r="C35" s="206">
        <f>C33-B33</f>
        <v>6.4294433333333352</v>
      </c>
      <c r="D35" s="204"/>
      <c r="E35" s="194"/>
      <c r="F35" s="207"/>
      <c r="G35" s="194"/>
      <c r="H35" s="194"/>
      <c r="I35" s="194"/>
      <c r="J35" s="207"/>
      <c r="K35" s="194"/>
      <c r="L35" s="186"/>
      <c r="M35" s="186"/>
    </row>
    <row r="36" spans="1:13" ht="16.5" customHeight="1" thickBot="1" x14ac:dyDescent="0.35">
      <c r="B36" s="204"/>
      <c r="C36" s="208"/>
      <c r="D36" s="204"/>
      <c r="E36" s="194"/>
      <c r="F36" s="207"/>
      <c r="G36" s="194"/>
      <c r="H36" s="194"/>
      <c r="I36" s="194"/>
      <c r="J36" s="207"/>
      <c r="K36" s="194"/>
      <c r="L36" s="186"/>
      <c r="M36" s="186"/>
    </row>
    <row r="37" spans="1:13" ht="16.5" customHeight="1" thickBot="1" x14ac:dyDescent="0.35">
      <c r="B37" s="205" t="s">
        <v>111</v>
      </c>
      <c r="C37" s="206">
        <f>D33-B33</f>
        <v>8.0139533333333333</v>
      </c>
      <c r="D37" s="204"/>
      <c r="E37" s="194"/>
      <c r="F37" s="207"/>
      <c r="G37" s="194"/>
      <c r="H37" s="194"/>
      <c r="I37" s="194"/>
      <c r="J37" s="207"/>
      <c r="K37" s="194"/>
      <c r="L37" s="186"/>
      <c r="M37" s="186"/>
    </row>
    <row r="38" spans="1:13" ht="16.5" customHeight="1" thickBot="1" x14ac:dyDescent="0.35">
      <c r="B38" s="204"/>
      <c r="C38" s="208"/>
      <c r="D38" s="204"/>
      <c r="E38" s="194"/>
      <c r="F38" s="207"/>
      <c r="G38" s="194"/>
      <c r="H38" s="194"/>
      <c r="I38" s="194"/>
      <c r="J38" s="207"/>
      <c r="K38" s="194"/>
      <c r="L38" s="186"/>
      <c r="M38" s="186"/>
    </row>
    <row r="39" spans="1:13" ht="32.25" customHeight="1" thickBot="1" x14ac:dyDescent="0.35">
      <c r="B39" s="209" t="s">
        <v>112</v>
      </c>
      <c r="C39" s="210">
        <f>C37/C35</f>
        <v>1.2464459079661119</v>
      </c>
      <c r="D39" s="204"/>
      <c r="E39" s="211"/>
      <c r="F39" s="212"/>
      <c r="G39" s="194"/>
      <c r="H39" s="194"/>
      <c r="I39" s="211"/>
      <c r="J39" s="212"/>
      <c r="K39" s="194"/>
      <c r="L39" s="186"/>
      <c r="M39" s="186"/>
    </row>
    <row r="40" spans="1:13" ht="14.25" customHeight="1" thickBot="1" x14ac:dyDescent="0.35">
      <c r="A40" s="213"/>
      <c r="B40" s="214"/>
      <c r="C40" s="215"/>
      <c r="D40" s="216"/>
      <c r="E40" s="215"/>
      <c r="G40" s="194"/>
      <c r="H40" s="194"/>
      <c r="I40" s="217"/>
      <c r="J40" s="186"/>
    </row>
    <row r="41" spans="1:13" ht="16.5" customHeight="1" x14ac:dyDescent="0.3">
      <c r="A41" s="218"/>
      <c r="B41" s="219" t="s">
        <v>25</v>
      </c>
      <c r="C41" s="219"/>
      <c r="D41" s="220" t="s">
        <v>26</v>
      </c>
      <c r="E41" s="221"/>
      <c r="F41" s="220" t="s">
        <v>27</v>
      </c>
      <c r="G41" s="194"/>
      <c r="H41" s="194"/>
      <c r="I41" s="217"/>
      <c r="J41" s="186"/>
    </row>
    <row r="42" spans="1:13" ht="59.25" customHeight="1" x14ac:dyDescent="0.3">
      <c r="A42" s="188" t="s">
        <v>28</v>
      </c>
      <c r="B42" s="222"/>
      <c r="C42" s="218"/>
      <c r="D42" s="222"/>
      <c r="E42" s="218"/>
      <c r="F42" s="222"/>
      <c r="G42" s="194"/>
      <c r="H42" s="194"/>
      <c r="I42" s="217"/>
      <c r="J42" s="186"/>
    </row>
    <row r="43" spans="1:13" ht="59.25" customHeight="1" x14ac:dyDescent="0.3">
      <c r="A43" s="188" t="s">
        <v>29</v>
      </c>
      <c r="B43" s="223"/>
      <c r="C43" s="224"/>
      <c r="D43" s="223"/>
      <c r="E43" s="218"/>
      <c r="F43" s="225"/>
      <c r="G43" s="194"/>
      <c r="H43" s="194"/>
      <c r="I43" s="217"/>
    </row>
    <row r="44" spans="1:13" ht="13.5" customHeight="1" x14ac:dyDescent="0.3">
      <c r="A44" s="194"/>
      <c r="B44" s="194"/>
      <c r="C44" s="194"/>
      <c r="D44" s="217"/>
      <c r="F44" s="194"/>
      <c r="G44" s="194"/>
      <c r="H44" s="194"/>
      <c r="I44" s="217"/>
    </row>
    <row r="45" spans="1:13" ht="13.5" customHeight="1" x14ac:dyDescent="0.3">
      <c r="A45" s="194"/>
      <c r="B45" s="194"/>
      <c r="C45" s="194"/>
      <c r="D45" s="217"/>
      <c r="F45" s="194"/>
      <c r="G45" s="194"/>
      <c r="H45" s="194"/>
      <c r="I45" s="217"/>
    </row>
    <row r="47" spans="1:13" ht="13.5" customHeight="1" x14ac:dyDescent="0.3">
      <c r="A47" s="226"/>
      <c r="B47" s="226"/>
      <c r="C47" s="226"/>
      <c r="F47" s="226"/>
      <c r="G47" s="226"/>
      <c r="H47" s="226"/>
    </row>
    <row r="48" spans="1:13" ht="13.5" customHeight="1" x14ac:dyDescent="0.3">
      <c r="A48" s="227"/>
      <c r="B48" s="227"/>
      <c r="C48" s="227"/>
      <c r="F48" s="227"/>
      <c r="G48" s="227"/>
      <c r="H48" s="227"/>
    </row>
    <row r="49" spans="1:8" x14ac:dyDescent="0.3">
      <c r="B49" s="228"/>
      <c r="C49" s="228"/>
      <c r="G49" s="228"/>
      <c r="H49" s="228"/>
    </row>
    <row r="50" spans="1:8" x14ac:dyDescent="0.3">
      <c r="A50" s="229"/>
      <c r="F50" s="229"/>
    </row>
    <row r="51" spans="1:8" x14ac:dyDescent="0.3">
      <c r="C51" s="230"/>
    </row>
    <row r="52" spans="1:8" x14ac:dyDescent="0.3">
      <c r="C52" s="230"/>
    </row>
    <row r="57" spans="1:8" ht="13.5" customHeight="1" x14ac:dyDescent="0.3">
      <c r="C57" s="194"/>
    </row>
    <row r="250" spans="1:1" x14ac:dyDescent="0.3">
      <c r="A250" s="185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6"/>
  <sheetViews>
    <sheetView tabSelected="1" view="pageBreakPreview" topLeftCell="A130" zoomScale="55" zoomScaleNormal="75" workbookViewId="0">
      <selection activeCell="I130" sqref="I1:I104857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8" width="30.28515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70" t="s">
        <v>30</v>
      </c>
      <c r="B1" s="470"/>
      <c r="C1" s="470"/>
      <c r="D1" s="470"/>
      <c r="E1" s="470"/>
      <c r="F1" s="470"/>
      <c r="G1" s="470"/>
      <c r="H1" s="470"/>
    </row>
    <row r="2" spans="1:8" x14ac:dyDescent="0.25">
      <c r="A2" s="470"/>
      <c r="B2" s="470"/>
      <c r="C2" s="470"/>
      <c r="D2" s="470"/>
      <c r="E2" s="470"/>
      <c r="F2" s="470"/>
      <c r="G2" s="470"/>
      <c r="H2" s="470"/>
    </row>
    <row r="3" spans="1:8" x14ac:dyDescent="0.25">
      <c r="A3" s="470"/>
      <c r="B3" s="470"/>
      <c r="C3" s="470"/>
      <c r="D3" s="470"/>
      <c r="E3" s="470"/>
      <c r="F3" s="470"/>
      <c r="G3" s="470"/>
      <c r="H3" s="470"/>
    </row>
    <row r="4" spans="1:8" x14ac:dyDescent="0.25">
      <c r="A4" s="470"/>
      <c r="B4" s="470"/>
      <c r="C4" s="470"/>
      <c r="D4" s="470"/>
      <c r="E4" s="470"/>
      <c r="F4" s="470"/>
      <c r="G4" s="470"/>
      <c r="H4" s="470"/>
    </row>
    <row r="5" spans="1:8" x14ac:dyDescent="0.25">
      <c r="A5" s="470"/>
      <c r="B5" s="470"/>
      <c r="C5" s="470"/>
      <c r="D5" s="470"/>
      <c r="E5" s="470"/>
      <c r="F5" s="470"/>
      <c r="G5" s="470"/>
      <c r="H5" s="470"/>
    </row>
    <row r="6" spans="1:8" x14ac:dyDescent="0.25">
      <c r="A6" s="470"/>
      <c r="B6" s="470"/>
      <c r="C6" s="470"/>
      <c r="D6" s="470"/>
      <c r="E6" s="470"/>
      <c r="F6" s="470"/>
      <c r="G6" s="470"/>
      <c r="H6" s="470"/>
    </row>
    <row r="7" spans="1:8" x14ac:dyDescent="0.25">
      <c r="A7" s="470"/>
      <c r="B7" s="470"/>
      <c r="C7" s="470"/>
      <c r="D7" s="470"/>
      <c r="E7" s="470"/>
      <c r="F7" s="470"/>
      <c r="G7" s="470"/>
      <c r="H7" s="470"/>
    </row>
    <row r="8" spans="1:8" x14ac:dyDescent="0.25">
      <c r="A8" s="471" t="s">
        <v>31</v>
      </c>
      <c r="B8" s="471"/>
      <c r="C8" s="471"/>
      <c r="D8" s="471"/>
      <c r="E8" s="471"/>
      <c r="F8" s="471"/>
      <c r="G8" s="471"/>
      <c r="H8" s="471"/>
    </row>
    <row r="9" spans="1:8" x14ac:dyDescent="0.25">
      <c r="A9" s="471"/>
      <c r="B9" s="471"/>
      <c r="C9" s="471"/>
      <c r="D9" s="471"/>
      <c r="E9" s="471"/>
      <c r="F9" s="471"/>
      <c r="G9" s="471"/>
      <c r="H9" s="471"/>
    </row>
    <row r="10" spans="1:8" x14ac:dyDescent="0.25">
      <c r="A10" s="471"/>
      <c r="B10" s="471"/>
      <c r="C10" s="471"/>
      <c r="D10" s="471"/>
      <c r="E10" s="471"/>
      <c r="F10" s="471"/>
      <c r="G10" s="471"/>
      <c r="H10" s="471"/>
    </row>
    <row r="11" spans="1:8" x14ac:dyDescent="0.25">
      <c r="A11" s="471"/>
      <c r="B11" s="471"/>
      <c r="C11" s="471"/>
      <c r="D11" s="471"/>
      <c r="E11" s="471"/>
      <c r="F11" s="471"/>
      <c r="G11" s="471"/>
      <c r="H11" s="471"/>
    </row>
    <row r="12" spans="1:8" x14ac:dyDescent="0.25">
      <c r="A12" s="471"/>
      <c r="B12" s="471"/>
      <c r="C12" s="471"/>
      <c r="D12" s="471"/>
      <c r="E12" s="471"/>
      <c r="F12" s="471"/>
      <c r="G12" s="471"/>
      <c r="H12" s="471"/>
    </row>
    <row r="13" spans="1:8" x14ac:dyDescent="0.25">
      <c r="A13" s="471"/>
      <c r="B13" s="471"/>
      <c r="C13" s="471"/>
      <c r="D13" s="471"/>
      <c r="E13" s="471"/>
      <c r="F13" s="471"/>
      <c r="G13" s="471"/>
      <c r="H13" s="471"/>
    </row>
    <row r="14" spans="1:8" ht="19.5" customHeight="1" x14ac:dyDescent="0.25">
      <c r="A14" s="471"/>
      <c r="B14" s="471"/>
      <c r="C14" s="471"/>
      <c r="D14" s="471"/>
      <c r="E14" s="471"/>
      <c r="F14" s="471"/>
      <c r="G14" s="471"/>
      <c r="H14" s="471"/>
    </row>
    <row r="15" spans="1:8" ht="19.5" customHeight="1" thickBot="1" x14ac:dyDescent="0.3"/>
    <row r="16" spans="1:8" ht="19.5" customHeight="1" thickBot="1" x14ac:dyDescent="0.35">
      <c r="A16" s="473" t="s">
        <v>32</v>
      </c>
      <c r="B16" s="474"/>
      <c r="C16" s="474"/>
      <c r="D16" s="474"/>
      <c r="E16" s="474"/>
      <c r="F16" s="474"/>
      <c r="G16" s="474"/>
      <c r="H16" s="475"/>
    </row>
    <row r="17" spans="1:11" ht="20.25" customHeight="1" x14ac:dyDescent="0.25">
      <c r="A17" s="472" t="s">
        <v>33</v>
      </c>
      <c r="B17" s="472"/>
      <c r="C17" s="472"/>
      <c r="D17" s="472"/>
      <c r="E17" s="472"/>
      <c r="F17" s="472"/>
      <c r="G17" s="472"/>
      <c r="H17" s="472"/>
    </row>
    <row r="18" spans="1:11" ht="26.25" customHeight="1" x14ac:dyDescent="0.4">
      <c r="A18" s="54" t="s">
        <v>34</v>
      </c>
      <c r="B18" s="468" t="s">
        <v>5</v>
      </c>
      <c r="C18" s="468"/>
    </row>
    <row r="19" spans="1:11" ht="26.25" customHeight="1" x14ac:dyDescent="0.4">
      <c r="A19" s="54" t="s">
        <v>35</v>
      </c>
      <c r="B19" s="156" t="s">
        <v>7</v>
      </c>
      <c r="C19" s="179">
        <v>23</v>
      </c>
    </row>
    <row r="20" spans="1:11" ht="26.25" customHeight="1" x14ac:dyDescent="0.4">
      <c r="A20" s="54" t="s">
        <v>36</v>
      </c>
      <c r="B20" s="156" t="s">
        <v>115</v>
      </c>
      <c r="C20" s="157"/>
    </row>
    <row r="21" spans="1:11" ht="26.25" customHeight="1" x14ac:dyDescent="0.4">
      <c r="A21" s="54" t="s">
        <v>37</v>
      </c>
      <c r="B21" s="446" t="s">
        <v>11</v>
      </c>
      <c r="C21" s="446"/>
      <c r="D21" s="446"/>
      <c r="E21" s="446"/>
      <c r="F21" s="446"/>
      <c r="G21" s="446"/>
      <c r="H21" s="446"/>
    </row>
    <row r="22" spans="1:11" ht="26.25" customHeight="1" x14ac:dyDescent="0.4">
      <c r="A22" s="54" t="s">
        <v>38</v>
      </c>
      <c r="B22" s="158">
        <v>43137</v>
      </c>
      <c r="C22" s="157"/>
      <c r="D22" s="157"/>
      <c r="E22" s="157"/>
      <c r="F22" s="157"/>
      <c r="G22" s="157"/>
      <c r="H22" s="157"/>
    </row>
    <row r="23" spans="1:11" ht="26.25" customHeight="1" x14ac:dyDescent="0.4">
      <c r="A23" s="54" t="s">
        <v>39</v>
      </c>
      <c r="B23" s="158">
        <v>43145</v>
      </c>
      <c r="C23" s="157"/>
      <c r="D23" s="157"/>
      <c r="E23" s="157"/>
      <c r="F23" s="157"/>
      <c r="G23" s="157"/>
      <c r="H23" s="157"/>
    </row>
    <row r="24" spans="1:11" ht="18.75" x14ac:dyDescent="0.3">
      <c r="A24" s="54"/>
      <c r="B24" s="56"/>
    </row>
    <row r="25" spans="1:11" ht="18.75" x14ac:dyDescent="0.3">
      <c r="B25" s="56"/>
    </row>
    <row r="26" spans="1:11" ht="18.75" x14ac:dyDescent="0.3">
      <c r="A26" s="52" t="s">
        <v>1</v>
      </c>
      <c r="B26" s="445"/>
      <c r="C26" s="445"/>
      <c r="D26" s="445"/>
      <c r="E26" s="445"/>
      <c r="F26" s="445"/>
      <c r="G26" s="445"/>
      <c r="H26" s="445"/>
    </row>
    <row r="27" spans="1:11" ht="26.25" customHeight="1" x14ac:dyDescent="0.4">
      <c r="A27" s="57" t="s">
        <v>4</v>
      </c>
      <c r="B27" s="468" t="s">
        <v>9</v>
      </c>
      <c r="C27" s="468"/>
    </row>
    <row r="28" spans="1:11" ht="26.25" customHeight="1" x14ac:dyDescent="0.4">
      <c r="A28" s="59" t="s">
        <v>40</v>
      </c>
      <c r="B28" s="446" t="s">
        <v>116</v>
      </c>
      <c r="C28" s="446"/>
    </row>
    <row r="29" spans="1:11" ht="27" customHeight="1" thickBot="1" x14ac:dyDescent="0.45">
      <c r="A29" s="59" t="s">
        <v>6</v>
      </c>
      <c r="B29" s="155">
        <v>75.599999999999994</v>
      </c>
    </row>
    <row r="30" spans="1:11" s="8" customFormat="1" ht="27" customHeight="1" thickBot="1" x14ac:dyDescent="0.45">
      <c r="A30" s="59" t="s">
        <v>41</v>
      </c>
      <c r="B30" s="154">
        <v>0</v>
      </c>
      <c r="C30" s="447" t="s">
        <v>42</v>
      </c>
      <c r="D30" s="448"/>
      <c r="E30" s="448"/>
      <c r="F30" s="448"/>
      <c r="G30" s="448"/>
      <c r="H30" s="449"/>
      <c r="I30" s="61"/>
      <c r="J30" s="61"/>
      <c r="K30" s="61"/>
    </row>
    <row r="31" spans="1:11" s="8" customFormat="1" ht="19.5" customHeight="1" thickBot="1" x14ac:dyDescent="0.35">
      <c r="A31" s="59" t="s">
        <v>43</v>
      </c>
      <c r="B31" s="58">
        <f>B29-B30</f>
        <v>75.599999999999994</v>
      </c>
      <c r="C31" s="62"/>
      <c r="D31" s="62"/>
      <c r="E31" s="62"/>
      <c r="F31" s="62"/>
      <c r="G31" s="62"/>
      <c r="H31" s="63"/>
      <c r="I31" s="61"/>
      <c r="J31" s="61"/>
      <c r="K31" s="61"/>
    </row>
    <row r="32" spans="1:11" s="8" customFormat="1" ht="27" customHeight="1" thickBot="1" x14ac:dyDescent="0.45">
      <c r="A32" s="59" t="s">
        <v>44</v>
      </c>
      <c r="B32" s="175">
        <v>427.45800000000003</v>
      </c>
      <c r="C32" s="450" t="s">
        <v>45</v>
      </c>
      <c r="D32" s="451"/>
      <c r="E32" s="451"/>
      <c r="F32" s="451"/>
      <c r="G32" s="451"/>
      <c r="H32" s="452"/>
      <c r="I32" s="61"/>
      <c r="J32" s="61"/>
      <c r="K32" s="61"/>
    </row>
    <row r="33" spans="1:13" s="8" customFormat="1" ht="27" customHeight="1" thickBot="1" x14ac:dyDescent="0.45">
      <c r="A33" s="59" t="s">
        <v>46</v>
      </c>
      <c r="B33" s="175">
        <v>557.59299999999996</v>
      </c>
      <c r="C33" s="450" t="s">
        <v>47</v>
      </c>
      <c r="D33" s="451"/>
      <c r="E33" s="451"/>
      <c r="F33" s="451"/>
      <c r="G33" s="451"/>
      <c r="H33" s="452"/>
      <c r="I33" s="61"/>
      <c r="J33" s="61"/>
      <c r="K33" s="65"/>
      <c r="L33" s="65"/>
      <c r="M33" s="66"/>
    </row>
    <row r="34" spans="1:13" s="8" customFormat="1" ht="17.25" customHeight="1" x14ac:dyDescent="0.3">
      <c r="A34" s="59"/>
      <c r="B34" s="64"/>
      <c r="C34" s="67"/>
      <c r="D34" s="67"/>
      <c r="E34" s="67"/>
      <c r="F34" s="67"/>
      <c r="G34" s="67"/>
      <c r="H34" s="67"/>
      <c r="I34" s="61"/>
      <c r="J34" s="61"/>
      <c r="K34" s="65"/>
      <c r="L34" s="65"/>
      <c r="M34" s="66"/>
    </row>
    <row r="35" spans="1:13" s="8" customFormat="1" ht="18.75" x14ac:dyDescent="0.3">
      <c r="A35" s="59" t="s">
        <v>48</v>
      </c>
      <c r="B35" s="68">
        <f>B32/B33</f>
        <v>0.7666129237633903</v>
      </c>
      <c r="C35" s="53" t="s">
        <v>49</v>
      </c>
      <c r="D35" s="53"/>
      <c r="E35" s="53"/>
      <c r="F35" s="53"/>
      <c r="G35" s="53"/>
      <c r="H35" s="53"/>
      <c r="I35" s="61"/>
      <c r="J35" s="61"/>
      <c r="K35" s="65"/>
      <c r="L35" s="65"/>
      <c r="M35" s="66"/>
    </row>
    <row r="36" spans="1:13" s="8" customFormat="1" ht="19.5" customHeight="1" thickBot="1" x14ac:dyDescent="0.35">
      <c r="A36" s="59"/>
      <c r="B36" s="58"/>
      <c r="H36" s="53"/>
      <c r="I36" s="61"/>
      <c r="J36" s="61"/>
      <c r="K36" s="65"/>
      <c r="L36" s="65"/>
      <c r="M36" s="66"/>
    </row>
    <row r="37" spans="1:13" s="8" customFormat="1" ht="27" customHeight="1" thickBot="1" x14ac:dyDescent="0.45">
      <c r="A37" s="69" t="s">
        <v>50</v>
      </c>
      <c r="B37" s="159">
        <v>50</v>
      </c>
      <c r="C37" s="53"/>
      <c r="D37" s="453" t="s">
        <v>51</v>
      </c>
      <c r="E37" s="469"/>
      <c r="F37" s="115" t="s">
        <v>52</v>
      </c>
      <c r="G37" s="116"/>
      <c r="I37" s="61"/>
      <c r="J37" s="61"/>
      <c r="K37" s="65"/>
      <c r="L37" s="65"/>
      <c r="M37" s="66"/>
    </row>
    <row r="38" spans="1:13" s="8" customFormat="1" ht="26.25" customHeight="1" x14ac:dyDescent="0.4">
      <c r="A38" s="70" t="s">
        <v>53</v>
      </c>
      <c r="B38" s="160">
        <v>5</v>
      </c>
      <c r="C38" s="72" t="s">
        <v>54</v>
      </c>
      <c r="D38" s="73" t="s">
        <v>55</v>
      </c>
      <c r="E38" s="105" t="s">
        <v>56</v>
      </c>
      <c r="F38" s="73" t="s">
        <v>55</v>
      </c>
      <c r="G38" s="74" t="s">
        <v>56</v>
      </c>
      <c r="I38" s="61"/>
      <c r="J38" s="61"/>
      <c r="K38" s="65"/>
      <c r="L38" s="65"/>
      <c r="M38" s="66"/>
    </row>
    <row r="39" spans="1:13" s="8" customFormat="1" ht="26.25" customHeight="1" x14ac:dyDescent="0.4">
      <c r="A39" s="70" t="s">
        <v>57</v>
      </c>
      <c r="B39" s="160">
        <v>100</v>
      </c>
      <c r="C39" s="75">
        <v>1</v>
      </c>
      <c r="D39" s="161">
        <f>33176228+37078641</f>
        <v>70254869</v>
      </c>
      <c r="E39" s="119">
        <f>IF(ISBLANK(D39),"-",$D$49/$D$46*D39)</f>
        <v>125176762.67100355</v>
      </c>
      <c r="F39" s="161">
        <f>31755465+35477528</f>
        <v>67232993</v>
      </c>
      <c r="G39" s="111">
        <f>IF(ISBLANK(F39),"-",$D$49/$F$46*F39)</f>
        <v>124417722.82023381</v>
      </c>
      <c r="I39" s="61"/>
      <c r="J39" s="61"/>
      <c r="K39" s="65"/>
      <c r="L39" s="65"/>
      <c r="M39" s="66"/>
    </row>
    <row r="40" spans="1:13" s="8" customFormat="1" ht="26.25" customHeight="1" x14ac:dyDescent="0.4">
      <c r="A40" s="70" t="s">
        <v>58</v>
      </c>
      <c r="B40" s="160">
        <v>1</v>
      </c>
      <c r="C40" s="71">
        <v>2</v>
      </c>
      <c r="D40" s="162">
        <f>32951966+36794201</f>
        <v>69746167</v>
      </c>
      <c r="E40" s="120">
        <f>IF(ISBLANK(D40),"-",$D$49/$D$46*D40)</f>
        <v>124270381.79761149</v>
      </c>
      <c r="F40" s="162">
        <f>31760624+35464858</f>
        <v>67225482</v>
      </c>
      <c r="G40" s="112">
        <f>IF(ISBLANK(F40),"-",$D$49/$F$46*F40)</f>
        <v>124403823.37184687</v>
      </c>
      <c r="I40" s="61"/>
      <c r="J40" s="61"/>
      <c r="K40" s="65"/>
      <c r="L40" s="65"/>
      <c r="M40" s="66"/>
    </row>
    <row r="41" spans="1:13" ht="26.25" customHeight="1" x14ac:dyDescent="0.4">
      <c r="A41" s="70" t="s">
        <v>59</v>
      </c>
      <c r="B41" s="160">
        <v>1</v>
      </c>
      <c r="C41" s="71">
        <v>3</v>
      </c>
      <c r="D41" s="162">
        <f>32875968+36716606</f>
        <v>69592574</v>
      </c>
      <c r="E41" s="120">
        <f>IF(ISBLANK(D41),"-",$D$49/$D$46*D41)</f>
        <v>123996717.14229874</v>
      </c>
      <c r="F41" s="162">
        <f>31805465+35522778</f>
        <v>67328243</v>
      </c>
      <c r="G41" s="112">
        <f>IF(ISBLANK(F41),"-",$D$49/$F$46*F41)</f>
        <v>124593987.29352042</v>
      </c>
      <c r="K41" s="65"/>
      <c r="L41" s="65"/>
      <c r="M41" s="76"/>
    </row>
    <row r="42" spans="1:13" ht="26.25" customHeight="1" x14ac:dyDescent="0.4">
      <c r="A42" s="70" t="s">
        <v>60</v>
      </c>
      <c r="B42" s="160">
        <v>1</v>
      </c>
      <c r="C42" s="77">
        <v>4</v>
      </c>
      <c r="D42" s="163"/>
      <c r="E42" s="121" t="str">
        <f>IF(ISBLANK(D42),"-",$D$49/$D$46*D42)</f>
        <v>-</v>
      </c>
      <c r="F42" s="163"/>
      <c r="G42" s="113" t="str">
        <f>IF(ISBLANK(F42),"-",$D$49/$F$46*F42)</f>
        <v>-</v>
      </c>
      <c r="K42" s="65"/>
      <c r="L42" s="65"/>
      <c r="M42" s="76"/>
    </row>
    <row r="43" spans="1:13" ht="27" customHeight="1" thickBot="1" x14ac:dyDescent="0.45">
      <c r="A43" s="70" t="s">
        <v>61</v>
      </c>
      <c r="B43" s="160">
        <v>1</v>
      </c>
      <c r="C43" s="78" t="s">
        <v>62</v>
      </c>
      <c r="D43" s="140">
        <f>AVERAGE(D39:D42)</f>
        <v>69864536.666666672</v>
      </c>
      <c r="E43" s="101">
        <f>AVERAGE(E39:E42)</f>
        <v>124481287.20363794</v>
      </c>
      <c r="F43" s="79">
        <f>AVERAGE(F39:F42)</f>
        <v>67262239.333333328</v>
      </c>
      <c r="G43" s="80">
        <f>AVERAGE(G39:G42)</f>
        <v>124471844.49520035</v>
      </c>
    </row>
    <row r="44" spans="1:13" ht="26.25" customHeight="1" x14ac:dyDescent="0.4">
      <c r="A44" s="70" t="s">
        <v>63</v>
      </c>
      <c r="B44" s="155">
        <v>1</v>
      </c>
      <c r="C44" s="141" t="s">
        <v>64</v>
      </c>
      <c r="D44" s="165">
        <v>24.21</v>
      </c>
      <c r="E44" s="76"/>
      <c r="F44" s="164">
        <v>23.31</v>
      </c>
      <c r="G44" s="117"/>
    </row>
    <row r="45" spans="1:13" ht="26.25" customHeight="1" x14ac:dyDescent="0.4">
      <c r="A45" s="70" t="s">
        <v>65</v>
      </c>
      <c r="B45" s="155">
        <v>1</v>
      </c>
      <c r="C45" s="142" t="s">
        <v>66</v>
      </c>
      <c r="D45" s="143">
        <f>D44*$B$35</f>
        <v>18.559698884311679</v>
      </c>
      <c r="E45" s="82"/>
      <c r="F45" s="81">
        <f>F44*$B$35</f>
        <v>17.869747252924626</v>
      </c>
      <c r="G45" s="84"/>
    </row>
    <row r="46" spans="1:13" ht="19.5" customHeight="1" thickBot="1" x14ac:dyDescent="0.35">
      <c r="A46" s="70" t="s">
        <v>67</v>
      </c>
      <c r="B46" s="139">
        <f>(B45/B44)*(B43/B42)*(B41/B40)*(B39/B38)*B37</f>
        <v>1000</v>
      </c>
      <c r="C46" s="142" t="s">
        <v>68</v>
      </c>
      <c r="D46" s="144">
        <f>D45*$B$31/100</f>
        <v>14.031132356539629</v>
      </c>
      <c r="E46" s="84"/>
      <c r="F46" s="83">
        <f>F45*$B$31/100</f>
        <v>13.509528923211017</v>
      </c>
      <c r="G46" s="84"/>
    </row>
    <row r="47" spans="1:13" ht="19.5" customHeight="1" thickBot="1" x14ac:dyDescent="0.35">
      <c r="A47" s="455" t="s">
        <v>69</v>
      </c>
      <c r="B47" s="456"/>
      <c r="C47" s="142" t="s">
        <v>70</v>
      </c>
      <c r="D47" s="143">
        <f>D46/$B$46</f>
        <v>1.4031132356539629E-2</v>
      </c>
      <c r="E47" s="84"/>
      <c r="F47" s="85">
        <f>F46/$B$46</f>
        <v>1.3509528923211016E-2</v>
      </c>
      <c r="G47" s="84"/>
    </row>
    <row r="48" spans="1:13" ht="27" customHeight="1" thickBot="1" x14ac:dyDescent="0.45">
      <c r="A48" s="457"/>
      <c r="B48" s="458"/>
      <c r="C48" s="142" t="s">
        <v>71</v>
      </c>
      <c r="D48" s="166">
        <v>2.5000000000000001E-2</v>
      </c>
      <c r="E48" s="117"/>
      <c r="F48" s="117"/>
      <c r="G48" s="117"/>
    </row>
    <row r="49" spans="1:11" ht="18.75" x14ac:dyDescent="0.3">
      <c r="C49" s="142" t="s">
        <v>72</v>
      </c>
      <c r="D49" s="144">
        <f>D48*$B$46</f>
        <v>25</v>
      </c>
      <c r="E49" s="84"/>
      <c r="F49" s="84"/>
      <c r="G49" s="84"/>
    </row>
    <row r="50" spans="1:11" ht="19.5" customHeight="1" thickBot="1" x14ac:dyDescent="0.35">
      <c r="C50" s="145" t="s">
        <v>73</v>
      </c>
      <c r="D50" s="146">
        <f>D49/B35</f>
        <v>32.610981663695611</v>
      </c>
      <c r="E50" s="103"/>
      <c r="F50" s="103"/>
      <c r="G50" s="103"/>
    </row>
    <row r="51" spans="1:11" ht="18.75" x14ac:dyDescent="0.3">
      <c r="C51" s="147" t="s">
        <v>74</v>
      </c>
      <c r="D51" s="148">
        <f>AVERAGE(E39:E42,G39:G42)</f>
        <v>124476565.84941916</v>
      </c>
      <c r="E51" s="102"/>
      <c r="F51" s="102"/>
      <c r="G51" s="102"/>
    </row>
    <row r="52" spans="1:11" ht="18.75" x14ac:dyDescent="0.3">
      <c r="C52" s="86" t="s">
        <v>75</v>
      </c>
      <c r="D52" s="89">
        <f>STDEV(E39:E42,G39:G42)/D51</f>
        <v>3.1843713972177171E-3</v>
      </c>
      <c r="E52" s="82"/>
      <c r="F52" s="82"/>
      <c r="G52" s="82"/>
    </row>
    <row r="53" spans="1:11" ht="19.5" customHeight="1" thickBot="1" x14ac:dyDescent="0.35">
      <c r="C53" s="87" t="s">
        <v>19</v>
      </c>
      <c r="D53" s="90">
        <f>COUNT(E39:E42,G39:G42)</f>
        <v>6</v>
      </c>
      <c r="E53" s="82"/>
      <c r="F53" s="82"/>
      <c r="G53" s="82"/>
    </row>
    <row r="55" spans="1:11" ht="18.75" x14ac:dyDescent="0.3">
      <c r="A55" s="52" t="s">
        <v>1</v>
      </c>
      <c r="B55" s="91" t="s">
        <v>76</v>
      </c>
    </row>
    <row r="56" spans="1:11" ht="18.75" x14ac:dyDescent="0.3">
      <c r="A56" s="53" t="s">
        <v>77</v>
      </c>
      <c r="B56" s="55" t="str">
        <f>B21</f>
        <v>Each 5 mL reconsitituted suspension contains: 50 mg Cefpodoxime Proxetil USP equivalent to  Cefpodoxine 50 mg.</v>
      </c>
    </row>
    <row r="57" spans="1:11" ht="26.25" customHeight="1" x14ac:dyDescent="0.4">
      <c r="A57" s="150" t="s">
        <v>78</v>
      </c>
      <c r="B57" s="167">
        <v>5</v>
      </c>
      <c r="C57" s="130" t="s">
        <v>79</v>
      </c>
      <c r="D57" s="168">
        <v>50</v>
      </c>
      <c r="E57" s="130" t="str">
        <f>B20</f>
        <v xml:space="preserve">Cefpodoxime </v>
      </c>
    </row>
    <row r="58" spans="1:11" ht="18.75" x14ac:dyDescent="0.3">
      <c r="A58" s="55" t="s">
        <v>80</v>
      </c>
      <c r="B58" s="178">
        <f>'RD Rpt'!C39</f>
        <v>1.2464459079661119</v>
      </c>
    </row>
    <row r="59" spans="1:11" s="77" customFormat="1" ht="18.75" x14ac:dyDescent="0.3">
      <c r="A59" s="128" t="s">
        <v>81</v>
      </c>
      <c r="B59" s="129">
        <f>B57</f>
        <v>5</v>
      </c>
      <c r="C59" s="130" t="s">
        <v>82</v>
      </c>
      <c r="D59" s="151">
        <f>B58*B57</f>
        <v>6.2322295398305592</v>
      </c>
    </row>
    <row r="60" spans="1:11" ht="19.5" customHeight="1" thickBot="1" x14ac:dyDescent="0.3"/>
    <row r="61" spans="1:11" s="8" customFormat="1" ht="27" customHeight="1" thickBot="1" x14ac:dyDescent="0.45">
      <c r="A61" s="69" t="s">
        <v>83</v>
      </c>
      <c r="B61" s="159">
        <v>100</v>
      </c>
      <c r="C61" s="53"/>
      <c r="D61" s="93" t="s">
        <v>84</v>
      </c>
      <c r="E61" s="92" t="s">
        <v>85</v>
      </c>
      <c r="F61" s="92" t="s">
        <v>55</v>
      </c>
      <c r="G61" s="92" t="s">
        <v>86</v>
      </c>
      <c r="H61" s="72" t="s">
        <v>87</v>
      </c>
      <c r="K61" s="61"/>
    </row>
    <row r="62" spans="1:11" s="8" customFormat="1" ht="24" customHeight="1" x14ac:dyDescent="0.4">
      <c r="A62" s="70" t="s">
        <v>88</v>
      </c>
      <c r="B62" s="160">
        <v>5</v>
      </c>
      <c r="C62" s="459" t="s">
        <v>89</v>
      </c>
      <c r="D62" s="462">
        <v>7.2900999999999998</v>
      </c>
      <c r="E62" s="123">
        <v>1</v>
      </c>
      <c r="F62" s="169">
        <f>50080210+51275500</f>
        <v>101355710</v>
      </c>
      <c r="G62" s="135">
        <f>IF(ISBLANK(F62),"-",(F62/$D$51*$D$48*$B$70)*$D$59/$D$62)</f>
        <v>34.804915300407281</v>
      </c>
      <c r="H62" s="132">
        <f t="shared" ref="H62:H73" si="0">IF(ISBLANK(F62),"-",G62/$D$57)</f>
        <v>0.6960983060081456</v>
      </c>
      <c r="K62" s="61"/>
    </row>
    <row r="63" spans="1:11" s="8" customFormat="1" ht="26.25" customHeight="1" x14ac:dyDescent="0.4">
      <c r="A63" s="70" t="s">
        <v>90</v>
      </c>
      <c r="B63" s="160">
        <v>100</v>
      </c>
      <c r="C63" s="460"/>
      <c r="D63" s="463"/>
      <c r="E63" s="124">
        <v>2</v>
      </c>
      <c r="F63" s="162">
        <f>51140365+52328830</f>
        <v>103469195</v>
      </c>
      <c r="G63" s="136">
        <f>IF(ISBLANK(F63),"-",(F63/$D$51*$D$48*$B$70)*$D$59/$D$62)</f>
        <v>35.530672797579179</v>
      </c>
      <c r="H63" s="133">
        <f t="shared" si="0"/>
        <v>0.71061345595158354</v>
      </c>
      <c r="K63" s="61"/>
    </row>
    <row r="64" spans="1:11" s="8" customFormat="1" ht="24.75" customHeight="1" x14ac:dyDescent="0.4">
      <c r="A64" s="70" t="s">
        <v>91</v>
      </c>
      <c r="B64" s="160">
        <v>1</v>
      </c>
      <c r="C64" s="460"/>
      <c r="D64" s="463"/>
      <c r="E64" s="124">
        <v>3</v>
      </c>
      <c r="F64" s="162">
        <f>50883482+52059601</f>
        <v>102943083</v>
      </c>
      <c r="G64" s="136">
        <f>IF(ISBLANK(F64),"-",(F64/$D$51*$D$48*$B$70)*$D$59/$D$62)</f>
        <v>35.350009235570418</v>
      </c>
      <c r="H64" s="133">
        <f t="shared" si="0"/>
        <v>0.70700018471140835</v>
      </c>
      <c r="K64" s="61"/>
    </row>
    <row r="65" spans="1:11" ht="27" customHeight="1" thickBot="1" x14ac:dyDescent="0.45">
      <c r="A65" s="70" t="s">
        <v>92</v>
      </c>
      <c r="B65" s="160">
        <v>1</v>
      </c>
      <c r="C65" s="461"/>
      <c r="D65" s="464"/>
      <c r="E65" s="125">
        <v>4</v>
      </c>
      <c r="F65" s="170"/>
      <c r="G65" s="136" t="str">
        <f>IF(ISBLANK(F65),"-",(F65/$D$51*$D$48*$B$70)*$D$59/$D$62)</f>
        <v>-</v>
      </c>
      <c r="H65" s="133" t="str">
        <f t="shared" si="0"/>
        <v>-</v>
      </c>
    </row>
    <row r="66" spans="1:11" ht="24.75" customHeight="1" x14ac:dyDescent="0.4">
      <c r="A66" s="70" t="s">
        <v>93</v>
      </c>
      <c r="B66" s="160">
        <v>1</v>
      </c>
      <c r="C66" s="459" t="s">
        <v>94</v>
      </c>
      <c r="D66" s="462">
        <v>6.1071600000000004</v>
      </c>
      <c r="E66" s="94">
        <v>1</v>
      </c>
      <c r="F66" s="162"/>
      <c r="G66" s="135" t="str">
        <f>IF(ISBLANK(F66),"-",(F66/$D$51*$D$48*$B$70)*$D$59/$D$66)</f>
        <v>-</v>
      </c>
      <c r="H66" s="132" t="str">
        <f t="shared" si="0"/>
        <v>-</v>
      </c>
    </row>
    <row r="67" spans="1:11" ht="23.25" customHeight="1" x14ac:dyDescent="0.4">
      <c r="A67" s="70" t="s">
        <v>95</v>
      </c>
      <c r="B67" s="160">
        <v>1</v>
      </c>
      <c r="C67" s="460"/>
      <c r="D67" s="463"/>
      <c r="E67" s="95">
        <v>2</v>
      </c>
      <c r="F67" s="162">
        <f>40975459+41934937</f>
        <v>82910396</v>
      </c>
      <c r="G67" s="136">
        <f>IF(ISBLANK(F67),"-",(F67/$D$51*$D$48*$B$70)*$D$59/$D$66)</f>
        <v>33.985646670360126</v>
      </c>
      <c r="H67" s="133">
        <f t="shared" si="0"/>
        <v>0.67971293340720251</v>
      </c>
    </row>
    <row r="68" spans="1:11" ht="24.75" customHeight="1" x14ac:dyDescent="0.4">
      <c r="A68" s="70" t="s">
        <v>96</v>
      </c>
      <c r="B68" s="160">
        <v>1</v>
      </c>
      <c r="C68" s="460"/>
      <c r="D68" s="463"/>
      <c r="E68" s="95">
        <v>3</v>
      </c>
      <c r="F68" s="162"/>
      <c r="G68" s="136" t="str">
        <f>IF(ISBLANK(F68),"-",(F68/$D$51*$D$48*$B$70)*$D$59/$D$66)</f>
        <v>-</v>
      </c>
      <c r="H68" s="133" t="str">
        <f t="shared" si="0"/>
        <v>-</v>
      </c>
    </row>
    <row r="69" spans="1:11" ht="27" customHeight="1" thickBot="1" x14ac:dyDescent="0.45">
      <c r="A69" s="70" t="s">
        <v>97</v>
      </c>
      <c r="B69" s="160">
        <v>1</v>
      </c>
      <c r="C69" s="461"/>
      <c r="D69" s="464"/>
      <c r="E69" s="96">
        <v>4</v>
      </c>
      <c r="F69" s="170"/>
      <c r="G69" s="137" t="str">
        <f>IF(ISBLANK(F69),"-",(F69/$D$51*$D$48*$B$70)*$D$59/$D$66)</f>
        <v>-</v>
      </c>
      <c r="H69" s="134" t="str">
        <f t="shared" si="0"/>
        <v>-</v>
      </c>
    </row>
    <row r="70" spans="1:11" ht="23.25" customHeight="1" x14ac:dyDescent="0.4">
      <c r="A70" s="70" t="s">
        <v>98</v>
      </c>
      <c r="B70" s="138">
        <f>(B69/B68)*(B67/B66)*(B65/B64)*(B63/B62)*B61</f>
        <v>2000</v>
      </c>
      <c r="C70" s="459" t="s">
        <v>99</v>
      </c>
      <c r="D70" s="462">
        <v>7.7736599999999996</v>
      </c>
      <c r="E70" s="94">
        <v>1</v>
      </c>
      <c r="F70" s="169">
        <f>54488004+55734436</f>
        <v>110222440</v>
      </c>
      <c r="G70" s="135">
        <f>IF(ISBLANK(F70),"-",(F70/$D$51*$D$48*$B$70)*$D$59/$D$70)</f>
        <v>35.495257055955193</v>
      </c>
      <c r="H70" s="133">
        <f t="shared" si="0"/>
        <v>0.70990514111910386</v>
      </c>
    </row>
    <row r="71" spans="1:11" ht="22.5" customHeight="1" thickBot="1" x14ac:dyDescent="0.45">
      <c r="A71" s="149" t="s">
        <v>100</v>
      </c>
      <c r="B71" s="171">
        <f>(D48*B70)/D57*D59</f>
        <v>6.2322295398305592</v>
      </c>
      <c r="C71" s="460"/>
      <c r="D71" s="463"/>
      <c r="E71" s="95">
        <v>2</v>
      </c>
      <c r="F71" s="162">
        <f>54361033+55598450</f>
        <v>109959483</v>
      </c>
      <c r="G71" s="136">
        <f>IF(ISBLANK(F71),"-",(F71/$D$51*$D$48*$B$70)*$D$59/$D$70)</f>
        <v>35.410576238603824</v>
      </c>
      <c r="H71" s="133">
        <f t="shared" si="0"/>
        <v>0.7082115247720765</v>
      </c>
    </row>
    <row r="72" spans="1:11" ht="23.25" customHeight="1" x14ac:dyDescent="0.4">
      <c r="A72" s="455" t="s">
        <v>69</v>
      </c>
      <c r="B72" s="466"/>
      <c r="C72" s="460"/>
      <c r="D72" s="463"/>
      <c r="E72" s="95">
        <v>3</v>
      </c>
      <c r="F72" s="162">
        <f>54657854+55926686</f>
        <v>110584540</v>
      </c>
      <c r="G72" s="136">
        <f>IF(ISBLANK(F72),"-",(F72/$D$51*$D$48*$B$70)*$D$59/$D$70)</f>
        <v>35.611865185660555</v>
      </c>
      <c r="H72" s="133">
        <f t="shared" si="0"/>
        <v>0.71223730371321115</v>
      </c>
    </row>
    <row r="73" spans="1:11" ht="23.25" customHeight="1" thickBot="1" x14ac:dyDescent="0.45">
      <c r="A73" s="457"/>
      <c r="B73" s="467"/>
      <c r="C73" s="465"/>
      <c r="D73" s="464"/>
      <c r="E73" s="96">
        <v>4</v>
      </c>
      <c r="F73" s="170"/>
      <c r="G73" s="137" t="str">
        <f>IF(ISBLANK(F73),"-",(F73/$D$51*$D$48*$B$70)*$D$59/$D$70)</f>
        <v>-</v>
      </c>
      <c r="H73" s="134" t="str">
        <f t="shared" si="0"/>
        <v>-</v>
      </c>
    </row>
    <row r="74" spans="1:11" ht="26.25" customHeight="1" x14ac:dyDescent="0.4">
      <c r="A74" s="97"/>
      <c r="B74" s="97"/>
      <c r="C74" s="97"/>
      <c r="D74" s="97"/>
      <c r="E74" s="97"/>
      <c r="F74" s="98"/>
      <c r="G74" s="88" t="s">
        <v>62</v>
      </c>
      <c r="H74" s="172">
        <f>AVERAGE(H62:H73)</f>
        <v>0.7033969785261045</v>
      </c>
    </row>
    <row r="75" spans="1:11" ht="26.25" customHeight="1" x14ac:dyDescent="0.4">
      <c r="C75" s="97"/>
      <c r="D75" s="97"/>
      <c r="E75" s="97"/>
      <c r="F75" s="98"/>
      <c r="G75" s="86" t="s">
        <v>75</v>
      </c>
      <c r="H75" s="173">
        <f>STDEV(H62:H73)/H74</f>
        <v>1.6649887285385363E-2</v>
      </c>
    </row>
    <row r="76" spans="1:11" ht="27" customHeight="1" thickBot="1" x14ac:dyDescent="0.45">
      <c r="A76" s="97"/>
      <c r="B76" s="97"/>
      <c r="C76" s="98"/>
      <c r="D76" s="99"/>
      <c r="E76" s="99"/>
      <c r="F76" s="98"/>
      <c r="G76" s="87" t="s">
        <v>19</v>
      </c>
      <c r="H76" s="174">
        <f>COUNT(H62:H73)</f>
        <v>7</v>
      </c>
    </row>
    <row r="77" spans="1:11" ht="18.75" x14ac:dyDescent="0.3">
      <c r="A77" s="97"/>
      <c r="B77" s="97"/>
      <c r="C77" s="98"/>
      <c r="D77" s="99"/>
      <c r="E77" s="99"/>
      <c r="F77" s="99"/>
      <c r="G77" s="99"/>
      <c r="H77" s="98"/>
      <c r="I77" s="104"/>
      <c r="J77" s="118"/>
    </row>
    <row r="78" spans="1:11" ht="26.25" customHeight="1" x14ac:dyDescent="0.4">
      <c r="A78" s="57" t="s">
        <v>101</v>
      </c>
      <c r="B78" s="176" t="s">
        <v>102</v>
      </c>
      <c r="C78" s="445" t="str">
        <f>B20</f>
        <v xml:space="preserve">Cefpodoxime </v>
      </c>
      <c r="D78" s="445"/>
      <c r="E78" s="122" t="s">
        <v>103</v>
      </c>
      <c r="F78" s="122"/>
      <c r="G78" s="177">
        <f>H74</f>
        <v>0.7033969785261045</v>
      </c>
      <c r="H78" s="98"/>
      <c r="I78" s="104"/>
      <c r="J78" s="118"/>
    </row>
    <row r="79" spans="1:11" s="44" customFormat="1" ht="26.25" customHeight="1" x14ac:dyDescent="0.4">
      <c r="A79" s="57"/>
      <c r="B79" s="176"/>
      <c r="C79" s="243"/>
      <c r="D79" s="243"/>
      <c r="E79" s="131"/>
      <c r="F79" s="131"/>
      <c r="G79" s="177"/>
      <c r="H79" s="401" t="s">
        <v>122</v>
      </c>
      <c r="I79" s="176"/>
      <c r="J79" s="243"/>
      <c r="K79" s="4"/>
    </row>
    <row r="80" spans="1:11" s="44" customFormat="1" ht="26.25" customHeight="1" x14ac:dyDescent="0.4">
      <c r="A80" s="57"/>
      <c r="B80" s="176"/>
      <c r="C80" s="243"/>
      <c r="D80" s="243"/>
      <c r="E80" s="131"/>
      <c r="F80" s="131"/>
      <c r="G80" s="177"/>
      <c r="H80" s="402">
        <f>AVERAGE(Cefpodoxime!H62:H73,H62:H73)</f>
        <v>0.67695047219106064</v>
      </c>
      <c r="I80" s="176"/>
      <c r="J80" s="243"/>
      <c r="K80" s="4"/>
    </row>
    <row r="81" spans="1:11" s="44" customFormat="1" ht="26.25" customHeight="1" x14ac:dyDescent="0.4">
      <c r="A81" s="57"/>
      <c r="B81" s="176"/>
      <c r="C81" s="243"/>
      <c r="D81" s="243"/>
      <c r="E81" s="131"/>
      <c r="F81" s="131"/>
      <c r="G81" s="177"/>
      <c r="H81" s="402">
        <f>STDEV(Cefpodoxime!H62:H73,H62:H73)/H80</f>
        <v>3.8514585671827993E-2</v>
      </c>
      <c r="I81" s="176"/>
      <c r="J81" s="243"/>
      <c r="K81" s="4"/>
    </row>
    <row r="82" spans="1:11" ht="29.25" customHeight="1" thickBot="1" x14ac:dyDescent="0.45">
      <c r="A82" s="108"/>
      <c r="B82" s="109"/>
      <c r="C82" s="110"/>
      <c r="D82" s="110"/>
      <c r="E82" s="109"/>
      <c r="F82" s="109"/>
      <c r="G82" s="109"/>
      <c r="H82" s="403">
        <f>COUNT(Cefpodoxime!H62:H73,H62:H73)</f>
        <v>16</v>
      </c>
    </row>
    <row r="83" spans="1:11" ht="18.75" x14ac:dyDescent="0.3">
      <c r="A83" s="52" t="s">
        <v>1</v>
      </c>
      <c r="B83" s="445" t="s">
        <v>104</v>
      </c>
      <c r="C83" s="445"/>
      <c r="D83" s="445"/>
      <c r="E83" s="445"/>
      <c r="F83" s="445"/>
      <c r="G83" s="445"/>
      <c r="H83" s="445"/>
    </row>
    <row r="84" spans="1:11" ht="26.25" customHeight="1" x14ac:dyDescent="0.4">
      <c r="A84" s="57" t="s">
        <v>4</v>
      </c>
      <c r="B84" s="468" t="s">
        <v>9</v>
      </c>
      <c r="C84" s="468"/>
    </row>
    <row r="85" spans="1:11" ht="26.25" customHeight="1" x14ac:dyDescent="0.4">
      <c r="A85" s="59" t="s">
        <v>40</v>
      </c>
      <c r="B85" s="446" t="s">
        <v>105</v>
      </c>
      <c r="C85" s="446"/>
    </row>
    <row r="86" spans="1:11" ht="27" customHeight="1" thickBot="1" x14ac:dyDescent="0.45">
      <c r="A86" s="59" t="s">
        <v>6</v>
      </c>
      <c r="B86" s="155">
        <v>75.599999999999994</v>
      </c>
    </row>
    <row r="87" spans="1:11" ht="27" customHeight="1" thickBot="1" x14ac:dyDescent="0.45">
      <c r="A87" s="59" t="s">
        <v>41</v>
      </c>
      <c r="B87" s="154">
        <v>0</v>
      </c>
      <c r="C87" s="447" t="s">
        <v>42</v>
      </c>
      <c r="D87" s="448"/>
      <c r="E87" s="448"/>
      <c r="F87" s="448"/>
      <c r="G87" s="448"/>
      <c r="H87" s="449"/>
    </row>
    <row r="88" spans="1:11" ht="19.5" customHeight="1" thickBot="1" x14ac:dyDescent="0.35">
      <c r="A88" s="59" t="s">
        <v>43</v>
      </c>
      <c r="B88" s="58">
        <f>B86-B87</f>
        <v>75.599999999999994</v>
      </c>
      <c r="C88" s="62"/>
      <c r="D88" s="62"/>
      <c r="E88" s="62"/>
      <c r="F88" s="62"/>
      <c r="G88" s="62"/>
      <c r="H88" s="63"/>
    </row>
    <row r="89" spans="1:11" ht="27" customHeight="1" thickBot="1" x14ac:dyDescent="0.45">
      <c r="A89" s="59" t="s">
        <v>44</v>
      </c>
      <c r="B89" s="175">
        <v>427.45800000000003</v>
      </c>
      <c r="C89" s="450" t="s">
        <v>45</v>
      </c>
      <c r="D89" s="451"/>
      <c r="E89" s="451"/>
      <c r="F89" s="451"/>
      <c r="G89" s="451"/>
      <c r="H89" s="452"/>
    </row>
    <row r="90" spans="1:11" ht="27" customHeight="1" thickBot="1" x14ac:dyDescent="0.45">
      <c r="A90" s="59" t="s">
        <v>46</v>
      </c>
      <c r="B90" s="175">
        <v>557.59299999999996</v>
      </c>
      <c r="C90" s="450" t="s">
        <v>47</v>
      </c>
      <c r="D90" s="451"/>
      <c r="E90" s="451"/>
      <c r="F90" s="451"/>
      <c r="G90" s="451"/>
      <c r="H90" s="452"/>
    </row>
    <row r="91" spans="1:11" ht="18.75" x14ac:dyDescent="0.3">
      <c r="A91" s="59"/>
      <c r="B91" s="64"/>
      <c r="C91" s="67"/>
      <c r="D91" s="67"/>
      <c r="E91" s="67"/>
      <c r="F91" s="67"/>
      <c r="G91" s="67"/>
      <c r="H91" s="67"/>
    </row>
    <row r="92" spans="1:11" ht="18.75" x14ac:dyDescent="0.3">
      <c r="A92" s="59" t="s">
        <v>48</v>
      </c>
      <c r="B92" s="68">
        <f>B89/B90</f>
        <v>0.7666129237633903</v>
      </c>
      <c r="C92" s="53" t="s">
        <v>49</v>
      </c>
    </row>
    <row r="93" spans="1:11" ht="19.5" customHeight="1" thickBot="1" x14ac:dyDescent="0.35">
      <c r="A93" s="59"/>
      <c r="B93" s="58"/>
      <c r="C93" s="60"/>
      <c r="D93" s="60"/>
      <c r="E93" s="60"/>
      <c r="F93" s="60"/>
      <c r="G93" s="60"/>
    </row>
    <row r="94" spans="1:11" ht="27" customHeight="1" thickBot="1" x14ac:dyDescent="0.45">
      <c r="A94" s="69" t="s">
        <v>50</v>
      </c>
      <c r="B94" s="159">
        <v>50</v>
      </c>
      <c r="D94" s="453" t="s">
        <v>51</v>
      </c>
      <c r="E94" s="454"/>
      <c r="F94" s="115" t="s">
        <v>52</v>
      </c>
      <c r="G94" s="116"/>
      <c r="H94" s="60"/>
    </row>
    <row r="95" spans="1:11" ht="26.25" customHeight="1" x14ac:dyDescent="0.4">
      <c r="A95" s="70" t="s">
        <v>53</v>
      </c>
      <c r="B95" s="160">
        <v>5</v>
      </c>
      <c r="C95" s="72" t="s">
        <v>54</v>
      </c>
      <c r="D95" s="73" t="s">
        <v>55</v>
      </c>
      <c r="E95" s="74" t="s">
        <v>56</v>
      </c>
      <c r="F95" s="73" t="s">
        <v>55</v>
      </c>
      <c r="G95" s="74" t="s">
        <v>56</v>
      </c>
      <c r="H95" s="60"/>
    </row>
    <row r="96" spans="1:11" ht="26.25" customHeight="1" x14ac:dyDescent="0.4">
      <c r="A96" s="70" t="s">
        <v>57</v>
      </c>
      <c r="B96" s="160">
        <v>100</v>
      </c>
      <c r="C96" s="75">
        <v>1</v>
      </c>
      <c r="D96" s="161">
        <f>23885389+27029386</f>
        <v>50914775</v>
      </c>
      <c r="E96" s="111">
        <f>IF(ISBLANK(D96),"-",$D$106/$D$103*D96)</f>
        <v>121273931.05742593</v>
      </c>
      <c r="F96" s="161">
        <f>19907484+22593332</f>
        <v>42500816</v>
      </c>
      <c r="G96" s="111">
        <f>IF(ISBLANK(F96),"-",$D$106/$F$103*F96)</f>
        <v>121251621.18117678</v>
      </c>
      <c r="H96" s="60"/>
    </row>
    <row r="97" spans="1:8" ht="26.25" customHeight="1" x14ac:dyDescent="0.4">
      <c r="A97" s="70" t="s">
        <v>58</v>
      </c>
      <c r="B97" s="160">
        <v>1</v>
      </c>
      <c r="C97" s="71">
        <v>2</v>
      </c>
      <c r="D97" s="162">
        <f>23984177+27240832</f>
        <v>51225009</v>
      </c>
      <c r="E97" s="112">
        <f>IF(ISBLANK(D97),"-",$D$106/$D$103*D97)</f>
        <v>122012877.59559034</v>
      </c>
      <c r="F97" s="162">
        <f>19785072+22465587</f>
        <v>42250659</v>
      </c>
      <c r="G97" s="112">
        <f>IF(ISBLANK(F97),"-",$D$106/$F$103*F97)</f>
        <v>120537942.1355834</v>
      </c>
      <c r="H97" s="60"/>
    </row>
    <row r="98" spans="1:8" ht="26.25" customHeight="1" x14ac:dyDescent="0.4">
      <c r="A98" s="70" t="s">
        <v>59</v>
      </c>
      <c r="B98" s="160">
        <v>1</v>
      </c>
      <c r="C98" s="71">
        <v>3</v>
      </c>
      <c r="D98" s="162">
        <f>23906884+27113861</f>
        <v>51020745</v>
      </c>
      <c r="E98" s="112">
        <f>IF(ISBLANK(D98),"-",$D$106/$D$103*D98)</f>
        <v>121526341.0597122</v>
      </c>
      <c r="F98" s="162">
        <f>19945742+22625618</f>
        <v>42571360</v>
      </c>
      <c r="G98" s="112">
        <f>IF(ISBLANK(F98),"-",$D$106/$F$103*F98)</f>
        <v>121452877.89033279</v>
      </c>
    </row>
    <row r="99" spans="1:8" ht="26.25" customHeight="1" x14ac:dyDescent="0.4">
      <c r="A99" s="70" t="s">
        <v>60</v>
      </c>
      <c r="B99" s="160">
        <v>1</v>
      </c>
      <c r="C99" s="77">
        <v>4</v>
      </c>
      <c r="D99" s="163"/>
      <c r="E99" s="113" t="str">
        <f>IF(ISBLANK(D99),"-",$D$106/$D$103*D99)</f>
        <v>-</v>
      </c>
      <c r="F99" s="163"/>
      <c r="G99" s="113" t="str">
        <f>IF(ISBLANK(F99),"-",$D$106/$F$103*F99)</f>
        <v>-</v>
      </c>
    </row>
    <row r="100" spans="1:8" ht="27" customHeight="1" thickBot="1" x14ac:dyDescent="0.45">
      <c r="A100" s="70" t="s">
        <v>61</v>
      </c>
      <c r="B100" s="160">
        <v>1</v>
      </c>
      <c r="C100" s="78" t="s">
        <v>62</v>
      </c>
      <c r="D100" s="79">
        <f>AVERAGE(D96:D99)</f>
        <v>51053509.666666664</v>
      </c>
      <c r="E100" s="80">
        <f>AVERAGE(E96:E99)</f>
        <v>121604383.23757617</v>
      </c>
      <c r="F100" s="79">
        <f>AVERAGE(F96:F99)</f>
        <v>42440945</v>
      </c>
      <c r="G100" s="80">
        <f>AVERAGE(G96:G99)</f>
        <v>121080813.73569767</v>
      </c>
    </row>
    <row r="101" spans="1:8" ht="26.25" customHeight="1" x14ac:dyDescent="0.4">
      <c r="A101" s="70" t="s">
        <v>63</v>
      </c>
      <c r="B101" s="155">
        <v>1</v>
      </c>
      <c r="C101" s="141" t="s">
        <v>64</v>
      </c>
      <c r="D101" s="165">
        <v>18.11</v>
      </c>
      <c r="E101" s="76"/>
      <c r="F101" s="164">
        <v>15.12</v>
      </c>
      <c r="G101" s="117"/>
    </row>
    <row r="102" spans="1:8" ht="26.25" customHeight="1" x14ac:dyDescent="0.4">
      <c r="A102" s="70" t="s">
        <v>65</v>
      </c>
      <c r="B102" s="155">
        <v>1</v>
      </c>
      <c r="C102" s="142" t="s">
        <v>66</v>
      </c>
      <c r="D102" s="143">
        <f>D101*$B$92</f>
        <v>13.883360049354998</v>
      </c>
      <c r="E102" s="82"/>
      <c r="F102" s="81">
        <f>F101*$B$92</f>
        <v>11.59118740730246</v>
      </c>
      <c r="G102" s="84"/>
    </row>
    <row r="103" spans="1:8" ht="19.5" customHeight="1" thickBot="1" x14ac:dyDescent="0.35">
      <c r="A103" s="70" t="s">
        <v>67</v>
      </c>
      <c r="B103" s="139">
        <f>(B102/B101)*(B100/B99)*(B98/B97)*(B96/B95)*B94</f>
        <v>1000</v>
      </c>
      <c r="C103" s="142" t="s">
        <v>68</v>
      </c>
      <c r="D103" s="144">
        <f>D102*$B$88/100</f>
        <v>10.495820197312378</v>
      </c>
      <c r="E103" s="84"/>
      <c r="F103" s="83">
        <f>F102*$B$88/100</f>
        <v>8.7629376799206593</v>
      </c>
      <c r="G103" s="84"/>
    </row>
    <row r="104" spans="1:8" ht="19.5" customHeight="1" thickBot="1" x14ac:dyDescent="0.35">
      <c r="A104" s="455" t="s">
        <v>69</v>
      </c>
      <c r="B104" s="456"/>
      <c r="C104" s="142" t="s">
        <v>70</v>
      </c>
      <c r="D104" s="143">
        <f>D103/$B$103</f>
        <v>1.0495820197312378E-2</v>
      </c>
      <c r="E104" s="84"/>
      <c r="F104" s="85">
        <f>F103/$B$103</f>
        <v>8.7629376799206599E-3</v>
      </c>
      <c r="G104" s="84"/>
    </row>
    <row r="105" spans="1:8" ht="27" customHeight="1" thickBot="1" x14ac:dyDescent="0.45">
      <c r="A105" s="457"/>
      <c r="B105" s="458"/>
      <c r="C105" s="142" t="s">
        <v>71</v>
      </c>
      <c r="D105" s="166">
        <v>2.5000000000000001E-2</v>
      </c>
      <c r="E105" s="117"/>
      <c r="F105" s="117"/>
      <c r="G105" s="117"/>
    </row>
    <row r="106" spans="1:8" ht="18.75" x14ac:dyDescent="0.3">
      <c r="C106" s="142" t="s">
        <v>72</v>
      </c>
      <c r="D106" s="144">
        <f>D105*$B$103</f>
        <v>25</v>
      </c>
      <c r="E106" s="84"/>
      <c r="F106" s="84"/>
      <c r="G106" s="84"/>
    </row>
    <row r="107" spans="1:8" ht="19.5" customHeight="1" thickBot="1" x14ac:dyDescent="0.35">
      <c r="C107" s="145" t="s">
        <v>73</v>
      </c>
      <c r="D107" s="146">
        <f>D106/B92</f>
        <v>32.610981663695611</v>
      </c>
      <c r="E107" s="103"/>
      <c r="F107" s="103"/>
      <c r="G107" s="103"/>
    </row>
    <row r="108" spans="1:8" ht="18.75" x14ac:dyDescent="0.3">
      <c r="C108" s="147" t="s">
        <v>74</v>
      </c>
      <c r="D108" s="148">
        <f>AVERAGE(E96:E99,G96:G99)</f>
        <v>121342598.48663692</v>
      </c>
      <c r="E108" s="102"/>
      <c r="F108" s="102"/>
      <c r="G108" s="102"/>
    </row>
    <row r="109" spans="1:8" ht="18.75" x14ac:dyDescent="0.3">
      <c r="C109" s="86" t="s">
        <v>75</v>
      </c>
      <c r="D109" s="89">
        <f>STDEV(E96:E99,G96:G99)/D108</f>
        <v>3.9620222997320204E-3</v>
      </c>
      <c r="E109" s="82"/>
      <c r="F109" s="82"/>
      <c r="G109" s="82"/>
    </row>
    <row r="110" spans="1:8" ht="19.5" customHeight="1" thickBot="1" x14ac:dyDescent="0.35">
      <c r="C110" s="87" t="s">
        <v>19</v>
      </c>
      <c r="D110" s="90">
        <f>COUNT(E96:E99,G96:G99)</f>
        <v>6</v>
      </c>
      <c r="E110" s="82"/>
      <c r="F110" s="82"/>
      <c r="G110" s="82"/>
    </row>
    <row r="112" spans="1:8" ht="18.75" x14ac:dyDescent="0.3">
      <c r="A112" s="52" t="s">
        <v>1</v>
      </c>
      <c r="B112" s="91" t="s">
        <v>76</v>
      </c>
    </row>
    <row r="113" spans="1:8" ht="18.75" x14ac:dyDescent="0.3">
      <c r="A113" s="53" t="s">
        <v>77</v>
      </c>
      <c r="B113" s="55" t="str">
        <f>B21</f>
        <v>Each 5 mL reconsitituted suspension contains: 50 mg Cefpodoxime Proxetil USP equivalent to  Cefpodoxine 50 mg.</v>
      </c>
    </row>
    <row r="114" spans="1:8" ht="26.25" customHeight="1" x14ac:dyDescent="0.4">
      <c r="A114" s="150" t="s">
        <v>78</v>
      </c>
      <c r="B114" s="167">
        <v>5</v>
      </c>
      <c r="C114" s="130" t="s">
        <v>79</v>
      </c>
      <c r="D114" s="168">
        <v>50</v>
      </c>
      <c r="E114" s="130" t="str">
        <f>B20</f>
        <v xml:space="preserve">Cefpodoxime </v>
      </c>
    </row>
    <row r="115" spans="1:8" ht="18.75" x14ac:dyDescent="0.3">
      <c r="A115" s="55" t="s">
        <v>80</v>
      </c>
      <c r="B115" s="178">
        <f>'RD Rpt'!C39</f>
        <v>1.2464459079661119</v>
      </c>
    </row>
    <row r="116" spans="1:8" ht="18.75" x14ac:dyDescent="0.3">
      <c r="A116" s="128" t="s">
        <v>81</v>
      </c>
      <c r="B116" s="129">
        <f>B114</f>
        <v>5</v>
      </c>
      <c r="C116" s="130" t="s">
        <v>82</v>
      </c>
      <c r="D116" s="151">
        <f>B115*B114</f>
        <v>6.2322295398305592</v>
      </c>
      <c r="E116" s="131"/>
      <c r="F116" s="131"/>
      <c r="G116" s="131"/>
      <c r="H116" s="131"/>
    </row>
    <row r="117" spans="1:8" ht="19.5" customHeight="1" thickBot="1" x14ac:dyDescent="0.3"/>
    <row r="118" spans="1:8" ht="27" customHeight="1" thickBot="1" x14ac:dyDescent="0.45">
      <c r="A118" s="69" t="s">
        <v>83</v>
      </c>
      <c r="B118" s="159">
        <v>100</v>
      </c>
      <c r="D118" s="93" t="s">
        <v>84</v>
      </c>
      <c r="E118" s="92" t="s">
        <v>85</v>
      </c>
      <c r="F118" s="92" t="s">
        <v>55</v>
      </c>
      <c r="G118" s="92" t="s">
        <v>86</v>
      </c>
      <c r="H118" s="72" t="s">
        <v>87</v>
      </c>
    </row>
    <row r="119" spans="1:8" ht="26.25" customHeight="1" x14ac:dyDescent="0.4">
      <c r="A119" s="70" t="s">
        <v>88</v>
      </c>
      <c r="B119" s="160">
        <v>5</v>
      </c>
      <c r="C119" s="459" t="s">
        <v>89</v>
      </c>
      <c r="D119" s="462">
        <v>6.3366100000000003</v>
      </c>
      <c r="E119" s="123">
        <v>1</v>
      </c>
      <c r="F119" s="169">
        <f>40635554+42727321</f>
        <v>83362875</v>
      </c>
      <c r="G119" s="135">
        <f>IF(ISBLANK(F119),"-",(F119/$D$108*$D$105*$B$127)*$D$116/$D$119)</f>
        <v>33.784372713005581</v>
      </c>
      <c r="H119" s="181">
        <f t="shared" ref="H119:H130" si="1">IF(ISBLANK(F119),"-",G119/$D$114)</f>
        <v>0.67568745426011168</v>
      </c>
    </row>
    <row r="120" spans="1:8" ht="26.25" customHeight="1" x14ac:dyDescent="0.4">
      <c r="A120" s="70" t="s">
        <v>90</v>
      </c>
      <c r="B120" s="160">
        <v>100</v>
      </c>
      <c r="C120" s="460"/>
      <c r="D120" s="463"/>
      <c r="E120" s="124">
        <v>2</v>
      </c>
      <c r="F120" s="162">
        <f>40501864+42838992</f>
        <v>83340856</v>
      </c>
      <c r="G120" s="136">
        <f>IF(ISBLANK(F120),"-",(F120/$D$108*$D$105*$B$127)*$D$116/$D$119)</f>
        <v>33.775449099193459</v>
      </c>
      <c r="H120" s="182">
        <f t="shared" si="1"/>
        <v>0.67550898198386922</v>
      </c>
    </row>
    <row r="121" spans="1:8" ht="26.25" customHeight="1" x14ac:dyDescent="0.4">
      <c r="A121" s="70" t="s">
        <v>91</v>
      </c>
      <c r="B121" s="160">
        <v>1</v>
      </c>
      <c r="C121" s="460"/>
      <c r="D121" s="463"/>
      <c r="E121" s="124">
        <v>3</v>
      </c>
      <c r="F121" s="162">
        <f>40470375+42331218</f>
        <v>82801593</v>
      </c>
      <c r="G121" s="136">
        <f>IF(ISBLANK(F121),"-",(F121/$D$108*$D$105*$B$127)*$D$116/$D$119)</f>
        <v>33.556902627729599</v>
      </c>
      <c r="H121" s="182">
        <f t="shared" si="1"/>
        <v>0.67113805255459202</v>
      </c>
    </row>
    <row r="122" spans="1:8" ht="27" customHeight="1" thickBot="1" x14ac:dyDescent="0.45">
      <c r="A122" s="70" t="s">
        <v>92</v>
      </c>
      <c r="B122" s="160">
        <v>1</v>
      </c>
      <c r="C122" s="461"/>
      <c r="D122" s="464"/>
      <c r="E122" s="125">
        <v>4</v>
      </c>
      <c r="F122" s="170"/>
      <c r="G122" s="137" t="str">
        <f>IF(ISBLANK(F122),"-",(F122/$D$108*$D$105*$B$127)*$D$116/$D$119)</f>
        <v>-</v>
      </c>
      <c r="H122" s="183" t="str">
        <f t="shared" si="1"/>
        <v>-</v>
      </c>
    </row>
    <row r="123" spans="1:8" ht="26.25" customHeight="1" x14ac:dyDescent="0.4">
      <c r="A123" s="70" t="s">
        <v>93</v>
      </c>
      <c r="B123" s="160">
        <v>1</v>
      </c>
      <c r="C123" s="459" t="s">
        <v>94</v>
      </c>
      <c r="D123" s="462">
        <v>6.3140799999999997</v>
      </c>
      <c r="E123" s="94">
        <v>1</v>
      </c>
      <c r="F123" s="162">
        <f>40459058+42408455</f>
        <v>82867513</v>
      </c>
      <c r="G123" s="135">
        <f>IF(ISBLANK(F123),"-",(F123/$D$108*$D$105*$B$127)*$D$116/$D$123)</f>
        <v>33.703451543422347</v>
      </c>
      <c r="H123" s="181">
        <f t="shared" si="1"/>
        <v>0.67406903086844694</v>
      </c>
    </row>
    <row r="124" spans="1:8" ht="26.25" customHeight="1" x14ac:dyDescent="0.4">
      <c r="A124" s="70" t="s">
        <v>95</v>
      </c>
      <c r="B124" s="160">
        <v>1</v>
      </c>
      <c r="C124" s="460"/>
      <c r="D124" s="463"/>
      <c r="E124" s="95">
        <v>2</v>
      </c>
      <c r="F124" s="162">
        <f>39898059+42253124</f>
        <v>82151183</v>
      </c>
      <c r="G124" s="136">
        <f>IF(ISBLANK(F124),"-",(F124/$D$108*$D$105*$B$127)*$D$116/$D$123)</f>
        <v>33.412109465325948</v>
      </c>
      <c r="H124" s="182">
        <f t="shared" si="1"/>
        <v>0.66824218930651891</v>
      </c>
    </row>
    <row r="125" spans="1:8" ht="26.25" customHeight="1" x14ac:dyDescent="0.4">
      <c r="A125" s="70" t="s">
        <v>96</v>
      </c>
      <c r="B125" s="160">
        <v>1</v>
      </c>
      <c r="C125" s="460"/>
      <c r="D125" s="463"/>
      <c r="E125" s="95">
        <v>3</v>
      </c>
      <c r="F125" s="162">
        <f>40486013+42453961</f>
        <v>82939974</v>
      </c>
      <c r="G125" s="136">
        <f>IF(ISBLANK(F125),"-",(F125/$D$108*$D$105*$B$127)*$D$116/$D$123)</f>
        <v>33.732922511161988</v>
      </c>
      <c r="H125" s="182">
        <f t="shared" si="1"/>
        <v>0.67465845022323978</v>
      </c>
    </row>
    <row r="126" spans="1:8" ht="27" customHeight="1" thickBot="1" x14ac:dyDescent="0.45">
      <c r="A126" s="70" t="s">
        <v>97</v>
      </c>
      <c r="B126" s="160">
        <v>1</v>
      </c>
      <c r="C126" s="461"/>
      <c r="D126" s="464"/>
      <c r="E126" s="96">
        <v>4</v>
      </c>
      <c r="F126" s="170"/>
      <c r="G126" s="137" t="str">
        <f>IF(ISBLANK(F126),"-",(F126/$D$108*$D$105*$B$127)*$D$116/$D$123)</f>
        <v>-</v>
      </c>
      <c r="H126" s="183" t="str">
        <f t="shared" si="1"/>
        <v>-</v>
      </c>
    </row>
    <row r="127" spans="1:8" ht="26.25" customHeight="1" x14ac:dyDescent="0.4">
      <c r="A127" s="70" t="s">
        <v>98</v>
      </c>
      <c r="B127" s="138">
        <f>(B126/B125)*(B124/B123)*(B122/B121)*(B120/B119)*B118</f>
        <v>2000</v>
      </c>
      <c r="C127" s="459" t="s">
        <v>99</v>
      </c>
      <c r="D127" s="462">
        <v>6.1295200000000003</v>
      </c>
      <c r="E127" s="94">
        <v>1</v>
      </c>
      <c r="F127" s="169">
        <f>39250280+41136743</f>
        <v>80387023</v>
      </c>
      <c r="G127" s="135">
        <f>IF(ISBLANK(F127),"-",(F127/$D$108*$D$105*$B$127)*$D$116/$D$127)</f>
        <v>33.679034523295975</v>
      </c>
      <c r="H127" s="181">
        <f t="shared" si="1"/>
        <v>0.67358069046591951</v>
      </c>
    </row>
    <row r="128" spans="1:8" ht="27" customHeight="1" thickBot="1" x14ac:dyDescent="0.45">
      <c r="A128" s="149" t="s">
        <v>100</v>
      </c>
      <c r="B128" s="171">
        <f>(D105*B127)/D114*D116</f>
        <v>6.2322295398305592</v>
      </c>
      <c r="C128" s="460"/>
      <c r="D128" s="463"/>
      <c r="E128" s="95">
        <v>2</v>
      </c>
      <c r="F128" s="162">
        <f>39782215+41803326</f>
        <v>81585541</v>
      </c>
      <c r="G128" s="136">
        <f>IF(ISBLANK(F128),"-",(F128/$D$108*$D$105*$B$127)*$D$116/$D$127)</f>
        <v>34.181166927164085</v>
      </c>
      <c r="H128" s="182">
        <f t="shared" si="1"/>
        <v>0.68362333854328172</v>
      </c>
    </row>
    <row r="129" spans="1:11" ht="26.25" customHeight="1" x14ac:dyDescent="0.4">
      <c r="A129" s="455" t="s">
        <v>69</v>
      </c>
      <c r="B129" s="466"/>
      <c r="C129" s="460"/>
      <c r="D129" s="463"/>
      <c r="E129" s="95">
        <v>3</v>
      </c>
      <c r="F129" s="162">
        <f>37382722+39228674</f>
        <v>76611396</v>
      </c>
      <c r="G129" s="136">
        <f>IF(ISBLANK(F129),"-",(F129/$D$108*$D$105*$B$127)*$D$116/$D$127)</f>
        <v>32.097193731902458</v>
      </c>
      <c r="H129" s="182">
        <f t="shared" si="1"/>
        <v>0.64194387463804914</v>
      </c>
    </row>
    <row r="130" spans="1:11" ht="27" customHeight="1" thickBot="1" x14ac:dyDescent="0.45">
      <c r="A130" s="457"/>
      <c r="B130" s="467"/>
      <c r="C130" s="465"/>
      <c r="D130" s="464"/>
      <c r="E130" s="96">
        <v>4</v>
      </c>
      <c r="F130" s="170"/>
      <c r="G130" s="137" t="str">
        <f>IF(ISBLANK(F130),"-",(F130/$D$108*$D$105*$B$127)*$D$116/$D$127)</f>
        <v>-</v>
      </c>
      <c r="H130" s="183" t="str">
        <f t="shared" si="1"/>
        <v>-</v>
      </c>
    </row>
    <row r="131" spans="1:11" ht="26.25" customHeight="1" x14ac:dyDescent="0.4">
      <c r="A131" s="97"/>
      <c r="B131" s="97"/>
      <c r="C131" s="97"/>
      <c r="D131" s="97"/>
      <c r="E131" s="97"/>
      <c r="F131" s="98"/>
      <c r="G131" s="88" t="s">
        <v>62</v>
      </c>
      <c r="H131" s="172">
        <f>AVERAGE(H119:H130)</f>
        <v>0.67093911809378104</v>
      </c>
    </row>
    <row r="132" spans="1:11" ht="26.25" customHeight="1" x14ac:dyDescent="0.4">
      <c r="C132" s="97"/>
      <c r="D132" s="97"/>
      <c r="E132" s="97"/>
      <c r="F132" s="98"/>
      <c r="G132" s="86" t="s">
        <v>75</v>
      </c>
      <c r="H132" s="173">
        <f>STDEV(H119:H130)/H131</f>
        <v>1.7341195327481251E-2</v>
      </c>
    </row>
    <row r="133" spans="1:11" ht="27" customHeight="1" thickBot="1" x14ac:dyDescent="0.45">
      <c r="A133" s="97"/>
      <c r="B133" s="97"/>
      <c r="C133" s="98"/>
      <c r="D133" s="99"/>
      <c r="E133" s="99"/>
      <c r="F133" s="98"/>
      <c r="G133" s="87" t="s">
        <v>19</v>
      </c>
      <c r="H133" s="174">
        <f>COUNT(H119:H130)</f>
        <v>9</v>
      </c>
    </row>
    <row r="134" spans="1:11" ht="18.75" x14ac:dyDescent="0.3">
      <c r="A134" s="97"/>
      <c r="B134" s="97"/>
      <c r="C134" s="98"/>
      <c r="D134" s="99"/>
      <c r="E134" s="99"/>
      <c r="F134" s="99"/>
      <c r="G134" s="99"/>
      <c r="H134" s="98"/>
    </row>
    <row r="135" spans="1:11" ht="26.25" customHeight="1" x14ac:dyDescent="0.4">
      <c r="A135" s="57" t="s">
        <v>101</v>
      </c>
      <c r="B135" s="176" t="s">
        <v>102</v>
      </c>
      <c r="C135" s="445" t="str">
        <f>B20</f>
        <v xml:space="preserve">Cefpodoxime </v>
      </c>
      <c r="D135" s="445"/>
      <c r="E135" s="122" t="s">
        <v>103</v>
      </c>
      <c r="F135" s="122"/>
      <c r="G135" s="177">
        <f>H131</f>
        <v>0.67093911809378104</v>
      </c>
      <c r="H135" s="401" t="s">
        <v>122</v>
      </c>
    </row>
    <row r="136" spans="1:11" s="44" customFormat="1" ht="26.25" customHeight="1" x14ac:dyDescent="0.4">
      <c r="A136" s="57"/>
      <c r="B136" s="176"/>
      <c r="C136" s="243"/>
      <c r="D136" s="243"/>
      <c r="E136" s="131"/>
      <c r="F136" s="131"/>
      <c r="G136" s="177"/>
      <c r="H136" s="402">
        <f>AVERAGE(Cefpodoxime!H116:H127,H119:H130)</f>
        <v>0.67658109783507714</v>
      </c>
      <c r="I136" s="4"/>
      <c r="J136" s="4"/>
      <c r="K136" s="4"/>
    </row>
    <row r="137" spans="1:11" s="44" customFormat="1" ht="26.25" customHeight="1" x14ac:dyDescent="0.4">
      <c r="A137" s="57"/>
      <c r="B137" s="176"/>
      <c r="C137" s="243"/>
      <c r="D137" s="243"/>
      <c r="E137" s="131"/>
      <c r="F137" s="131"/>
      <c r="G137" s="177"/>
      <c r="H137" s="402">
        <f>STDEV(Cefpodoxime!H116:H127,H119:H130)/H136</f>
        <v>1.7043252837262268E-2</v>
      </c>
      <c r="I137" s="4"/>
      <c r="J137" s="4"/>
      <c r="K137" s="4"/>
    </row>
    <row r="138" spans="1:11" s="44" customFormat="1" ht="26.25" customHeight="1" x14ac:dyDescent="0.4">
      <c r="A138" s="57"/>
      <c r="B138" s="176"/>
      <c r="C138" s="243"/>
      <c r="D138" s="243"/>
      <c r="E138" s="131"/>
      <c r="F138" s="131"/>
      <c r="G138" s="177"/>
      <c r="H138" s="403">
        <f>COUNT(Cefpodoxime!H116:H127,H119:H130)</f>
        <v>15</v>
      </c>
      <c r="I138" s="4"/>
      <c r="J138" s="4"/>
      <c r="K138" s="4"/>
    </row>
    <row r="139" spans="1:11" ht="19.5" customHeight="1" thickBot="1" x14ac:dyDescent="0.35">
      <c r="A139" s="180"/>
      <c r="B139" s="109"/>
      <c r="C139" s="110"/>
      <c r="D139" s="110"/>
      <c r="E139" s="109"/>
      <c r="F139" s="109"/>
      <c r="G139" s="109"/>
      <c r="H139" s="109"/>
    </row>
    <row r="140" spans="1:11" ht="83.1" customHeight="1" x14ac:dyDescent="0.3">
      <c r="A140" s="104" t="s">
        <v>28</v>
      </c>
      <c r="B140" s="152" t="s">
        <v>119</v>
      </c>
      <c r="C140" s="152"/>
      <c r="D140" s="97"/>
      <c r="E140" s="106"/>
      <c r="F140" s="100"/>
      <c r="G140" s="126"/>
      <c r="H140" s="126"/>
    </row>
    <row r="141" spans="1:11" ht="83.1" customHeight="1" x14ac:dyDescent="0.3">
      <c r="A141" s="104" t="s">
        <v>29</v>
      </c>
      <c r="B141" s="153"/>
      <c r="C141" s="153"/>
      <c r="D141" s="114"/>
      <c r="E141" s="107"/>
      <c r="F141" s="100"/>
      <c r="G141" s="127"/>
      <c r="H141" s="127"/>
    </row>
    <row r="142" spans="1:11" ht="18.75" x14ac:dyDescent="0.3">
      <c r="A142" s="97"/>
      <c r="B142" s="98"/>
      <c r="C142" s="99"/>
      <c r="D142" s="99"/>
      <c r="E142" s="99"/>
      <c r="F142" s="99"/>
      <c r="G142" s="98"/>
      <c r="H142" s="98"/>
    </row>
    <row r="143" spans="1:11" ht="18.75" x14ac:dyDescent="0.3">
      <c r="A143" s="97"/>
      <c r="B143" s="97"/>
      <c r="C143" s="98"/>
      <c r="D143" s="99"/>
      <c r="E143" s="99"/>
      <c r="F143" s="99"/>
      <c r="G143" s="99"/>
      <c r="H143" s="98"/>
    </row>
    <row r="144" spans="1:11" ht="27" customHeight="1" x14ac:dyDescent="0.3">
      <c r="A144" s="97"/>
      <c r="B144" s="97"/>
      <c r="C144" s="98"/>
      <c r="D144" s="99"/>
      <c r="E144" s="99"/>
      <c r="F144" s="99"/>
      <c r="G144" s="99"/>
      <c r="H144" s="98"/>
    </row>
    <row r="145" spans="1:8" ht="18.75" x14ac:dyDescent="0.3">
      <c r="A145" s="97"/>
      <c r="B145" s="97"/>
      <c r="C145" s="98"/>
      <c r="D145" s="99"/>
      <c r="E145" s="99"/>
      <c r="F145" s="99"/>
      <c r="G145" s="99"/>
      <c r="H145" s="98"/>
    </row>
    <row r="146" spans="1:8" ht="27" customHeight="1" x14ac:dyDescent="0.3">
      <c r="A146" s="97"/>
      <c r="B146" s="97"/>
      <c r="C146" s="98"/>
      <c r="D146" s="99"/>
      <c r="E146" s="99"/>
      <c r="F146" s="99"/>
      <c r="G146" s="99"/>
      <c r="H146" s="98"/>
    </row>
    <row r="147" spans="1:8" ht="27" customHeight="1" x14ac:dyDescent="0.3">
      <c r="A147" s="97"/>
      <c r="B147" s="97"/>
      <c r="C147" s="98"/>
      <c r="D147" s="99"/>
      <c r="E147" s="99"/>
      <c r="F147" s="99"/>
      <c r="G147" s="99"/>
      <c r="H147" s="98"/>
    </row>
    <row r="148" spans="1:8" ht="18.75" x14ac:dyDescent="0.3">
      <c r="A148" s="97"/>
      <c r="B148" s="97"/>
      <c r="C148" s="98"/>
      <c r="D148" s="99"/>
      <c r="E148" s="99"/>
      <c r="F148" s="99"/>
      <c r="G148" s="99"/>
      <c r="H148" s="98"/>
    </row>
    <row r="149" spans="1:8" ht="18.75" x14ac:dyDescent="0.3">
      <c r="A149" s="97"/>
      <c r="B149" s="97"/>
      <c r="C149" s="98"/>
      <c r="D149" s="99"/>
      <c r="E149" s="99"/>
      <c r="F149" s="99"/>
      <c r="G149" s="99"/>
      <c r="H149" s="98"/>
    </row>
    <row r="150" spans="1:8" ht="18.75" x14ac:dyDescent="0.3">
      <c r="A150" s="97"/>
      <c r="B150" s="97"/>
      <c r="C150" s="98"/>
      <c r="D150" s="99"/>
      <c r="E150" s="99"/>
      <c r="F150" s="99"/>
      <c r="G150" s="99"/>
      <c r="H150" s="98"/>
    </row>
    <row r="256" spans="1:1" x14ac:dyDescent="0.25">
      <c r="A256" s="2">
        <v>0</v>
      </c>
    </row>
  </sheetData>
  <sheetProtection formatCells="0" formatColumn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4:C84"/>
    <mergeCell ref="B83:H83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5:D135"/>
    <mergeCell ref="B21:H21"/>
    <mergeCell ref="B85:C85"/>
    <mergeCell ref="C87:H87"/>
    <mergeCell ref="C90:H90"/>
    <mergeCell ref="D94:E94"/>
    <mergeCell ref="A104:B105"/>
    <mergeCell ref="C119:C122"/>
    <mergeCell ref="D119:D122"/>
    <mergeCell ref="C123:C126"/>
    <mergeCell ref="D123:D126"/>
    <mergeCell ref="C127:C130"/>
    <mergeCell ref="D127:D130"/>
    <mergeCell ref="A129:B130"/>
    <mergeCell ref="C89:H89"/>
    <mergeCell ref="B28:C28"/>
  </mergeCells>
  <conditionalFormatting sqref="D52">
    <cfRule type="cellIs" dxfId="3" priority="3" operator="greaterThan">
      <formula>0.02</formula>
    </cfRule>
  </conditionalFormatting>
  <conditionalFormatting sqref="H75">
    <cfRule type="cellIs" dxfId="2" priority="4" operator="greaterThan">
      <formula>0.02</formula>
    </cfRule>
  </conditionalFormatting>
  <conditionalFormatting sqref="D109">
    <cfRule type="cellIs" dxfId="1" priority="5" operator="greaterThan">
      <formula>0.02</formula>
    </cfRule>
  </conditionalFormatting>
  <conditionalFormatting sqref="H132">
    <cfRule type="cellIs" dxfId="0" priority="6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2" orientation="portrait" horizontalDpi="4294967295" verticalDpi="4294967295" r:id="rId1"/>
  <headerFooter alignWithMargins="0">
    <oddHeader>&amp;LVer 2</oddHeader>
    <oddFooter>&amp;LNQCL/ADDO/014&amp;C&amp;P of &amp;N&amp;R&amp;D &amp;T</oddFooter>
  </headerFooter>
  <rowBreaks count="1" manualBreakCount="1">
    <brk id="8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29" sqref="B29"/>
    </sheetView>
  </sheetViews>
  <sheetFormatPr defaultRowHeight="13.5" x14ac:dyDescent="0.25"/>
  <cols>
    <col min="1" max="1" width="27.5703125" style="245" customWidth="1"/>
    <col min="2" max="2" width="20.42578125" style="245" customWidth="1"/>
    <col min="3" max="3" width="31.85546875" style="245" customWidth="1"/>
    <col min="4" max="4" width="25.85546875" style="245" customWidth="1"/>
    <col min="5" max="5" width="25.7109375" style="245" customWidth="1"/>
    <col min="6" max="6" width="23.140625" style="245" customWidth="1"/>
    <col min="7" max="7" width="28.42578125" style="245" customWidth="1"/>
    <col min="8" max="8" width="21.5703125" style="245" customWidth="1"/>
    <col min="9" max="9" width="9.140625" style="245" customWidth="1"/>
    <col min="10" max="16384" width="9.140625" style="281"/>
  </cols>
  <sheetData>
    <row r="14" spans="1:6" ht="15" customHeight="1" x14ac:dyDescent="0.3">
      <c r="A14" s="244"/>
      <c r="C14" s="246"/>
      <c r="F14" s="246"/>
    </row>
    <row r="15" spans="1:6" ht="18.75" customHeight="1" x14ac:dyDescent="0.3">
      <c r="A15" s="404" t="s">
        <v>0</v>
      </c>
      <c r="B15" s="404"/>
      <c r="C15" s="404"/>
      <c r="D15" s="404"/>
      <c r="E15" s="404"/>
    </row>
    <row r="16" spans="1:6" ht="16.5" customHeight="1" x14ac:dyDescent="0.3">
      <c r="A16" s="247" t="s">
        <v>1</v>
      </c>
      <c r="B16" s="248" t="s">
        <v>2</v>
      </c>
    </row>
    <row r="17" spans="1:5" ht="16.5" customHeight="1" x14ac:dyDescent="0.3">
      <c r="A17" s="249" t="s">
        <v>3</v>
      </c>
      <c r="B17" s="249" t="s">
        <v>5</v>
      </c>
      <c r="D17" s="250"/>
      <c r="E17" s="251"/>
    </row>
    <row r="18" spans="1:5" ht="16.5" customHeight="1" x14ac:dyDescent="0.3">
      <c r="A18" s="252" t="s">
        <v>4</v>
      </c>
      <c r="B18" s="249" t="s">
        <v>9</v>
      </c>
      <c r="C18" s="251"/>
      <c r="D18" s="251"/>
      <c r="E18" s="251"/>
    </row>
    <row r="19" spans="1:5" ht="16.5" customHeight="1" x14ac:dyDescent="0.3">
      <c r="A19" s="252" t="s">
        <v>6</v>
      </c>
      <c r="B19" s="253">
        <v>75.599999999999994</v>
      </c>
      <c r="C19" s="251"/>
      <c r="D19" s="251"/>
      <c r="E19" s="251"/>
    </row>
    <row r="20" spans="1:5" ht="16.5" customHeight="1" x14ac:dyDescent="0.3">
      <c r="A20" s="249" t="s">
        <v>8</v>
      </c>
      <c r="B20" s="253">
        <v>15.83</v>
      </c>
      <c r="C20" s="251"/>
      <c r="D20" s="251"/>
      <c r="E20" s="251"/>
    </row>
    <row r="21" spans="1:5" ht="16.5" customHeight="1" x14ac:dyDescent="0.3">
      <c r="A21" s="249" t="s">
        <v>10</v>
      </c>
      <c r="B21" s="254">
        <f>15.83/25*5/100</f>
        <v>3.1660000000000001E-2</v>
      </c>
      <c r="C21" s="251"/>
      <c r="D21" s="251"/>
      <c r="E21" s="251"/>
    </row>
    <row r="22" spans="1:5" ht="15.75" customHeight="1" x14ac:dyDescent="0.25">
      <c r="A22" s="251"/>
      <c r="B22" s="251"/>
      <c r="C22" s="251"/>
      <c r="D22" s="251"/>
      <c r="E22" s="251"/>
    </row>
    <row r="23" spans="1:5" ht="16.5" customHeight="1" x14ac:dyDescent="0.3">
      <c r="A23" s="255" t="s">
        <v>12</v>
      </c>
      <c r="B23" s="256" t="s">
        <v>13</v>
      </c>
      <c r="C23" s="255" t="s">
        <v>14</v>
      </c>
      <c r="D23" s="255" t="s">
        <v>15</v>
      </c>
      <c r="E23" s="255" t="s">
        <v>16</v>
      </c>
    </row>
    <row r="24" spans="1:5" ht="16.5" customHeight="1" x14ac:dyDescent="0.3">
      <c r="A24" s="257">
        <v>1</v>
      </c>
      <c r="B24" s="258">
        <v>529281</v>
      </c>
      <c r="C24" s="258">
        <v>15188.5</v>
      </c>
      <c r="D24" s="259">
        <v>1</v>
      </c>
      <c r="E24" s="260">
        <v>32</v>
      </c>
    </row>
    <row r="25" spans="1:5" ht="16.5" customHeight="1" x14ac:dyDescent="0.3">
      <c r="A25" s="257">
        <v>2</v>
      </c>
      <c r="B25" s="258">
        <v>532712</v>
      </c>
      <c r="C25" s="258">
        <v>15056.4</v>
      </c>
      <c r="D25" s="259">
        <v>1</v>
      </c>
      <c r="E25" s="259">
        <v>32</v>
      </c>
    </row>
    <row r="26" spans="1:5" ht="16.5" customHeight="1" x14ac:dyDescent="0.3">
      <c r="A26" s="257">
        <v>3</v>
      </c>
      <c r="B26" s="258">
        <v>527801</v>
      </c>
      <c r="C26" s="258">
        <v>15110.5</v>
      </c>
      <c r="D26" s="259">
        <v>1</v>
      </c>
      <c r="E26" s="259">
        <v>32</v>
      </c>
    </row>
    <row r="27" spans="1:5" ht="16.5" customHeight="1" x14ac:dyDescent="0.3">
      <c r="A27" s="257">
        <v>4</v>
      </c>
      <c r="B27" s="258">
        <v>526232</v>
      </c>
      <c r="C27" s="258">
        <v>15057.3</v>
      </c>
      <c r="D27" s="259">
        <v>1</v>
      </c>
      <c r="E27" s="259">
        <v>32</v>
      </c>
    </row>
    <row r="28" spans="1:5" ht="16.5" customHeight="1" x14ac:dyDescent="0.3">
      <c r="A28" s="257">
        <v>5</v>
      </c>
      <c r="B28" s="258">
        <v>533469</v>
      </c>
      <c r="C28" s="258">
        <v>14902.3</v>
      </c>
      <c r="D28" s="259">
        <v>1</v>
      </c>
      <c r="E28" s="259">
        <v>32</v>
      </c>
    </row>
    <row r="29" spans="1:5" ht="16.5" customHeight="1" x14ac:dyDescent="0.3">
      <c r="A29" s="257">
        <v>6</v>
      </c>
      <c r="B29" s="261">
        <v>532025</v>
      </c>
      <c r="C29" s="261">
        <v>14924</v>
      </c>
      <c r="D29" s="262">
        <v>1</v>
      </c>
      <c r="E29" s="262">
        <v>32</v>
      </c>
    </row>
    <row r="30" spans="1:5" ht="16.5" customHeight="1" x14ac:dyDescent="0.3">
      <c r="A30" s="263" t="s">
        <v>17</v>
      </c>
      <c r="B30" s="264">
        <f>AVERAGE(B24:B29)</f>
        <v>530253.33333333337</v>
      </c>
      <c r="C30" s="265">
        <f>AVERAGE(C24:C29)</f>
        <v>15039.833333333334</v>
      </c>
      <c r="D30" s="266">
        <f>AVERAGE(D24:D29)</f>
        <v>1</v>
      </c>
      <c r="E30" s="266">
        <f>AVERAGE(E24:E29)</f>
        <v>32</v>
      </c>
    </row>
    <row r="31" spans="1:5" ht="16.5" customHeight="1" x14ac:dyDescent="0.3">
      <c r="A31" s="267" t="s">
        <v>18</v>
      </c>
      <c r="B31" s="268">
        <f>(STDEV(B24:B29)/B30)</f>
        <v>5.5082773138504749E-3</v>
      </c>
      <c r="C31" s="269"/>
      <c r="D31" s="269"/>
      <c r="E31" s="270"/>
    </row>
    <row r="32" spans="1:5" s="245" customFormat="1" ht="16.5" customHeight="1" x14ac:dyDescent="0.3">
      <c r="A32" s="271" t="s">
        <v>19</v>
      </c>
      <c r="B32" s="272">
        <f>COUNT(B24:B29)</f>
        <v>6</v>
      </c>
      <c r="C32" s="273"/>
      <c r="D32" s="274"/>
      <c r="E32" s="275"/>
    </row>
    <row r="33" spans="1:5" s="245" customFormat="1" ht="15.75" customHeight="1" x14ac:dyDescent="0.25">
      <c r="A33" s="251"/>
      <c r="B33" s="251"/>
      <c r="C33" s="251"/>
      <c r="D33" s="251"/>
      <c r="E33" s="251"/>
    </row>
    <row r="34" spans="1:5" s="245" customFormat="1" ht="16.5" customHeight="1" x14ac:dyDescent="0.3">
      <c r="A34" s="252" t="s">
        <v>20</v>
      </c>
      <c r="B34" s="276" t="s">
        <v>21</v>
      </c>
      <c r="C34" s="277"/>
      <c r="D34" s="277"/>
      <c r="E34" s="277"/>
    </row>
    <row r="35" spans="1:5" ht="16.5" customHeight="1" x14ac:dyDescent="0.3">
      <c r="A35" s="252"/>
      <c r="B35" s="276" t="s">
        <v>22</v>
      </c>
      <c r="C35" s="277"/>
      <c r="D35" s="277"/>
      <c r="E35" s="277"/>
    </row>
    <row r="36" spans="1:5" ht="16.5" customHeight="1" x14ac:dyDescent="0.3">
      <c r="A36" s="252"/>
      <c r="B36" s="276" t="s">
        <v>23</v>
      </c>
      <c r="C36" s="277"/>
      <c r="D36" s="277"/>
      <c r="E36" s="277"/>
    </row>
    <row r="37" spans="1:5" ht="15.75" customHeight="1" x14ac:dyDescent="0.25">
      <c r="A37" s="251"/>
      <c r="B37" s="251"/>
      <c r="C37" s="251"/>
      <c r="D37" s="251"/>
      <c r="E37" s="251"/>
    </row>
    <row r="38" spans="1:5" ht="16.5" customHeight="1" x14ac:dyDescent="0.3">
      <c r="A38" s="247" t="s">
        <v>1</v>
      </c>
      <c r="B38" s="248" t="s">
        <v>24</v>
      </c>
    </row>
    <row r="39" spans="1:5" ht="16.5" customHeight="1" x14ac:dyDescent="0.3">
      <c r="A39" s="252" t="s">
        <v>4</v>
      </c>
      <c r="B39" s="249"/>
      <c r="C39" s="251"/>
      <c r="D39" s="251"/>
      <c r="E39" s="251"/>
    </row>
    <row r="40" spans="1:5" ht="16.5" customHeight="1" x14ac:dyDescent="0.3">
      <c r="A40" s="252" t="s">
        <v>6</v>
      </c>
      <c r="B40" s="253"/>
      <c r="C40" s="251"/>
      <c r="D40" s="251"/>
      <c r="E40" s="251"/>
    </row>
    <row r="41" spans="1:5" ht="16.5" customHeight="1" x14ac:dyDescent="0.3">
      <c r="A41" s="249" t="s">
        <v>8</v>
      </c>
      <c r="B41" s="253"/>
      <c r="C41" s="251"/>
      <c r="D41" s="251"/>
      <c r="E41" s="251"/>
    </row>
    <row r="42" spans="1:5" ht="16.5" customHeight="1" x14ac:dyDescent="0.3">
      <c r="A42" s="249" t="s">
        <v>10</v>
      </c>
      <c r="B42" s="254"/>
      <c r="C42" s="251"/>
      <c r="D42" s="251"/>
      <c r="E42" s="251"/>
    </row>
    <row r="43" spans="1:5" ht="15.75" customHeight="1" x14ac:dyDescent="0.25">
      <c r="A43" s="251"/>
      <c r="B43" s="251"/>
      <c r="C43" s="251"/>
      <c r="D43" s="251"/>
      <c r="E43" s="251"/>
    </row>
    <row r="44" spans="1:5" ht="16.5" customHeight="1" x14ac:dyDescent="0.3">
      <c r="A44" s="255" t="s">
        <v>12</v>
      </c>
      <c r="B44" s="256" t="s">
        <v>13</v>
      </c>
      <c r="C44" s="255" t="s">
        <v>14</v>
      </c>
      <c r="D44" s="255" t="s">
        <v>15</v>
      </c>
      <c r="E44" s="255" t="s">
        <v>16</v>
      </c>
    </row>
    <row r="45" spans="1:5" ht="16.5" customHeight="1" x14ac:dyDescent="0.3">
      <c r="A45" s="257">
        <v>1</v>
      </c>
      <c r="B45" s="258"/>
      <c r="C45" s="258"/>
      <c r="D45" s="259"/>
      <c r="E45" s="260"/>
    </row>
    <row r="46" spans="1:5" ht="16.5" customHeight="1" x14ac:dyDescent="0.3">
      <c r="A46" s="257">
        <v>2</v>
      </c>
      <c r="B46" s="258"/>
      <c r="C46" s="258"/>
      <c r="D46" s="259"/>
      <c r="E46" s="259"/>
    </row>
    <row r="47" spans="1:5" ht="16.5" customHeight="1" x14ac:dyDescent="0.3">
      <c r="A47" s="257">
        <v>3</v>
      </c>
      <c r="B47" s="258"/>
      <c r="C47" s="258"/>
      <c r="D47" s="259"/>
      <c r="E47" s="259"/>
    </row>
    <row r="48" spans="1:5" ht="16.5" customHeight="1" x14ac:dyDescent="0.3">
      <c r="A48" s="257">
        <v>4</v>
      </c>
      <c r="B48" s="258"/>
      <c r="C48" s="258"/>
      <c r="D48" s="259"/>
      <c r="E48" s="259"/>
    </row>
    <row r="49" spans="1:7" ht="16.5" customHeight="1" x14ac:dyDescent="0.3">
      <c r="A49" s="257">
        <v>5</v>
      </c>
      <c r="B49" s="258"/>
      <c r="C49" s="258"/>
      <c r="D49" s="259"/>
      <c r="E49" s="259"/>
    </row>
    <row r="50" spans="1:7" ht="16.5" customHeight="1" x14ac:dyDescent="0.3">
      <c r="A50" s="257">
        <v>6</v>
      </c>
      <c r="B50" s="261"/>
      <c r="C50" s="261"/>
      <c r="D50" s="262"/>
      <c r="E50" s="262"/>
    </row>
    <row r="51" spans="1:7" ht="16.5" customHeight="1" x14ac:dyDescent="0.3">
      <c r="A51" s="263" t="s">
        <v>17</v>
      </c>
      <c r="B51" s="264" t="e">
        <f>AVERAGE(B45:B50)</f>
        <v>#DIV/0!</v>
      </c>
      <c r="C51" s="265" t="e">
        <f>AVERAGE(C45:C50)</f>
        <v>#DIV/0!</v>
      </c>
      <c r="D51" s="266" t="e">
        <f>AVERAGE(D45:D50)</f>
        <v>#DIV/0!</v>
      </c>
      <c r="E51" s="266" t="e">
        <f>AVERAGE(E45:E50)</f>
        <v>#DIV/0!</v>
      </c>
    </row>
    <row r="52" spans="1:7" ht="16.5" customHeight="1" x14ac:dyDescent="0.3">
      <c r="A52" s="267" t="s">
        <v>18</v>
      </c>
      <c r="B52" s="268" t="e">
        <f>(STDEV(B45:B50)/B51)</f>
        <v>#DIV/0!</v>
      </c>
      <c r="C52" s="269"/>
      <c r="D52" s="269"/>
      <c r="E52" s="270"/>
    </row>
    <row r="53" spans="1:7" s="245" customFormat="1" ht="16.5" customHeight="1" x14ac:dyDescent="0.3">
      <c r="A53" s="271" t="s">
        <v>19</v>
      </c>
      <c r="B53" s="272">
        <f>COUNT(B45:B50)</f>
        <v>0</v>
      </c>
      <c r="C53" s="273"/>
      <c r="D53" s="274"/>
      <c r="E53" s="275"/>
    </row>
    <row r="54" spans="1:7" s="245" customFormat="1" ht="15.75" customHeight="1" x14ac:dyDescent="0.25">
      <c r="A54" s="251"/>
      <c r="B54" s="251"/>
      <c r="C54" s="251"/>
      <c r="D54" s="251"/>
      <c r="E54" s="251"/>
    </row>
    <row r="55" spans="1:7" s="245" customFormat="1" ht="16.5" customHeight="1" x14ac:dyDescent="0.3">
      <c r="A55" s="252" t="s">
        <v>20</v>
      </c>
      <c r="B55" s="276" t="s">
        <v>21</v>
      </c>
      <c r="C55" s="277"/>
      <c r="D55" s="277"/>
      <c r="E55" s="277"/>
    </row>
    <row r="56" spans="1:7" ht="16.5" customHeight="1" x14ac:dyDescent="0.3">
      <c r="A56" s="252"/>
      <c r="B56" s="276" t="s">
        <v>22</v>
      </c>
      <c r="C56" s="277"/>
      <c r="D56" s="277"/>
      <c r="E56" s="277"/>
    </row>
    <row r="57" spans="1:7" ht="16.5" customHeight="1" x14ac:dyDescent="0.3">
      <c r="A57" s="252"/>
      <c r="B57" s="276" t="s">
        <v>23</v>
      </c>
      <c r="C57" s="277"/>
      <c r="D57" s="277"/>
      <c r="E57" s="277"/>
    </row>
    <row r="58" spans="1:7" ht="14.25" customHeight="1" thickBot="1" x14ac:dyDescent="0.3">
      <c r="A58" s="278"/>
      <c r="B58" s="279"/>
      <c r="D58" s="280"/>
      <c r="F58" s="281"/>
      <c r="G58" s="281"/>
    </row>
    <row r="59" spans="1:7" ht="15" customHeight="1" x14ac:dyDescent="0.3">
      <c r="B59" s="405" t="s">
        <v>25</v>
      </c>
      <c r="C59" s="405"/>
      <c r="E59" s="282" t="s">
        <v>26</v>
      </c>
      <c r="F59" s="283"/>
      <c r="G59" s="282" t="s">
        <v>27</v>
      </c>
    </row>
    <row r="60" spans="1:7" ht="15" customHeight="1" x14ac:dyDescent="0.3">
      <c r="A60" s="284" t="s">
        <v>28</v>
      </c>
      <c r="B60" s="285" t="s">
        <v>120</v>
      </c>
      <c r="C60" s="285"/>
      <c r="E60" s="285"/>
      <c r="G60" s="285"/>
    </row>
    <row r="61" spans="1:7" ht="15" customHeight="1" x14ac:dyDescent="0.3">
      <c r="A61" s="284" t="s">
        <v>29</v>
      </c>
      <c r="B61" s="286"/>
      <c r="C61" s="286"/>
      <c r="E61" s="286"/>
      <c r="G61" s="28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27" sqref="B27"/>
    </sheetView>
  </sheetViews>
  <sheetFormatPr defaultRowHeight="13.5" x14ac:dyDescent="0.25"/>
  <cols>
    <col min="1" max="1" width="27.5703125" style="245" customWidth="1"/>
    <col min="2" max="2" width="20.42578125" style="245" customWidth="1"/>
    <col min="3" max="3" width="31.85546875" style="245" customWidth="1"/>
    <col min="4" max="4" width="25.85546875" style="245" customWidth="1"/>
    <col min="5" max="5" width="25.7109375" style="245" customWidth="1"/>
    <col min="6" max="6" width="23.140625" style="245" customWidth="1"/>
    <col min="7" max="7" width="28.42578125" style="245" customWidth="1"/>
    <col min="8" max="8" width="21.5703125" style="245" customWidth="1"/>
    <col min="9" max="9" width="9.140625" style="245" customWidth="1"/>
    <col min="10" max="16384" width="9.140625" style="281"/>
  </cols>
  <sheetData>
    <row r="14" spans="1:6" ht="15" customHeight="1" x14ac:dyDescent="0.3">
      <c r="A14" s="244"/>
      <c r="C14" s="246"/>
      <c r="F14" s="246"/>
    </row>
    <row r="15" spans="1:6" ht="18.75" customHeight="1" x14ac:dyDescent="0.3">
      <c r="A15" s="404" t="s">
        <v>0</v>
      </c>
      <c r="B15" s="404"/>
      <c r="C15" s="404"/>
      <c r="D15" s="404"/>
      <c r="E15" s="404"/>
    </row>
    <row r="16" spans="1:6" ht="16.5" customHeight="1" x14ac:dyDescent="0.3">
      <c r="A16" s="247" t="s">
        <v>1</v>
      </c>
      <c r="B16" s="248" t="s">
        <v>2</v>
      </c>
    </row>
    <row r="17" spans="1:5" ht="16.5" customHeight="1" x14ac:dyDescent="0.3">
      <c r="A17" s="249" t="s">
        <v>3</v>
      </c>
      <c r="B17" s="249" t="s">
        <v>5</v>
      </c>
      <c r="D17" s="250"/>
      <c r="E17" s="251"/>
    </row>
    <row r="18" spans="1:5" ht="16.5" customHeight="1" x14ac:dyDescent="0.3">
      <c r="A18" s="252" t="s">
        <v>4</v>
      </c>
      <c r="B18" s="249" t="s">
        <v>9</v>
      </c>
      <c r="C18" s="251"/>
      <c r="D18" s="251"/>
      <c r="E18" s="251"/>
    </row>
    <row r="19" spans="1:5" ht="16.5" customHeight="1" x14ac:dyDescent="0.3">
      <c r="A19" s="252" t="s">
        <v>6</v>
      </c>
      <c r="B19" s="253">
        <v>75.599999999999994</v>
      </c>
      <c r="C19" s="251"/>
      <c r="D19" s="251"/>
      <c r="E19" s="251"/>
    </row>
    <row r="20" spans="1:5" ht="16.5" customHeight="1" x14ac:dyDescent="0.3">
      <c r="A20" s="249" t="s">
        <v>8</v>
      </c>
      <c r="B20" s="253">
        <v>13.57</v>
      </c>
      <c r="C20" s="251"/>
      <c r="D20" s="251"/>
      <c r="E20" s="251"/>
    </row>
    <row r="21" spans="1:5" ht="16.5" customHeight="1" x14ac:dyDescent="0.3">
      <c r="A21" s="249" t="s">
        <v>10</v>
      </c>
      <c r="B21" s="254">
        <f>13.57/25*5/100</f>
        <v>2.7140000000000004E-2</v>
      </c>
      <c r="C21" s="251"/>
      <c r="D21" s="251"/>
      <c r="E21" s="251"/>
    </row>
    <row r="22" spans="1:5" ht="15.75" customHeight="1" x14ac:dyDescent="0.25">
      <c r="A22" s="251"/>
      <c r="B22" s="251"/>
      <c r="C22" s="251"/>
      <c r="D22" s="251"/>
      <c r="E22" s="251"/>
    </row>
    <row r="23" spans="1:5" ht="16.5" customHeight="1" x14ac:dyDescent="0.3">
      <c r="A23" s="255" t="s">
        <v>12</v>
      </c>
      <c r="B23" s="256" t="s">
        <v>13</v>
      </c>
      <c r="C23" s="255" t="s">
        <v>14</v>
      </c>
      <c r="D23" s="255" t="s">
        <v>15</v>
      </c>
      <c r="E23" s="255" t="s">
        <v>16</v>
      </c>
    </row>
    <row r="24" spans="1:5" ht="16.5" customHeight="1" x14ac:dyDescent="0.3">
      <c r="A24" s="257">
        <v>1</v>
      </c>
      <c r="B24" s="258">
        <v>3527362</v>
      </c>
      <c r="C24" s="258">
        <v>15663.71</v>
      </c>
      <c r="D24" s="259">
        <v>0.99</v>
      </c>
      <c r="E24" s="260">
        <v>27.56</v>
      </c>
    </row>
    <row r="25" spans="1:5" ht="16.5" customHeight="1" x14ac:dyDescent="0.3">
      <c r="A25" s="257">
        <v>2</v>
      </c>
      <c r="B25" s="258">
        <v>3530952</v>
      </c>
      <c r="C25" s="258">
        <v>15614.87</v>
      </c>
      <c r="D25" s="259">
        <v>1</v>
      </c>
      <c r="E25" s="259">
        <v>27.57</v>
      </c>
    </row>
    <row r="26" spans="1:5" ht="16.5" customHeight="1" x14ac:dyDescent="0.3">
      <c r="A26" s="257">
        <v>3</v>
      </c>
      <c r="B26" s="258">
        <v>3525087</v>
      </c>
      <c r="C26" s="258">
        <v>15658.22</v>
      </c>
      <c r="D26" s="259">
        <v>0.99</v>
      </c>
      <c r="E26" s="259">
        <v>27.58</v>
      </c>
    </row>
    <row r="27" spans="1:5" ht="16.5" customHeight="1" x14ac:dyDescent="0.3">
      <c r="A27" s="257">
        <v>4</v>
      </c>
      <c r="B27" s="258">
        <v>3531549</v>
      </c>
      <c r="C27" s="258">
        <v>15585.72</v>
      </c>
      <c r="D27" s="259">
        <v>0.99</v>
      </c>
      <c r="E27" s="259">
        <v>27.6</v>
      </c>
    </row>
    <row r="28" spans="1:5" ht="16.5" customHeight="1" x14ac:dyDescent="0.3">
      <c r="A28" s="257">
        <v>5</v>
      </c>
      <c r="B28" s="258">
        <v>3530801</v>
      </c>
      <c r="C28" s="258">
        <v>15625.73</v>
      </c>
      <c r="D28" s="259">
        <v>0.99</v>
      </c>
      <c r="E28" s="259">
        <v>27.61</v>
      </c>
    </row>
    <row r="29" spans="1:5" ht="16.5" customHeight="1" x14ac:dyDescent="0.3">
      <c r="A29" s="257">
        <v>6</v>
      </c>
      <c r="B29" s="261">
        <v>3541596</v>
      </c>
      <c r="C29" s="261">
        <v>15595.37</v>
      </c>
      <c r="D29" s="262">
        <v>0.99</v>
      </c>
      <c r="E29" s="262">
        <v>27.63</v>
      </c>
    </row>
    <row r="30" spans="1:5" ht="16.5" customHeight="1" x14ac:dyDescent="0.3">
      <c r="A30" s="263" t="s">
        <v>17</v>
      </c>
      <c r="B30" s="264">
        <f>AVERAGE(B24:B29)</f>
        <v>3531224.5</v>
      </c>
      <c r="C30" s="265">
        <f>AVERAGE(C24:C29)</f>
        <v>15623.936666666666</v>
      </c>
      <c r="D30" s="266">
        <f>AVERAGE(D24:D29)</f>
        <v>0.9916666666666667</v>
      </c>
      <c r="E30" s="266">
        <f>AVERAGE(E24:E29)</f>
        <v>27.591666666666669</v>
      </c>
    </row>
    <row r="31" spans="1:5" ht="16.5" customHeight="1" x14ac:dyDescent="0.3">
      <c r="A31" s="267" t="s">
        <v>18</v>
      </c>
      <c r="B31" s="268">
        <f>(STDEV(B24:B29)/B30)</f>
        <v>1.604527333692467E-3</v>
      </c>
      <c r="C31" s="269"/>
      <c r="D31" s="269"/>
      <c r="E31" s="270"/>
    </row>
    <row r="32" spans="1:5" s="245" customFormat="1" ht="16.5" customHeight="1" x14ac:dyDescent="0.3">
      <c r="A32" s="271" t="s">
        <v>19</v>
      </c>
      <c r="B32" s="272">
        <f>COUNT(B24:B29)</f>
        <v>6</v>
      </c>
      <c r="C32" s="273"/>
      <c r="D32" s="274"/>
      <c r="E32" s="275"/>
    </row>
    <row r="33" spans="1:5" s="245" customFormat="1" ht="15.75" customHeight="1" x14ac:dyDescent="0.25">
      <c r="A33" s="251"/>
      <c r="B33" s="251"/>
      <c r="C33" s="251"/>
      <c r="D33" s="251"/>
      <c r="E33" s="251"/>
    </row>
    <row r="34" spans="1:5" s="245" customFormat="1" ht="16.5" customHeight="1" x14ac:dyDescent="0.3">
      <c r="A34" s="252" t="s">
        <v>20</v>
      </c>
      <c r="B34" s="276" t="s">
        <v>21</v>
      </c>
      <c r="C34" s="277"/>
      <c r="D34" s="277"/>
      <c r="E34" s="277"/>
    </row>
    <row r="35" spans="1:5" ht="16.5" customHeight="1" x14ac:dyDescent="0.3">
      <c r="A35" s="252"/>
      <c r="B35" s="276" t="s">
        <v>22</v>
      </c>
      <c r="C35" s="277"/>
      <c r="D35" s="277"/>
      <c r="E35" s="277"/>
    </row>
    <row r="36" spans="1:5" ht="16.5" customHeight="1" x14ac:dyDescent="0.3">
      <c r="A36" s="252"/>
      <c r="B36" s="276" t="s">
        <v>23</v>
      </c>
      <c r="C36" s="277"/>
      <c r="D36" s="277"/>
      <c r="E36" s="277"/>
    </row>
    <row r="37" spans="1:5" ht="15.75" customHeight="1" x14ac:dyDescent="0.25">
      <c r="A37" s="251"/>
      <c r="B37" s="251"/>
      <c r="C37" s="251"/>
      <c r="D37" s="251"/>
      <c r="E37" s="251"/>
    </row>
    <row r="38" spans="1:5" ht="16.5" customHeight="1" x14ac:dyDescent="0.3">
      <c r="A38" s="247" t="s">
        <v>1</v>
      </c>
      <c r="B38" s="248" t="s">
        <v>24</v>
      </c>
    </row>
    <row r="39" spans="1:5" ht="16.5" customHeight="1" x14ac:dyDescent="0.3">
      <c r="A39" s="252" t="s">
        <v>4</v>
      </c>
      <c r="B39" s="249"/>
      <c r="C39" s="251"/>
      <c r="D39" s="251"/>
      <c r="E39" s="251"/>
    </row>
    <row r="40" spans="1:5" ht="16.5" customHeight="1" x14ac:dyDescent="0.3">
      <c r="A40" s="252" t="s">
        <v>6</v>
      </c>
      <c r="B40" s="253"/>
      <c r="C40" s="251"/>
      <c r="D40" s="251"/>
      <c r="E40" s="251"/>
    </row>
    <row r="41" spans="1:5" ht="16.5" customHeight="1" x14ac:dyDescent="0.3">
      <c r="A41" s="249" t="s">
        <v>8</v>
      </c>
      <c r="B41" s="253"/>
      <c r="C41" s="251"/>
      <c r="D41" s="251"/>
      <c r="E41" s="251"/>
    </row>
    <row r="42" spans="1:5" ht="16.5" customHeight="1" x14ac:dyDescent="0.3">
      <c r="A42" s="249" t="s">
        <v>10</v>
      </c>
      <c r="B42" s="254"/>
      <c r="C42" s="251"/>
      <c r="D42" s="251"/>
      <c r="E42" s="251"/>
    </row>
    <row r="43" spans="1:5" ht="15.75" customHeight="1" x14ac:dyDescent="0.25">
      <c r="A43" s="251"/>
      <c r="B43" s="251"/>
      <c r="C43" s="251"/>
      <c r="D43" s="251"/>
      <c r="E43" s="251"/>
    </row>
    <row r="44" spans="1:5" ht="16.5" customHeight="1" x14ac:dyDescent="0.3">
      <c r="A44" s="255" t="s">
        <v>12</v>
      </c>
      <c r="B44" s="256" t="s">
        <v>13</v>
      </c>
      <c r="C44" s="255" t="s">
        <v>14</v>
      </c>
      <c r="D44" s="255" t="s">
        <v>15</v>
      </c>
      <c r="E44" s="255" t="s">
        <v>16</v>
      </c>
    </row>
    <row r="45" spans="1:5" ht="16.5" customHeight="1" x14ac:dyDescent="0.3">
      <c r="A45" s="257">
        <v>1</v>
      </c>
      <c r="B45" s="258"/>
      <c r="C45" s="258"/>
      <c r="D45" s="259"/>
      <c r="E45" s="260"/>
    </row>
    <row r="46" spans="1:5" ht="16.5" customHeight="1" x14ac:dyDescent="0.3">
      <c r="A46" s="257">
        <v>2</v>
      </c>
      <c r="B46" s="258"/>
      <c r="C46" s="258"/>
      <c r="D46" s="259"/>
      <c r="E46" s="259"/>
    </row>
    <row r="47" spans="1:5" ht="16.5" customHeight="1" x14ac:dyDescent="0.3">
      <c r="A47" s="257">
        <v>3</v>
      </c>
      <c r="B47" s="258"/>
      <c r="C47" s="258"/>
      <c r="D47" s="259"/>
      <c r="E47" s="259"/>
    </row>
    <row r="48" spans="1:5" ht="16.5" customHeight="1" x14ac:dyDescent="0.3">
      <c r="A48" s="257">
        <v>4</v>
      </c>
      <c r="B48" s="258"/>
      <c r="C48" s="258"/>
      <c r="D48" s="259"/>
      <c r="E48" s="259"/>
    </row>
    <row r="49" spans="1:7" ht="16.5" customHeight="1" x14ac:dyDescent="0.3">
      <c r="A49" s="257">
        <v>5</v>
      </c>
      <c r="B49" s="258"/>
      <c r="C49" s="258"/>
      <c r="D49" s="259"/>
      <c r="E49" s="259"/>
    </row>
    <row r="50" spans="1:7" ht="16.5" customHeight="1" x14ac:dyDescent="0.3">
      <c r="A50" s="257">
        <v>6</v>
      </c>
      <c r="B50" s="261"/>
      <c r="C50" s="261"/>
      <c r="D50" s="262"/>
      <c r="E50" s="262"/>
    </row>
    <row r="51" spans="1:7" ht="16.5" customHeight="1" x14ac:dyDescent="0.3">
      <c r="A51" s="263" t="s">
        <v>17</v>
      </c>
      <c r="B51" s="264" t="e">
        <f>AVERAGE(B45:B50)</f>
        <v>#DIV/0!</v>
      </c>
      <c r="C51" s="265" t="e">
        <f>AVERAGE(C45:C50)</f>
        <v>#DIV/0!</v>
      </c>
      <c r="D51" s="266" t="e">
        <f>AVERAGE(D45:D50)</f>
        <v>#DIV/0!</v>
      </c>
      <c r="E51" s="266" t="e">
        <f>AVERAGE(E45:E50)</f>
        <v>#DIV/0!</v>
      </c>
    </row>
    <row r="52" spans="1:7" ht="16.5" customHeight="1" x14ac:dyDescent="0.3">
      <c r="A52" s="267" t="s">
        <v>18</v>
      </c>
      <c r="B52" s="268" t="e">
        <f>(STDEV(B45:B50)/B51)</f>
        <v>#DIV/0!</v>
      </c>
      <c r="C52" s="269"/>
      <c r="D52" s="269"/>
      <c r="E52" s="270"/>
    </row>
    <row r="53" spans="1:7" s="245" customFormat="1" ht="16.5" customHeight="1" x14ac:dyDescent="0.3">
      <c r="A53" s="271" t="s">
        <v>19</v>
      </c>
      <c r="B53" s="272">
        <f>COUNT(B45:B50)</f>
        <v>0</v>
      </c>
      <c r="C53" s="273"/>
      <c r="D53" s="274"/>
      <c r="E53" s="275"/>
    </row>
    <row r="54" spans="1:7" s="245" customFormat="1" ht="15.75" customHeight="1" x14ac:dyDescent="0.25">
      <c r="A54" s="251"/>
      <c r="B54" s="251"/>
      <c r="C54" s="251"/>
      <c r="D54" s="251"/>
      <c r="E54" s="251"/>
    </row>
    <row r="55" spans="1:7" s="245" customFormat="1" ht="16.5" customHeight="1" x14ac:dyDescent="0.3">
      <c r="A55" s="252" t="s">
        <v>20</v>
      </c>
      <c r="B55" s="276" t="s">
        <v>21</v>
      </c>
      <c r="C55" s="277"/>
      <c r="D55" s="277"/>
      <c r="E55" s="277"/>
    </row>
    <row r="56" spans="1:7" ht="16.5" customHeight="1" x14ac:dyDescent="0.3">
      <c r="A56" s="252"/>
      <c r="B56" s="276" t="s">
        <v>22</v>
      </c>
      <c r="C56" s="277"/>
      <c r="D56" s="277"/>
      <c r="E56" s="277"/>
    </row>
    <row r="57" spans="1:7" ht="16.5" customHeight="1" x14ac:dyDescent="0.3">
      <c r="A57" s="252"/>
      <c r="B57" s="276" t="s">
        <v>23</v>
      </c>
      <c r="C57" s="277"/>
      <c r="D57" s="277"/>
      <c r="E57" s="277"/>
    </row>
    <row r="58" spans="1:7" ht="14.25" customHeight="1" thickBot="1" x14ac:dyDescent="0.3">
      <c r="A58" s="278"/>
      <c r="B58" s="279"/>
      <c r="D58" s="280"/>
      <c r="F58" s="281"/>
      <c r="G58" s="281"/>
    </row>
    <row r="59" spans="1:7" ht="15" customHeight="1" x14ac:dyDescent="0.3">
      <c r="B59" s="405" t="s">
        <v>25</v>
      </c>
      <c r="C59" s="405"/>
      <c r="E59" s="282" t="s">
        <v>26</v>
      </c>
      <c r="F59" s="283"/>
      <c r="G59" s="282" t="s">
        <v>27</v>
      </c>
    </row>
    <row r="60" spans="1:7" ht="15" customHeight="1" x14ac:dyDescent="0.3">
      <c r="A60" s="284" t="s">
        <v>28</v>
      </c>
      <c r="B60" s="285" t="s">
        <v>120</v>
      </c>
      <c r="C60" s="285"/>
      <c r="E60" s="285"/>
      <c r="G60" s="285"/>
    </row>
    <row r="61" spans="1:7" ht="15" customHeight="1" x14ac:dyDescent="0.3">
      <c r="A61" s="284" t="s">
        <v>29</v>
      </c>
      <c r="B61" s="286"/>
      <c r="C61" s="286"/>
      <c r="E61" s="286"/>
      <c r="G61" s="28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25" sqref="B25"/>
    </sheetView>
  </sheetViews>
  <sheetFormatPr defaultRowHeight="13.5" x14ac:dyDescent="0.25"/>
  <cols>
    <col min="1" max="1" width="27.5703125" style="245" customWidth="1"/>
    <col min="2" max="2" width="20.42578125" style="245" customWidth="1"/>
    <col min="3" max="3" width="31.85546875" style="245" customWidth="1"/>
    <col min="4" max="4" width="25.85546875" style="245" customWidth="1"/>
    <col min="5" max="5" width="25.7109375" style="245" customWidth="1"/>
    <col min="6" max="6" width="23.140625" style="245" customWidth="1"/>
    <col min="7" max="7" width="28.42578125" style="245" customWidth="1"/>
    <col min="8" max="8" width="21.5703125" style="245" customWidth="1"/>
    <col min="9" max="9" width="9.140625" style="245" customWidth="1"/>
    <col min="10" max="16384" width="9.140625" style="281"/>
  </cols>
  <sheetData>
    <row r="14" spans="1:6" ht="15" customHeight="1" x14ac:dyDescent="0.3">
      <c r="A14" s="244"/>
      <c r="C14" s="246"/>
      <c r="F14" s="246"/>
    </row>
    <row r="15" spans="1:6" ht="18.75" customHeight="1" x14ac:dyDescent="0.3">
      <c r="A15" s="404" t="s">
        <v>0</v>
      </c>
      <c r="B15" s="404"/>
      <c r="C15" s="404"/>
      <c r="D15" s="404"/>
      <c r="E15" s="404"/>
    </row>
    <row r="16" spans="1:6" ht="16.5" customHeight="1" x14ac:dyDescent="0.3">
      <c r="A16" s="247" t="s">
        <v>1</v>
      </c>
      <c r="B16" s="248" t="s">
        <v>2</v>
      </c>
    </row>
    <row r="17" spans="1:5" ht="16.5" customHeight="1" x14ac:dyDescent="0.3">
      <c r="A17" s="249" t="s">
        <v>3</v>
      </c>
      <c r="B17" s="249" t="s">
        <v>5</v>
      </c>
      <c r="D17" s="250"/>
      <c r="E17" s="251"/>
    </row>
    <row r="18" spans="1:5" ht="16.5" customHeight="1" x14ac:dyDescent="0.3">
      <c r="A18" s="252" t="s">
        <v>4</v>
      </c>
      <c r="B18" s="249" t="s">
        <v>9</v>
      </c>
      <c r="C18" s="251"/>
      <c r="D18" s="251"/>
      <c r="E18" s="251"/>
    </row>
    <row r="19" spans="1:5" ht="16.5" customHeight="1" x14ac:dyDescent="0.3">
      <c r="A19" s="252" t="s">
        <v>6</v>
      </c>
      <c r="B19" s="253">
        <v>75.599999999999994</v>
      </c>
      <c r="C19" s="251"/>
      <c r="D19" s="251"/>
      <c r="E19" s="251"/>
    </row>
    <row r="20" spans="1:5" ht="16.5" customHeight="1" x14ac:dyDescent="0.3">
      <c r="A20" s="249" t="s">
        <v>8</v>
      </c>
      <c r="B20" s="253">
        <v>13.57</v>
      </c>
      <c r="C20" s="251"/>
      <c r="D20" s="251"/>
      <c r="E20" s="251"/>
    </row>
    <row r="21" spans="1:5" ht="16.5" customHeight="1" x14ac:dyDescent="0.3">
      <c r="A21" s="249" t="s">
        <v>10</v>
      </c>
      <c r="B21" s="254">
        <f>13.57/25*5/100</f>
        <v>2.7140000000000004E-2</v>
      </c>
      <c r="C21" s="251"/>
      <c r="D21" s="251"/>
      <c r="E21" s="251"/>
    </row>
    <row r="22" spans="1:5" ht="15.75" customHeight="1" x14ac:dyDescent="0.25">
      <c r="A22" s="251"/>
      <c r="B22" s="251"/>
      <c r="C22" s="251"/>
      <c r="D22" s="251"/>
      <c r="E22" s="251"/>
    </row>
    <row r="23" spans="1:5" ht="16.5" customHeight="1" x14ac:dyDescent="0.3">
      <c r="A23" s="255" t="s">
        <v>12</v>
      </c>
      <c r="B23" s="256" t="s">
        <v>13</v>
      </c>
      <c r="C23" s="255" t="s">
        <v>14</v>
      </c>
      <c r="D23" s="255" t="s">
        <v>15</v>
      </c>
      <c r="E23" s="255" t="s">
        <v>16</v>
      </c>
    </row>
    <row r="24" spans="1:5" ht="16.5" customHeight="1" x14ac:dyDescent="0.3">
      <c r="A24" s="257">
        <v>1</v>
      </c>
      <c r="B24" s="258">
        <v>3561965</v>
      </c>
      <c r="C24" s="258">
        <v>15723.82</v>
      </c>
      <c r="D24" s="259">
        <v>1</v>
      </c>
      <c r="E24" s="260">
        <v>31.88</v>
      </c>
    </row>
    <row r="25" spans="1:5" ht="16.5" customHeight="1" x14ac:dyDescent="0.3">
      <c r="A25" s="257">
        <v>2</v>
      </c>
      <c r="B25" s="258">
        <v>3564761</v>
      </c>
      <c r="C25" s="258">
        <v>15816.58</v>
      </c>
      <c r="D25" s="259">
        <v>0.99</v>
      </c>
      <c r="E25" s="259">
        <v>31.89</v>
      </c>
    </row>
    <row r="26" spans="1:5" ht="16.5" customHeight="1" x14ac:dyDescent="0.3">
      <c r="A26" s="257">
        <v>3</v>
      </c>
      <c r="B26" s="258">
        <v>3566361</v>
      </c>
      <c r="C26" s="258">
        <v>15794.32</v>
      </c>
      <c r="D26" s="259">
        <v>0.99</v>
      </c>
      <c r="E26" s="259">
        <v>31.9</v>
      </c>
    </row>
    <row r="27" spans="1:5" ht="16.5" customHeight="1" x14ac:dyDescent="0.3">
      <c r="A27" s="257">
        <v>4</v>
      </c>
      <c r="B27" s="258">
        <v>3577432</v>
      </c>
      <c r="C27" s="258">
        <v>15790.89</v>
      </c>
      <c r="D27" s="259">
        <v>1</v>
      </c>
      <c r="E27" s="259">
        <v>31.92</v>
      </c>
    </row>
    <row r="28" spans="1:5" ht="16.5" customHeight="1" x14ac:dyDescent="0.3">
      <c r="A28" s="257">
        <v>5</v>
      </c>
      <c r="B28" s="258">
        <v>3573834</v>
      </c>
      <c r="C28" s="258">
        <v>15769.91</v>
      </c>
      <c r="D28" s="259">
        <v>0.99</v>
      </c>
      <c r="E28" s="259">
        <v>31.93</v>
      </c>
    </row>
    <row r="29" spans="1:5" ht="16.5" customHeight="1" x14ac:dyDescent="0.3">
      <c r="A29" s="257">
        <v>6</v>
      </c>
      <c r="B29" s="261">
        <v>3573130</v>
      </c>
      <c r="C29" s="261">
        <v>15822.55</v>
      </c>
      <c r="D29" s="262">
        <v>0.99</v>
      </c>
      <c r="E29" s="262">
        <v>31.95</v>
      </c>
    </row>
    <row r="30" spans="1:5" ht="16.5" customHeight="1" x14ac:dyDescent="0.3">
      <c r="A30" s="263" t="s">
        <v>17</v>
      </c>
      <c r="B30" s="264">
        <f>AVERAGE(B24:B29)</f>
        <v>3569580.5</v>
      </c>
      <c r="C30" s="265">
        <f>AVERAGE(C24:C29)</f>
        <v>15786.345000000001</v>
      </c>
      <c r="D30" s="266">
        <f>AVERAGE(D24:D29)</f>
        <v>0.99333333333333329</v>
      </c>
      <c r="E30" s="266">
        <f>AVERAGE(E24:E29)</f>
        <v>31.911666666666662</v>
      </c>
    </row>
    <row r="31" spans="1:5" ht="16.5" customHeight="1" x14ac:dyDescent="0.3">
      <c r="A31" s="267" t="s">
        <v>18</v>
      </c>
      <c r="B31" s="268">
        <f>(STDEV(B24:B29)/B30)</f>
        <v>1.6991011019583989E-3</v>
      </c>
      <c r="C31" s="269"/>
      <c r="D31" s="269"/>
      <c r="E31" s="270"/>
    </row>
    <row r="32" spans="1:5" s="245" customFormat="1" ht="16.5" customHeight="1" x14ac:dyDescent="0.3">
      <c r="A32" s="271" t="s">
        <v>19</v>
      </c>
      <c r="B32" s="272">
        <f>COUNT(B24:B29)</f>
        <v>6</v>
      </c>
      <c r="C32" s="273"/>
      <c r="D32" s="274"/>
      <c r="E32" s="275"/>
    </row>
    <row r="33" spans="1:5" s="245" customFormat="1" ht="15.75" customHeight="1" x14ac:dyDescent="0.25">
      <c r="A33" s="251"/>
      <c r="B33" s="251"/>
      <c r="C33" s="251"/>
      <c r="D33" s="251"/>
      <c r="E33" s="251"/>
    </row>
    <row r="34" spans="1:5" s="245" customFormat="1" ht="16.5" customHeight="1" x14ac:dyDescent="0.3">
      <c r="A34" s="252" t="s">
        <v>20</v>
      </c>
      <c r="B34" s="276" t="s">
        <v>21</v>
      </c>
      <c r="C34" s="277"/>
      <c r="D34" s="277"/>
      <c r="E34" s="277"/>
    </row>
    <row r="35" spans="1:5" ht="16.5" customHeight="1" x14ac:dyDescent="0.3">
      <c r="A35" s="252"/>
      <c r="B35" s="276" t="s">
        <v>22</v>
      </c>
      <c r="C35" s="277"/>
      <c r="D35" s="277"/>
      <c r="E35" s="277"/>
    </row>
    <row r="36" spans="1:5" ht="16.5" customHeight="1" x14ac:dyDescent="0.3">
      <c r="A36" s="252"/>
      <c r="B36" s="276" t="s">
        <v>23</v>
      </c>
      <c r="C36" s="277"/>
      <c r="D36" s="277"/>
      <c r="E36" s="277"/>
    </row>
    <row r="37" spans="1:5" ht="15.75" customHeight="1" x14ac:dyDescent="0.25">
      <c r="A37" s="251"/>
      <c r="B37" s="251"/>
      <c r="C37" s="251"/>
      <c r="D37" s="251"/>
      <c r="E37" s="251"/>
    </row>
    <row r="38" spans="1:5" ht="16.5" customHeight="1" x14ac:dyDescent="0.3">
      <c r="A38" s="247" t="s">
        <v>1</v>
      </c>
      <c r="B38" s="248" t="s">
        <v>24</v>
      </c>
    </row>
    <row r="39" spans="1:5" ht="16.5" customHeight="1" x14ac:dyDescent="0.3">
      <c r="A39" s="252" t="s">
        <v>4</v>
      </c>
      <c r="B39" s="249"/>
      <c r="C39" s="251"/>
      <c r="D39" s="251"/>
      <c r="E39" s="251"/>
    </row>
    <row r="40" spans="1:5" ht="16.5" customHeight="1" x14ac:dyDescent="0.3">
      <c r="A40" s="252" t="s">
        <v>6</v>
      </c>
      <c r="B40" s="253"/>
      <c r="C40" s="251"/>
      <c r="D40" s="251"/>
      <c r="E40" s="251"/>
    </row>
    <row r="41" spans="1:5" ht="16.5" customHeight="1" x14ac:dyDescent="0.3">
      <c r="A41" s="249" t="s">
        <v>8</v>
      </c>
      <c r="B41" s="253"/>
      <c r="C41" s="251"/>
      <c r="D41" s="251"/>
      <c r="E41" s="251"/>
    </row>
    <row r="42" spans="1:5" ht="16.5" customHeight="1" x14ac:dyDescent="0.3">
      <c r="A42" s="249" t="s">
        <v>10</v>
      </c>
      <c r="B42" s="254"/>
      <c r="C42" s="251"/>
      <c r="D42" s="251"/>
      <c r="E42" s="251"/>
    </row>
    <row r="43" spans="1:5" ht="15.75" customHeight="1" x14ac:dyDescent="0.25">
      <c r="A43" s="251"/>
      <c r="B43" s="251"/>
      <c r="C43" s="251"/>
      <c r="D43" s="251"/>
      <c r="E43" s="251"/>
    </row>
    <row r="44" spans="1:5" ht="16.5" customHeight="1" x14ac:dyDescent="0.3">
      <c r="A44" s="255" t="s">
        <v>12</v>
      </c>
      <c r="B44" s="256" t="s">
        <v>13</v>
      </c>
      <c r="C44" s="255" t="s">
        <v>14</v>
      </c>
      <c r="D44" s="255" t="s">
        <v>15</v>
      </c>
      <c r="E44" s="255" t="s">
        <v>16</v>
      </c>
    </row>
    <row r="45" spans="1:5" ht="16.5" customHeight="1" x14ac:dyDescent="0.3">
      <c r="A45" s="257">
        <v>1</v>
      </c>
      <c r="B45" s="258"/>
      <c r="C45" s="258"/>
      <c r="D45" s="259"/>
      <c r="E45" s="260"/>
    </row>
    <row r="46" spans="1:5" ht="16.5" customHeight="1" x14ac:dyDescent="0.3">
      <c r="A46" s="257">
        <v>2</v>
      </c>
      <c r="B46" s="258"/>
      <c r="C46" s="258"/>
      <c r="D46" s="259"/>
      <c r="E46" s="259"/>
    </row>
    <row r="47" spans="1:5" ht="16.5" customHeight="1" x14ac:dyDescent="0.3">
      <c r="A47" s="257">
        <v>3</v>
      </c>
      <c r="B47" s="258"/>
      <c r="C47" s="258"/>
      <c r="D47" s="259"/>
      <c r="E47" s="259"/>
    </row>
    <row r="48" spans="1:5" ht="16.5" customHeight="1" x14ac:dyDescent="0.3">
      <c r="A48" s="257">
        <v>4</v>
      </c>
      <c r="B48" s="258"/>
      <c r="C48" s="258"/>
      <c r="D48" s="259"/>
      <c r="E48" s="259"/>
    </row>
    <row r="49" spans="1:7" ht="16.5" customHeight="1" x14ac:dyDescent="0.3">
      <c r="A49" s="257">
        <v>5</v>
      </c>
      <c r="B49" s="258"/>
      <c r="C49" s="258"/>
      <c r="D49" s="259"/>
      <c r="E49" s="259"/>
    </row>
    <row r="50" spans="1:7" ht="16.5" customHeight="1" x14ac:dyDescent="0.3">
      <c r="A50" s="257">
        <v>6</v>
      </c>
      <c r="B50" s="261"/>
      <c r="C50" s="261"/>
      <c r="D50" s="262"/>
      <c r="E50" s="262"/>
    </row>
    <row r="51" spans="1:7" ht="16.5" customHeight="1" x14ac:dyDescent="0.3">
      <c r="A51" s="263" t="s">
        <v>17</v>
      </c>
      <c r="B51" s="264" t="e">
        <f>AVERAGE(B45:B50)</f>
        <v>#DIV/0!</v>
      </c>
      <c r="C51" s="265" t="e">
        <f>AVERAGE(C45:C50)</f>
        <v>#DIV/0!</v>
      </c>
      <c r="D51" s="266" t="e">
        <f>AVERAGE(D45:D50)</f>
        <v>#DIV/0!</v>
      </c>
      <c r="E51" s="266" t="e">
        <f>AVERAGE(E45:E50)</f>
        <v>#DIV/0!</v>
      </c>
    </row>
    <row r="52" spans="1:7" ht="16.5" customHeight="1" x14ac:dyDescent="0.3">
      <c r="A52" s="267" t="s">
        <v>18</v>
      </c>
      <c r="B52" s="268" t="e">
        <f>(STDEV(B45:B50)/B51)</f>
        <v>#DIV/0!</v>
      </c>
      <c r="C52" s="269"/>
      <c r="D52" s="269"/>
      <c r="E52" s="270"/>
    </row>
    <row r="53" spans="1:7" s="245" customFormat="1" ht="16.5" customHeight="1" x14ac:dyDescent="0.3">
      <c r="A53" s="271" t="s">
        <v>19</v>
      </c>
      <c r="B53" s="272">
        <f>COUNT(B45:B50)</f>
        <v>0</v>
      </c>
      <c r="C53" s="273"/>
      <c r="D53" s="274"/>
      <c r="E53" s="275"/>
    </row>
    <row r="54" spans="1:7" s="245" customFormat="1" ht="15.75" customHeight="1" x14ac:dyDescent="0.25">
      <c r="A54" s="251"/>
      <c r="B54" s="251"/>
      <c r="C54" s="251"/>
      <c r="D54" s="251"/>
      <c r="E54" s="251"/>
    </row>
    <row r="55" spans="1:7" s="245" customFormat="1" ht="16.5" customHeight="1" x14ac:dyDescent="0.3">
      <c r="A55" s="252" t="s">
        <v>20</v>
      </c>
      <c r="B55" s="276" t="s">
        <v>21</v>
      </c>
      <c r="C55" s="277"/>
      <c r="D55" s="277"/>
      <c r="E55" s="277"/>
    </row>
    <row r="56" spans="1:7" ht="16.5" customHeight="1" x14ac:dyDescent="0.3">
      <c r="A56" s="252"/>
      <c r="B56" s="276" t="s">
        <v>22</v>
      </c>
      <c r="C56" s="277"/>
      <c r="D56" s="277"/>
      <c r="E56" s="277"/>
    </row>
    <row r="57" spans="1:7" ht="16.5" customHeight="1" x14ac:dyDescent="0.3">
      <c r="A57" s="252"/>
      <c r="B57" s="276" t="s">
        <v>23</v>
      </c>
      <c r="C57" s="277"/>
      <c r="D57" s="277"/>
      <c r="E57" s="277"/>
    </row>
    <row r="58" spans="1:7" ht="14.25" customHeight="1" thickBot="1" x14ac:dyDescent="0.3">
      <c r="A58" s="278"/>
      <c r="B58" s="279"/>
      <c r="D58" s="280"/>
      <c r="F58" s="281"/>
      <c r="G58" s="281"/>
    </row>
    <row r="59" spans="1:7" ht="15" customHeight="1" x14ac:dyDescent="0.3">
      <c r="B59" s="405" t="s">
        <v>25</v>
      </c>
      <c r="C59" s="405"/>
      <c r="E59" s="282" t="s">
        <v>26</v>
      </c>
      <c r="F59" s="283"/>
      <c r="G59" s="282" t="s">
        <v>27</v>
      </c>
    </row>
    <row r="60" spans="1:7" ht="15" customHeight="1" x14ac:dyDescent="0.3">
      <c r="A60" s="284" t="s">
        <v>28</v>
      </c>
      <c r="B60" s="285" t="s">
        <v>120</v>
      </c>
      <c r="C60" s="285"/>
      <c r="E60" s="285"/>
      <c r="G60" s="285"/>
    </row>
    <row r="61" spans="1:7" ht="15" customHeight="1" x14ac:dyDescent="0.3">
      <c r="A61" s="284" t="s">
        <v>29</v>
      </c>
      <c r="B61" s="286"/>
      <c r="C61" s="286"/>
      <c r="E61" s="286"/>
      <c r="G61" s="28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29" sqref="D29"/>
    </sheetView>
  </sheetViews>
  <sheetFormatPr defaultRowHeight="15" x14ac:dyDescent="0.3"/>
  <cols>
    <col min="1" max="1" width="25.140625" style="185" customWidth="1"/>
    <col min="2" max="2" width="20.42578125" style="185" customWidth="1"/>
    <col min="3" max="3" width="23" style="185" customWidth="1"/>
    <col min="4" max="4" width="24.42578125" style="185" customWidth="1"/>
    <col min="5" max="5" width="6.7109375" style="185" customWidth="1"/>
    <col min="6" max="6" width="18.85546875" style="185" customWidth="1"/>
    <col min="7" max="7" width="20.140625" style="185" customWidth="1"/>
    <col min="8" max="8" width="9" style="185" customWidth="1"/>
    <col min="9" max="9" width="26.42578125" style="185" customWidth="1"/>
    <col min="10" max="10" width="18.85546875" style="185" customWidth="1"/>
    <col min="11" max="11" width="20.140625" style="185" customWidth="1"/>
    <col min="12" max="256" width="9" style="185" customWidth="1"/>
    <col min="257" max="257" width="21" style="185" customWidth="1"/>
    <col min="258" max="258" width="18.85546875" style="185" customWidth="1"/>
    <col min="259" max="259" width="20.140625" style="185" customWidth="1"/>
    <col min="260" max="512" width="9" style="185" customWidth="1"/>
    <col min="513" max="513" width="21" style="185" customWidth="1"/>
    <col min="514" max="514" width="18.85546875" style="185" customWidth="1"/>
    <col min="515" max="515" width="20.140625" style="185" customWidth="1"/>
    <col min="516" max="768" width="9" style="185" customWidth="1"/>
    <col min="769" max="769" width="21" style="185" customWidth="1"/>
    <col min="770" max="770" width="18.85546875" style="185" customWidth="1"/>
    <col min="771" max="771" width="20.140625" style="185" customWidth="1"/>
    <col min="772" max="1024" width="9" style="185" customWidth="1"/>
    <col min="1025" max="1025" width="21" style="185" customWidth="1"/>
    <col min="1026" max="1026" width="18.85546875" style="185" customWidth="1"/>
    <col min="1027" max="1027" width="20.140625" style="185" customWidth="1"/>
    <col min="1028" max="1280" width="9" style="185" customWidth="1"/>
    <col min="1281" max="1281" width="21" style="185" customWidth="1"/>
    <col min="1282" max="1282" width="18.85546875" style="185" customWidth="1"/>
    <col min="1283" max="1283" width="20.140625" style="185" customWidth="1"/>
    <col min="1284" max="1536" width="9" style="185" customWidth="1"/>
    <col min="1537" max="1537" width="21" style="185" customWidth="1"/>
    <col min="1538" max="1538" width="18.85546875" style="185" customWidth="1"/>
    <col min="1539" max="1539" width="20.140625" style="185" customWidth="1"/>
    <col min="1540" max="1792" width="9" style="185" customWidth="1"/>
    <col min="1793" max="1793" width="21" style="185" customWidth="1"/>
    <col min="1794" max="1794" width="18.85546875" style="185" customWidth="1"/>
    <col min="1795" max="1795" width="20.140625" style="185" customWidth="1"/>
    <col min="1796" max="2048" width="9" style="185" customWidth="1"/>
    <col min="2049" max="2049" width="21" style="185" customWidth="1"/>
    <col min="2050" max="2050" width="18.85546875" style="185" customWidth="1"/>
    <col min="2051" max="2051" width="20.140625" style="185" customWidth="1"/>
    <col min="2052" max="2304" width="9" style="185" customWidth="1"/>
    <col min="2305" max="2305" width="21" style="185" customWidth="1"/>
    <col min="2306" max="2306" width="18.85546875" style="185" customWidth="1"/>
    <col min="2307" max="2307" width="20.140625" style="185" customWidth="1"/>
    <col min="2308" max="2560" width="9" style="185" customWidth="1"/>
    <col min="2561" max="2561" width="21" style="185" customWidth="1"/>
    <col min="2562" max="2562" width="18.85546875" style="185" customWidth="1"/>
    <col min="2563" max="2563" width="20.140625" style="185" customWidth="1"/>
    <col min="2564" max="2816" width="9" style="185" customWidth="1"/>
    <col min="2817" max="2817" width="21" style="185" customWidth="1"/>
    <col min="2818" max="2818" width="18.85546875" style="185" customWidth="1"/>
    <col min="2819" max="2819" width="20.140625" style="185" customWidth="1"/>
    <col min="2820" max="3072" width="9" style="185" customWidth="1"/>
    <col min="3073" max="3073" width="21" style="185" customWidth="1"/>
    <col min="3074" max="3074" width="18.85546875" style="185" customWidth="1"/>
    <col min="3075" max="3075" width="20.140625" style="185" customWidth="1"/>
    <col min="3076" max="3328" width="9" style="185" customWidth="1"/>
    <col min="3329" max="3329" width="21" style="185" customWidth="1"/>
    <col min="3330" max="3330" width="18.85546875" style="185" customWidth="1"/>
    <col min="3331" max="3331" width="20.140625" style="185" customWidth="1"/>
    <col min="3332" max="3584" width="9" style="185" customWidth="1"/>
    <col min="3585" max="3585" width="21" style="185" customWidth="1"/>
    <col min="3586" max="3586" width="18.85546875" style="185" customWidth="1"/>
    <col min="3587" max="3587" width="20.140625" style="185" customWidth="1"/>
    <col min="3588" max="3840" width="9" style="185" customWidth="1"/>
    <col min="3841" max="3841" width="21" style="185" customWidth="1"/>
    <col min="3842" max="3842" width="18.85546875" style="185" customWidth="1"/>
    <col min="3843" max="3843" width="20.140625" style="185" customWidth="1"/>
    <col min="3844" max="4096" width="9" style="185" customWidth="1"/>
    <col min="4097" max="4097" width="21" style="185" customWidth="1"/>
    <col min="4098" max="4098" width="18.85546875" style="185" customWidth="1"/>
    <col min="4099" max="4099" width="20.140625" style="185" customWidth="1"/>
    <col min="4100" max="4352" width="9" style="185" customWidth="1"/>
    <col min="4353" max="4353" width="21" style="185" customWidth="1"/>
    <col min="4354" max="4354" width="18.85546875" style="185" customWidth="1"/>
    <col min="4355" max="4355" width="20.140625" style="185" customWidth="1"/>
    <col min="4356" max="4608" width="9" style="185" customWidth="1"/>
    <col min="4609" max="4609" width="21" style="185" customWidth="1"/>
    <col min="4610" max="4610" width="18.85546875" style="185" customWidth="1"/>
    <col min="4611" max="4611" width="20.140625" style="185" customWidth="1"/>
    <col min="4612" max="4864" width="9" style="185" customWidth="1"/>
    <col min="4865" max="4865" width="21" style="185" customWidth="1"/>
    <col min="4866" max="4866" width="18.85546875" style="185" customWidth="1"/>
    <col min="4867" max="4867" width="20.140625" style="185" customWidth="1"/>
    <col min="4868" max="5120" width="9" style="185" customWidth="1"/>
    <col min="5121" max="5121" width="21" style="185" customWidth="1"/>
    <col min="5122" max="5122" width="18.85546875" style="185" customWidth="1"/>
    <col min="5123" max="5123" width="20.140625" style="185" customWidth="1"/>
    <col min="5124" max="5376" width="9" style="185" customWidth="1"/>
    <col min="5377" max="5377" width="21" style="185" customWidth="1"/>
    <col min="5378" max="5378" width="18.85546875" style="185" customWidth="1"/>
    <col min="5379" max="5379" width="20.140625" style="185" customWidth="1"/>
    <col min="5380" max="5632" width="9" style="185" customWidth="1"/>
    <col min="5633" max="5633" width="21" style="185" customWidth="1"/>
    <col min="5634" max="5634" width="18.85546875" style="185" customWidth="1"/>
    <col min="5635" max="5635" width="20.140625" style="185" customWidth="1"/>
    <col min="5636" max="5888" width="9" style="185" customWidth="1"/>
    <col min="5889" max="5889" width="21" style="185" customWidth="1"/>
    <col min="5890" max="5890" width="18.85546875" style="185" customWidth="1"/>
    <col min="5891" max="5891" width="20.140625" style="185" customWidth="1"/>
    <col min="5892" max="6144" width="9" style="185" customWidth="1"/>
    <col min="6145" max="6145" width="21" style="185" customWidth="1"/>
    <col min="6146" max="6146" width="18.85546875" style="185" customWidth="1"/>
    <col min="6147" max="6147" width="20.140625" style="185" customWidth="1"/>
    <col min="6148" max="6400" width="9" style="185" customWidth="1"/>
    <col min="6401" max="6401" width="21" style="185" customWidth="1"/>
    <col min="6402" max="6402" width="18.85546875" style="185" customWidth="1"/>
    <col min="6403" max="6403" width="20.140625" style="185" customWidth="1"/>
    <col min="6404" max="6656" width="9" style="185" customWidth="1"/>
    <col min="6657" max="6657" width="21" style="185" customWidth="1"/>
    <col min="6658" max="6658" width="18.85546875" style="185" customWidth="1"/>
    <col min="6659" max="6659" width="20.140625" style="185" customWidth="1"/>
    <col min="6660" max="6912" width="9" style="185" customWidth="1"/>
    <col min="6913" max="6913" width="21" style="185" customWidth="1"/>
    <col min="6914" max="6914" width="18.85546875" style="185" customWidth="1"/>
    <col min="6915" max="6915" width="20.140625" style="185" customWidth="1"/>
    <col min="6916" max="7168" width="9" style="185" customWidth="1"/>
    <col min="7169" max="7169" width="21" style="185" customWidth="1"/>
    <col min="7170" max="7170" width="18.85546875" style="185" customWidth="1"/>
    <col min="7171" max="7171" width="20.140625" style="185" customWidth="1"/>
    <col min="7172" max="7424" width="9" style="185" customWidth="1"/>
    <col min="7425" max="7425" width="21" style="185" customWidth="1"/>
    <col min="7426" max="7426" width="18.85546875" style="185" customWidth="1"/>
    <col min="7427" max="7427" width="20.140625" style="185" customWidth="1"/>
    <col min="7428" max="7680" width="9" style="185" customWidth="1"/>
    <col min="7681" max="7681" width="21" style="185" customWidth="1"/>
    <col min="7682" max="7682" width="18.85546875" style="185" customWidth="1"/>
    <col min="7683" max="7683" width="20.140625" style="185" customWidth="1"/>
    <col min="7684" max="7936" width="9" style="185" customWidth="1"/>
    <col min="7937" max="7937" width="21" style="185" customWidth="1"/>
    <col min="7938" max="7938" width="18.85546875" style="185" customWidth="1"/>
    <col min="7939" max="7939" width="20.140625" style="185" customWidth="1"/>
    <col min="7940" max="8192" width="9" style="185" customWidth="1"/>
    <col min="8193" max="8193" width="21" style="185" customWidth="1"/>
    <col min="8194" max="8194" width="18.85546875" style="185" customWidth="1"/>
    <col min="8195" max="8195" width="20.140625" style="185" customWidth="1"/>
    <col min="8196" max="8448" width="9" style="185" customWidth="1"/>
    <col min="8449" max="8449" width="21" style="185" customWidth="1"/>
    <col min="8450" max="8450" width="18.85546875" style="185" customWidth="1"/>
    <col min="8451" max="8451" width="20.140625" style="185" customWidth="1"/>
    <col min="8452" max="8704" width="9" style="185" customWidth="1"/>
    <col min="8705" max="8705" width="21" style="185" customWidth="1"/>
    <col min="8706" max="8706" width="18.85546875" style="185" customWidth="1"/>
    <col min="8707" max="8707" width="20.140625" style="185" customWidth="1"/>
    <col min="8708" max="8960" width="9" style="185" customWidth="1"/>
    <col min="8961" max="8961" width="21" style="185" customWidth="1"/>
    <col min="8962" max="8962" width="18.85546875" style="185" customWidth="1"/>
    <col min="8963" max="8963" width="20.140625" style="185" customWidth="1"/>
    <col min="8964" max="9216" width="9" style="185" customWidth="1"/>
    <col min="9217" max="9217" width="21" style="185" customWidth="1"/>
    <col min="9218" max="9218" width="18.85546875" style="185" customWidth="1"/>
    <col min="9219" max="9219" width="20.140625" style="185" customWidth="1"/>
    <col min="9220" max="9472" width="9" style="185" customWidth="1"/>
    <col min="9473" max="9473" width="21" style="185" customWidth="1"/>
    <col min="9474" max="9474" width="18.85546875" style="185" customWidth="1"/>
    <col min="9475" max="9475" width="20.140625" style="185" customWidth="1"/>
    <col min="9476" max="9728" width="9" style="185" customWidth="1"/>
    <col min="9729" max="9729" width="21" style="185" customWidth="1"/>
    <col min="9730" max="9730" width="18.85546875" style="185" customWidth="1"/>
    <col min="9731" max="9731" width="20.140625" style="185" customWidth="1"/>
    <col min="9732" max="9984" width="9" style="185" customWidth="1"/>
    <col min="9985" max="9985" width="21" style="185" customWidth="1"/>
    <col min="9986" max="9986" width="18.85546875" style="185" customWidth="1"/>
    <col min="9987" max="9987" width="20.140625" style="185" customWidth="1"/>
    <col min="9988" max="10240" width="9" style="185" customWidth="1"/>
    <col min="10241" max="10241" width="21" style="185" customWidth="1"/>
    <col min="10242" max="10242" width="18.85546875" style="185" customWidth="1"/>
    <col min="10243" max="10243" width="20.140625" style="185" customWidth="1"/>
    <col min="10244" max="10496" width="9" style="185" customWidth="1"/>
    <col min="10497" max="10497" width="21" style="185" customWidth="1"/>
    <col min="10498" max="10498" width="18.85546875" style="185" customWidth="1"/>
    <col min="10499" max="10499" width="20.140625" style="185" customWidth="1"/>
    <col min="10500" max="10752" width="9" style="185" customWidth="1"/>
    <col min="10753" max="10753" width="21" style="185" customWidth="1"/>
    <col min="10754" max="10754" width="18.85546875" style="185" customWidth="1"/>
    <col min="10755" max="10755" width="20.140625" style="185" customWidth="1"/>
    <col min="10756" max="11008" width="9" style="185" customWidth="1"/>
    <col min="11009" max="11009" width="21" style="185" customWidth="1"/>
    <col min="11010" max="11010" width="18.85546875" style="185" customWidth="1"/>
    <col min="11011" max="11011" width="20.140625" style="185" customWidth="1"/>
    <col min="11012" max="11264" width="9" style="185" customWidth="1"/>
    <col min="11265" max="11265" width="21" style="185" customWidth="1"/>
    <col min="11266" max="11266" width="18.85546875" style="185" customWidth="1"/>
    <col min="11267" max="11267" width="20.140625" style="185" customWidth="1"/>
    <col min="11268" max="11520" width="9" style="185" customWidth="1"/>
    <col min="11521" max="11521" width="21" style="185" customWidth="1"/>
    <col min="11522" max="11522" width="18.85546875" style="185" customWidth="1"/>
    <col min="11523" max="11523" width="20.140625" style="185" customWidth="1"/>
    <col min="11524" max="11776" width="9" style="185" customWidth="1"/>
    <col min="11777" max="11777" width="21" style="185" customWidth="1"/>
    <col min="11778" max="11778" width="18.85546875" style="185" customWidth="1"/>
    <col min="11779" max="11779" width="20.140625" style="185" customWidth="1"/>
    <col min="11780" max="12032" width="9" style="185" customWidth="1"/>
    <col min="12033" max="12033" width="21" style="185" customWidth="1"/>
    <col min="12034" max="12034" width="18.85546875" style="185" customWidth="1"/>
    <col min="12035" max="12035" width="20.140625" style="185" customWidth="1"/>
    <col min="12036" max="12288" width="9" style="185" customWidth="1"/>
    <col min="12289" max="12289" width="21" style="185" customWidth="1"/>
    <col min="12290" max="12290" width="18.85546875" style="185" customWidth="1"/>
    <col min="12291" max="12291" width="20.140625" style="185" customWidth="1"/>
    <col min="12292" max="12544" width="9" style="185" customWidth="1"/>
    <col min="12545" max="12545" width="21" style="185" customWidth="1"/>
    <col min="12546" max="12546" width="18.85546875" style="185" customWidth="1"/>
    <col min="12547" max="12547" width="20.140625" style="185" customWidth="1"/>
    <col min="12548" max="12800" width="9" style="185" customWidth="1"/>
    <col min="12801" max="12801" width="21" style="185" customWidth="1"/>
    <col min="12802" max="12802" width="18.85546875" style="185" customWidth="1"/>
    <col min="12803" max="12803" width="20.140625" style="185" customWidth="1"/>
    <col min="12804" max="13056" width="9" style="185" customWidth="1"/>
    <col min="13057" max="13057" width="21" style="185" customWidth="1"/>
    <col min="13058" max="13058" width="18.85546875" style="185" customWidth="1"/>
    <col min="13059" max="13059" width="20.140625" style="185" customWidth="1"/>
    <col min="13060" max="13312" width="9" style="185" customWidth="1"/>
    <col min="13313" max="13313" width="21" style="185" customWidth="1"/>
    <col min="13314" max="13314" width="18.85546875" style="185" customWidth="1"/>
    <col min="13315" max="13315" width="20.140625" style="185" customWidth="1"/>
    <col min="13316" max="13568" width="9" style="185" customWidth="1"/>
    <col min="13569" max="13569" width="21" style="185" customWidth="1"/>
    <col min="13570" max="13570" width="18.85546875" style="185" customWidth="1"/>
    <col min="13571" max="13571" width="20.140625" style="185" customWidth="1"/>
    <col min="13572" max="13824" width="9" style="185" customWidth="1"/>
    <col min="13825" max="13825" width="21" style="185" customWidth="1"/>
    <col min="13826" max="13826" width="18.85546875" style="185" customWidth="1"/>
    <col min="13827" max="13827" width="20.140625" style="185" customWidth="1"/>
    <col min="13828" max="14080" width="9" style="185" customWidth="1"/>
    <col min="14081" max="14081" width="21" style="185" customWidth="1"/>
    <col min="14082" max="14082" width="18.85546875" style="185" customWidth="1"/>
    <col min="14083" max="14083" width="20.140625" style="185" customWidth="1"/>
    <col min="14084" max="14336" width="9" style="185" customWidth="1"/>
    <col min="14337" max="14337" width="21" style="185" customWidth="1"/>
    <col min="14338" max="14338" width="18.85546875" style="185" customWidth="1"/>
    <col min="14339" max="14339" width="20.140625" style="185" customWidth="1"/>
    <col min="14340" max="14592" width="9" style="185" customWidth="1"/>
    <col min="14593" max="14593" width="21" style="185" customWidth="1"/>
    <col min="14594" max="14594" width="18.85546875" style="185" customWidth="1"/>
    <col min="14595" max="14595" width="20.140625" style="185" customWidth="1"/>
    <col min="14596" max="14848" width="9" style="185" customWidth="1"/>
    <col min="14849" max="14849" width="21" style="185" customWidth="1"/>
    <col min="14850" max="14850" width="18.85546875" style="185" customWidth="1"/>
    <col min="14851" max="14851" width="20.140625" style="185" customWidth="1"/>
    <col min="14852" max="15104" width="9" style="185" customWidth="1"/>
    <col min="15105" max="15105" width="21" style="185" customWidth="1"/>
    <col min="15106" max="15106" width="18.85546875" style="185" customWidth="1"/>
    <col min="15107" max="15107" width="20.140625" style="185" customWidth="1"/>
    <col min="15108" max="15360" width="9" style="185" customWidth="1"/>
    <col min="15361" max="15361" width="21" style="185" customWidth="1"/>
    <col min="15362" max="15362" width="18.85546875" style="185" customWidth="1"/>
    <col min="15363" max="15363" width="20.140625" style="185" customWidth="1"/>
    <col min="15364" max="15616" width="9" style="185" customWidth="1"/>
    <col min="15617" max="15617" width="21" style="185" customWidth="1"/>
    <col min="15618" max="15618" width="18.85546875" style="185" customWidth="1"/>
    <col min="15619" max="15619" width="20.140625" style="185" customWidth="1"/>
    <col min="15620" max="15872" width="9" style="185" customWidth="1"/>
    <col min="15873" max="15873" width="21" style="185" customWidth="1"/>
    <col min="15874" max="15874" width="18.85546875" style="185" customWidth="1"/>
    <col min="15875" max="15875" width="20.140625" style="185" customWidth="1"/>
    <col min="15876" max="16128" width="9" style="185" customWidth="1"/>
    <col min="16129" max="16129" width="21" style="185" customWidth="1"/>
    <col min="16130" max="16130" width="18.85546875" style="185" customWidth="1"/>
    <col min="16131" max="16131" width="20.140625" style="185" customWidth="1"/>
    <col min="16132" max="16132" width="9" style="185" customWidth="1"/>
    <col min="16133" max="16384" width="9.140625" style="186"/>
  </cols>
  <sheetData>
    <row r="1" spans="1:7" ht="12.75" customHeight="1" x14ac:dyDescent="0.3">
      <c r="A1" s="406" t="s">
        <v>30</v>
      </c>
      <c r="B1" s="406"/>
      <c r="C1" s="406"/>
      <c r="D1" s="406"/>
      <c r="E1" s="406"/>
      <c r="F1" s="406"/>
      <c r="G1" s="184"/>
    </row>
    <row r="2" spans="1:7" ht="12.75" customHeight="1" x14ac:dyDescent="0.3">
      <c r="A2" s="406"/>
      <c r="B2" s="406"/>
      <c r="C2" s="406"/>
      <c r="D2" s="406"/>
      <c r="E2" s="406"/>
      <c r="F2" s="406"/>
      <c r="G2" s="184"/>
    </row>
    <row r="3" spans="1:7" ht="12.75" customHeight="1" x14ac:dyDescent="0.3">
      <c r="A3" s="406"/>
      <c r="B3" s="406"/>
      <c r="C3" s="406"/>
      <c r="D3" s="406"/>
      <c r="E3" s="406"/>
      <c r="F3" s="406"/>
      <c r="G3" s="184"/>
    </row>
    <row r="4" spans="1:7" ht="12.75" customHeight="1" x14ac:dyDescent="0.3">
      <c r="A4" s="406"/>
      <c r="B4" s="406"/>
      <c r="C4" s="406"/>
      <c r="D4" s="406"/>
      <c r="E4" s="406"/>
      <c r="F4" s="406"/>
      <c r="G4" s="184"/>
    </row>
    <row r="5" spans="1:7" ht="12.75" customHeight="1" x14ac:dyDescent="0.3">
      <c r="A5" s="406"/>
      <c r="B5" s="406"/>
      <c r="C5" s="406"/>
      <c r="D5" s="406"/>
      <c r="E5" s="406"/>
      <c r="F5" s="406"/>
      <c r="G5" s="184"/>
    </row>
    <row r="6" spans="1:7" ht="12.75" customHeight="1" x14ac:dyDescent="0.3">
      <c r="A6" s="406"/>
      <c r="B6" s="406"/>
      <c r="C6" s="406"/>
      <c r="D6" s="406"/>
      <c r="E6" s="406"/>
      <c r="F6" s="406"/>
      <c r="G6" s="184"/>
    </row>
    <row r="7" spans="1:7" ht="12.75" customHeight="1" x14ac:dyDescent="0.3">
      <c r="A7" s="406"/>
      <c r="B7" s="406"/>
      <c r="C7" s="406"/>
      <c r="D7" s="406"/>
      <c r="E7" s="406"/>
      <c r="F7" s="406"/>
      <c r="G7" s="184"/>
    </row>
    <row r="8" spans="1:7" ht="15" customHeight="1" x14ac:dyDescent="0.3">
      <c r="A8" s="407" t="s">
        <v>31</v>
      </c>
      <c r="B8" s="407"/>
      <c r="C8" s="407"/>
      <c r="D8" s="407"/>
      <c r="E8" s="407"/>
      <c r="F8" s="407"/>
      <c r="G8" s="187"/>
    </row>
    <row r="9" spans="1:7" ht="12.75" customHeight="1" x14ac:dyDescent="0.3">
      <c r="A9" s="407"/>
      <c r="B9" s="407"/>
      <c r="C9" s="407"/>
      <c r="D9" s="407"/>
      <c r="E9" s="407"/>
      <c r="F9" s="407"/>
      <c r="G9" s="187"/>
    </row>
    <row r="10" spans="1:7" ht="12.75" customHeight="1" x14ac:dyDescent="0.3">
      <c r="A10" s="407"/>
      <c r="B10" s="407"/>
      <c r="C10" s="407"/>
      <c r="D10" s="407"/>
      <c r="E10" s="407"/>
      <c r="F10" s="407"/>
      <c r="G10" s="187"/>
    </row>
    <row r="11" spans="1:7" ht="12.75" customHeight="1" x14ac:dyDescent="0.3">
      <c r="A11" s="407"/>
      <c r="B11" s="407"/>
      <c r="C11" s="407"/>
      <c r="D11" s="407"/>
      <c r="E11" s="407"/>
      <c r="F11" s="407"/>
      <c r="G11" s="187"/>
    </row>
    <row r="12" spans="1:7" ht="12.75" customHeight="1" x14ac:dyDescent="0.3">
      <c r="A12" s="407"/>
      <c r="B12" s="407"/>
      <c r="C12" s="407"/>
      <c r="D12" s="407"/>
      <c r="E12" s="407"/>
      <c r="F12" s="407"/>
      <c r="G12" s="187"/>
    </row>
    <row r="13" spans="1:7" ht="12.75" customHeight="1" x14ac:dyDescent="0.3">
      <c r="A13" s="407"/>
      <c r="B13" s="407"/>
      <c r="C13" s="407"/>
      <c r="D13" s="407"/>
      <c r="E13" s="407"/>
      <c r="F13" s="407"/>
      <c r="G13" s="187"/>
    </row>
    <row r="14" spans="1:7" ht="12.75" customHeight="1" x14ac:dyDescent="0.3">
      <c r="A14" s="407"/>
      <c r="B14" s="407"/>
      <c r="C14" s="407"/>
      <c r="D14" s="407"/>
      <c r="E14" s="407"/>
      <c r="F14" s="407"/>
      <c r="G14" s="187"/>
    </row>
    <row r="15" spans="1:7" ht="13.5" customHeight="1" thickBot="1" x14ac:dyDescent="0.35"/>
    <row r="16" spans="1:7" ht="19.5" customHeight="1" thickBot="1" x14ac:dyDescent="0.35">
      <c r="A16" s="408" t="s">
        <v>32</v>
      </c>
      <c r="B16" s="409"/>
      <c r="C16" s="409"/>
      <c r="D16" s="409"/>
      <c r="E16" s="409"/>
      <c r="F16" s="410"/>
    </row>
    <row r="17" spans="1:13" ht="18.75" customHeight="1" x14ac:dyDescent="0.3">
      <c r="A17" s="411" t="s">
        <v>106</v>
      </c>
      <c r="B17" s="411"/>
      <c r="C17" s="411"/>
      <c r="D17" s="411"/>
      <c r="E17" s="411"/>
      <c r="F17" s="411"/>
    </row>
    <row r="18" spans="1:13" x14ac:dyDescent="0.3">
      <c r="B18" s="185" t="e">
        <f>[1]Relative!B13</f>
        <v>#REF!</v>
      </c>
    </row>
    <row r="20" spans="1:13" ht="16.5" customHeight="1" x14ac:dyDescent="0.3">
      <c r="A20" s="188" t="s">
        <v>34</v>
      </c>
      <c r="B20" s="189" t="s">
        <v>5</v>
      </c>
    </row>
    <row r="21" spans="1:13" ht="16.5" customHeight="1" x14ac:dyDescent="0.3">
      <c r="A21" s="188" t="s">
        <v>35</v>
      </c>
      <c r="B21" s="189" t="s">
        <v>7</v>
      </c>
    </row>
    <row r="22" spans="1:13" ht="16.5" customHeight="1" x14ac:dyDescent="0.3">
      <c r="A22" s="188" t="s">
        <v>36</v>
      </c>
      <c r="B22" s="189" t="s">
        <v>113</v>
      </c>
    </row>
    <row r="23" spans="1:13" ht="16.5" customHeight="1" x14ac:dyDescent="0.3">
      <c r="A23" s="188" t="s">
        <v>37</v>
      </c>
      <c r="B23" s="189" t="s">
        <v>114</v>
      </c>
    </row>
    <row r="24" spans="1:13" ht="16.5" customHeight="1" x14ac:dyDescent="0.3">
      <c r="A24" s="188" t="s">
        <v>38</v>
      </c>
      <c r="B24" s="190">
        <v>43111</v>
      </c>
    </row>
    <row r="25" spans="1:13" ht="16.5" customHeight="1" x14ac:dyDescent="0.3">
      <c r="A25" s="188" t="s">
        <v>39</v>
      </c>
      <c r="B25" s="190">
        <v>43111</v>
      </c>
    </row>
    <row r="27" spans="1:13" ht="13.5" customHeight="1" thickBot="1" x14ac:dyDescent="0.35"/>
    <row r="28" spans="1:13" ht="17.25" customHeight="1" thickBot="1" x14ac:dyDescent="0.35">
      <c r="B28" s="191" t="s">
        <v>107</v>
      </c>
      <c r="C28" s="192" t="s">
        <v>108</v>
      </c>
      <c r="D28" s="192" t="s">
        <v>109</v>
      </c>
      <c r="E28" s="193"/>
      <c r="F28" s="193"/>
      <c r="G28" s="193"/>
      <c r="H28" s="194"/>
      <c r="I28" s="193"/>
      <c r="J28" s="193"/>
      <c r="K28" s="193"/>
      <c r="L28" s="186"/>
      <c r="M28" s="186"/>
    </row>
    <row r="29" spans="1:13" ht="16.5" customHeight="1" thickBot="1" x14ac:dyDescent="0.35">
      <c r="B29" s="195">
        <v>15.108750000000001</v>
      </c>
      <c r="C29" s="196">
        <v>26.908629999999999</v>
      </c>
      <c r="D29" s="196">
        <v>29.57516</v>
      </c>
      <c r="E29" s="197"/>
      <c r="F29" s="197"/>
      <c r="G29" s="197"/>
      <c r="H29" s="194"/>
      <c r="I29" s="197"/>
      <c r="J29" s="197"/>
      <c r="K29" s="197"/>
      <c r="L29" s="186"/>
      <c r="M29" s="186"/>
    </row>
    <row r="30" spans="1:13" ht="15.75" customHeight="1" x14ac:dyDescent="0.3">
      <c r="B30" s="198"/>
      <c r="C30" s="196">
        <v>26.908539999999999</v>
      </c>
      <c r="D30" s="196">
        <v>29.575060000000001</v>
      </c>
      <c r="E30" s="197"/>
      <c r="F30" s="197"/>
      <c r="G30" s="197"/>
      <c r="H30" s="194"/>
      <c r="I30" s="197"/>
      <c r="J30" s="197"/>
      <c r="K30" s="197"/>
      <c r="L30" s="186"/>
      <c r="M30" s="186"/>
    </row>
    <row r="31" spans="1:13" ht="16.5" customHeight="1" thickBot="1" x14ac:dyDescent="0.35">
      <c r="B31" s="198"/>
      <c r="C31" s="199">
        <v>26.908460000000002</v>
      </c>
      <c r="D31" s="199">
        <v>29.57497</v>
      </c>
      <c r="E31" s="197"/>
      <c r="F31" s="197"/>
      <c r="G31" s="197"/>
      <c r="H31" s="194"/>
      <c r="I31" s="197"/>
      <c r="J31" s="197"/>
      <c r="K31" s="197"/>
      <c r="L31" s="186"/>
      <c r="M31" s="186"/>
    </row>
    <row r="32" spans="1:13" ht="16.5" customHeight="1" thickBot="1" x14ac:dyDescent="0.35">
      <c r="B32" s="198"/>
      <c r="C32" s="200"/>
      <c r="D32" s="201"/>
      <c r="E32" s="197"/>
      <c r="F32" s="197"/>
      <c r="G32" s="197"/>
      <c r="H32" s="194"/>
      <c r="I32" s="197"/>
      <c r="J32" s="197"/>
      <c r="K32" s="197"/>
      <c r="L32" s="186"/>
      <c r="M32" s="186"/>
    </row>
    <row r="33" spans="1:13" ht="17.25" customHeight="1" thickBot="1" x14ac:dyDescent="0.35">
      <c r="B33" s="202">
        <f>AVERAGE(B29:B32)</f>
        <v>15.108750000000001</v>
      </c>
      <c r="C33" s="202">
        <f>AVERAGE(C29:C32)</f>
        <v>26.908543333333331</v>
      </c>
      <c r="D33" s="202">
        <f>AVERAGE(D29:D32)</f>
        <v>29.575063333333333</v>
      </c>
      <c r="E33" s="203"/>
      <c r="F33" s="203"/>
      <c r="G33" s="203"/>
      <c r="H33" s="194"/>
      <c r="I33" s="203"/>
      <c r="J33" s="203"/>
      <c r="K33" s="203"/>
      <c r="L33" s="186"/>
      <c r="M33" s="186"/>
    </row>
    <row r="34" spans="1:13" ht="16.5" customHeight="1" thickBot="1" x14ac:dyDescent="0.35">
      <c r="B34" s="204"/>
      <c r="C34" s="204"/>
      <c r="D34" s="204"/>
      <c r="E34" s="194"/>
      <c r="F34" s="194"/>
      <c r="G34" s="194"/>
      <c r="H34" s="194"/>
      <c r="I34" s="194"/>
      <c r="J34" s="194"/>
      <c r="K34" s="194"/>
      <c r="L34" s="186"/>
      <c r="M34" s="186"/>
    </row>
    <row r="35" spans="1:13" ht="16.5" customHeight="1" thickBot="1" x14ac:dyDescent="0.35">
      <c r="B35" s="205" t="s">
        <v>110</v>
      </c>
      <c r="C35" s="206">
        <f>C33-B33</f>
        <v>11.79979333333333</v>
      </c>
      <c r="D35" s="204"/>
      <c r="E35" s="194"/>
      <c r="F35" s="207"/>
      <c r="G35" s="194"/>
      <c r="H35" s="194"/>
      <c r="I35" s="194"/>
      <c r="J35" s="207"/>
      <c r="K35" s="194"/>
      <c r="L35" s="186"/>
      <c r="M35" s="186"/>
    </row>
    <row r="36" spans="1:13" ht="16.5" customHeight="1" thickBot="1" x14ac:dyDescent="0.35">
      <c r="B36" s="204"/>
      <c r="C36" s="208"/>
      <c r="D36" s="204"/>
      <c r="E36" s="194"/>
      <c r="F36" s="207"/>
      <c r="G36" s="194"/>
      <c r="H36" s="194"/>
      <c r="I36" s="194"/>
      <c r="J36" s="207"/>
      <c r="K36" s="194"/>
      <c r="L36" s="186"/>
      <c r="M36" s="186"/>
    </row>
    <row r="37" spans="1:13" ht="16.5" customHeight="1" thickBot="1" x14ac:dyDescent="0.35">
      <c r="B37" s="205" t="s">
        <v>111</v>
      </c>
      <c r="C37" s="206">
        <f>D33-B33</f>
        <v>14.466313333333332</v>
      </c>
      <c r="D37" s="204"/>
      <c r="E37" s="194"/>
      <c r="F37" s="207"/>
      <c r="G37" s="194"/>
      <c r="H37" s="194"/>
      <c r="I37" s="194"/>
      <c r="J37" s="207"/>
      <c r="K37" s="194"/>
      <c r="L37" s="186"/>
      <c r="M37" s="186"/>
    </row>
    <row r="38" spans="1:13" ht="16.5" customHeight="1" thickBot="1" x14ac:dyDescent="0.35">
      <c r="B38" s="204"/>
      <c r="C38" s="208"/>
      <c r="D38" s="204"/>
      <c r="E38" s="194"/>
      <c r="F38" s="207"/>
      <c r="G38" s="194"/>
      <c r="H38" s="194"/>
      <c r="I38" s="194"/>
      <c r="J38" s="207"/>
      <c r="K38" s="194"/>
      <c r="L38" s="186"/>
      <c r="M38" s="186"/>
    </row>
    <row r="39" spans="1:13" ht="32.25" customHeight="1" thickBot="1" x14ac:dyDescent="0.35">
      <c r="B39" s="209" t="s">
        <v>112</v>
      </c>
      <c r="C39" s="210">
        <f>C37/C35</f>
        <v>1.2259802290322601</v>
      </c>
      <c r="D39" s="204"/>
      <c r="E39" s="211"/>
      <c r="F39" s="212"/>
      <c r="G39" s="194"/>
      <c r="H39" s="194"/>
      <c r="I39" s="211"/>
      <c r="J39" s="212"/>
      <c r="K39" s="194"/>
      <c r="L39" s="186"/>
      <c r="M39" s="186"/>
    </row>
    <row r="40" spans="1:13" ht="14.25" customHeight="1" thickBot="1" x14ac:dyDescent="0.35">
      <c r="A40" s="213"/>
      <c r="B40" s="214"/>
      <c r="C40" s="215"/>
      <c r="D40" s="216"/>
      <c r="E40" s="215"/>
      <c r="G40" s="194"/>
      <c r="H40" s="194"/>
      <c r="I40" s="217"/>
      <c r="J40" s="186"/>
    </row>
    <row r="41" spans="1:13" ht="16.5" customHeight="1" x14ac:dyDescent="0.3">
      <c r="A41" s="218"/>
      <c r="B41" s="219" t="s">
        <v>25</v>
      </c>
      <c r="C41" s="219"/>
      <c r="D41" s="220" t="s">
        <v>26</v>
      </c>
      <c r="E41" s="221"/>
      <c r="F41" s="220" t="s">
        <v>27</v>
      </c>
      <c r="G41" s="194"/>
      <c r="H41" s="194"/>
      <c r="I41" s="217"/>
      <c r="J41" s="186"/>
    </row>
    <row r="42" spans="1:13" ht="59.25" customHeight="1" x14ac:dyDescent="0.3">
      <c r="A42" s="188" t="s">
        <v>28</v>
      </c>
      <c r="B42" s="222"/>
      <c r="C42" s="218"/>
      <c r="D42" s="222"/>
      <c r="E42" s="218"/>
      <c r="F42" s="222"/>
      <c r="G42" s="194"/>
      <c r="H42" s="194"/>
      <c r="I42" s="217"/>
      <c r="J42" s="186"/>
    </row>
    <row r="43" spans="1:13" ht="59.25" customHeight="1" x14ac:dyDescent="0.3">
      <c r="A43" s="188" t="s">
        <v>29</v>
      </c>
      <c r="B43" s="223"/>
      <c r="C43" s="224"/>
      <c r="D43" s="223"/>
      <c r="E43" s="218"/>
      <c r="F43" s="225"/>
      <c r="G43" s="194"/>
      <c r="H43" s="194"/>
      <c r="I43" s="217"/>
    </row>
    <row r="44" spans="1:13" ht="13.5" customHeight="1" x14ac:dyDescent="0.3">
      <c r="A44" s="194"/>
      <c r="B44" s="194"/>
      <c r="C44" s="194"/>
      <c r="D44" s="217"/>
      <c r="F44" s="194"/>
      <c r="G44" s="194"/>
      <c r="H44" s="194"/>
      <c r="I44" s="217"/>
    </row>
    <row r="45" spans="1:13" ht="13.5" customHeight="1" x14ac:dyDescent="0.3">
      <c r="A45" s="194"/>
      <c r="B45" s="194"/>
      <c r="C45" s="194"/>
      <c r="D45" s="217"/>
      <c r="F45" s="194"/>
      <c r="G45" s="194"/>
      <c r="H45" s="194"/>
      <c r="I45" s="217"/>
    </row>
    <row r="47" spans="1:13" ht="13.5" customHeight="1" x14ac:dyDescent="0.3">
      <c r="A47" s="226"/>
      <c r="B47" s="226"/>
      <c r="C47" s="226"/>
      <c r="F47" s="226"/>
      <c r="G47" s="226"/>
      <c r="H47" s="226"/>
    </row>
    <row r="48" spans="1:13" ht="13.5" customHeight="1" x14ac:dyDescent="0.3">
      <c r="A48" s="227"/>
      <c r="B48" s="227"/>
      <c r="C48" s="227"/>
      <c r="F48" s="227"/>
      <c r="G48" s="227"/>
      <c r="H48" s="227"/>
    </row>
    <row r="49" spans="1:8" x14ac:dyDescent="0.3">
      <c r="B49" s="228"/>
      <c r="C49" s="228"/>
      <c r="G49" s="228"/>
      <c r="H49" s="228"/>
    </row>
    <row r="50" spans="1:8" x14ac:dyDescent="0.3">
      <c r="A50" s="229"/>
      <c r="F50" s="229"/>
    </row>
    <row r="51" spans="1:8" x14ac:dyDescent="0.3">
      <c r="C51" s="230"/>
    </row>
    <row r="52" spans="1:8" x14ac:dyDescent="0.3">
      <c r="C52" s="230"/>
    </row>
    <row r="57" spans="1:8" ht="13.5" customHeight="1" x14ac:dyDescent="0.3">
      <c r="C57" s="194"/>
    </row>
    <row r="250" spans="1:1" x14ac:dyDescent="0.3">
      <c r="A250" s="185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55" zoomScaleNormal="75" workbookViewId="0">
      <selection activeCell="G102" sqref="G102"/>
    </sheetView>
  </sheetViews>
  <sheetFormatPr defaultRowHeight="13.5" x14ac:dyDescent="0.25"/>
  <cols>
    <col min="1" max="1" width="55.42578125" style="245" customWidth="1"/>
    <col min="2" max="2" width="33.7109375" style="245" customWidth="1"/>
    <col min="3" max="3" width="42.28515625" style="245" customWidth="1"/>
    <col min="4" max="4" width="30.5703125" style="245" customWidth="1"/>
    <col min="5" max="5" width="35.42578125" style="245" customWidth="1"/>
    <col min="6" max="6" width="30.7109375" style="245" customWidth="1"/>
    <col min="7" max="7" width="35.42578125" style="245" customWidth="1"/>
    <col min="8" max="9" width="30.28515625" style="245" customWidth="1"/>
    <col min="10" max="10" width="30.42578125" style="245" customWidth="1"/>
    <col min="11" max="11" width="21.28515625" style="245" customWidth="1"/>
    <col min="12" max="12" width="9.140625" style="245" customWidth="1"/>
    <col min="13" max="16384" width="9.140625" style="281"/>
  </cols>
  <sheetData>
    <row r="1" spans="1:8" x14ac:dyDescent="0.25">
      <c r="A1" s="415" t="s">
        <v>30</v>
      </c>
      <c r="B1" s="415"/>
      <c r="C1" s="415"/>
      <c r="D1" s="415"/>
      <c r="E1" s="415"/>
      <c r="F1" s="415"/>
      <c r="G1" s="415"/>
      <c r="H1" s="415"/>
    </row>
    <row r="2" spans="1:8" x14ac:dyDescent="0.25">
      <c r="A2" s="415"/>
      <c r="B2" s="415"/>
      <c r="C2" s="415"/>
      <c r="D2" s="415"/>
      <c r="E2" s="415"/>
      <c r="F2" s="415"/>
      <c r="G2" s="415"/>
      <c r="H2" s="415"/>
    </row>
    <row r="3" spans="1:8" x14ac:dyDescent="0.25">
      <c r="A3" s="415"/>
      <c r="B3" s="415"/>
      <c r="C3" s="415"/>
      <c r="D3" s="415"/>
      <c r="E3" s="415"/>
      <c r="F3" s="415"/>
      <c r="G3" s="415"/>
      <c r="H3" s="415"/>
    </row>
    <row r="4" spans="1:8" x14ac:dyDescent="0.25">
      <c r="A4" s="415"/>
      <c r="B4" s="415"/>
      <c r="C4" s="415"/>
      <c r="D4" s="415"/>
      <c r="E4" s="415"/>
      <c r="F4" s="415"/>
      <c r="G4" s="415"/>
      <c r="H4" s="415"/>
    </row>
    <row r="5" spans="1:8" x14ac:dyDescent="0.25">
      <c r="A5" s="415"/>
      <c r="B5" s="415"/>
      <c r="C5" s="415"/>
      <c r="D5" s="415"/>
      <c r="E5" s="415"/>
      <c r="F5" s="415"/>
      <c r="G5" s="415"/>
      <c r="H5" s="415"/>
    </row>
    <row r="6" spans="1:8" x14ac:dyDescent="0.25">
      <c r="A6" s="415"/>
      <c r="B6" s="415"/>
      <c r="C6" s="415"/>
      <c r="D6" s="415"/>
      <c r="E6" s="415"/>
      <c r="F6" s="415"/>
      <c r="G6" s="415"/>
      <c r="H6" s="415"/>
    </row>
    <row r="7" spans="1:8" x14ac:dyDescent="0.25">
      <c r="A7" s="415"/>
      <c r="B7" s="415"/>
      <c r="C7" s="415"/>
      <c r="D7" s="415"/>
      <c r="E7" s="415"/>
      <c r="F7" s="415"/>
      <c r="G7" s="415"/>
      <c r="H7" s="415"/>
    </row>
    <row r="8" spans="1:8" x14ac:dyDescent="0.25">
      <c r="A8" s="416" t="s">
        <v>31</v>
      </c>
      <c r="B8" s="416"/>
      <c r="C8" s="416"/>
      <c r="D8" s="416"/>
      <c r="E8" s="416"/>
      <c r="F8" s="416"/>
      <c r="G8" s="416"/>
      <c r="H8" s="416"/>
    </row>
    <row r="9" spans="1:8" x14ac:dyDescent="0.25">
      <c r="A9" s="416"/>
      <c r="B9" s="416"/>
      <c r="C9" s="416"/>
      <c r="D9" s="416"/>
      <c r="E9" s="416"/>
      <c r="F9" s="416"/>
      <c r="G9" s="416"/>
      <c r="H9" s="416"/>
    </row>
    <row r="10" spans="1:8" x14ac:dyDescent="0.25">
      <c r="A10" s="416"/>
      <c r="B10" s="416"/>
      <c r="C10" s="416"/>
      <c r="D10" s="416"/>
      <c r="E10" s="416"/>
      <c r="F10" s="416"/>
      <c r="G10" s="416"/>
      <c r="H10" s="416"/>
    </row>
    <row r="11" spans="1:8" x14ac:dyDescent="0.25">
      <c r="A11" s="416"/>
      <c r="B11" s="416"/>
      <c r="C11" s="416"/>
      <c r="D11" s="416"/>
      <c r="E11" s="416"/>
      <c r="F11" s="416"/>
      <c r="G11" s="416"/>
      <c r="H11" s="416"/>
    </row>
    <row r="12" spans="1:8" x14ac:dyDescent="0.25">
      <c r="A12" s="416"/>
      <c r="B12" s="416"/>
      <c r="C12" s="416"/>
      <c r="D12" s="416"/>
      <c r="E12" s="416"/>
      <c r="F12" s="416"/>
      <c r="G12" s="416"/>
      <c r="H12" s="416"/>
    </row>
    <row r="13" spans="1:8" x14ac:dyDescent="0.25">
      <c r="A13" s="416"/>
      <c r="B13" s="416"/>
      <c r="C13" s="416"/>
      <c r="D13" s="416"/>
      <c r="E13" s="416"/>
      <c r="F13" s="416"/>
      <c r="G13" s="416"/>
      <c r="H13" s="416"/>
    </row>
    <row r="14" spans="1:8" ht="19.5" customHeight="1" x14ac:dyDescent="0.25">
      <c r="A14" s="416"/>
      <c r="B14" s="416"/>
      <c r="C14" s="416"/>
      <c r="D14" s="416"/>
      <c r="E14" s="416"/>
      <c r="F14" s="416"/>
      <c r="G14" s="416"/>
      <c r="H14" s="416"/>
    </row>
    <row r="15" spans="1:8" ht="19.5" customHeight="1" thickBot="1" x14ac:dyDescent="0.3"/>
    <row r="16" spans="1:8" ht="19.5" customHeight="1" thickBot="1" x14ac:dyDescent="0.35">
      <c r="A16" s="417" t="s">
        <v>32</v>
      </c>
      <c r="B16" s="418"/>
      <c r="C16" s="418"/>
      <c r="D16" s="418"/>
      <c r="E16" s="418"/>
      <c r="F16" s="418"/>
      <c r="G16" s="418"/>
      <c r="H16" s="419"/>
    </row>
    <row r="17" spans="1:12" ht="20.25" customHeight="1" x14ac:dyDescent="0.25">
      <c r="A17" s="420" t="s">
        <v>33</v>
      </c>
      <c r="B17" s="420"/>
      <c r="C17" s="420"/>
      <c r="D17" s="420"/>
      <c r="E17" s="420"/>
      <c r="F17" s="420"/>
      <c r="G17" s="420"/>
      <c r="H17" s="420"/>
    </row>
    <row r="18" spans="1:12" ht="26.25" customHeight="1" x14ac:dyDescent="0.4">
      <c r="A18" s="288" t="s">
        <v>34</v>
      </c>
      <c r="B18" s="421" t="s">
        <v>5</v>
      </c>
      <c r="C18" s="421"/>
    </row>
    <row r="19" spans="1:12" ht="26.25" customHeight="1" x14ac:dyDescent="0.4">
      <c r="A19" s="288" t="s">
        <v>35</v>
      </c>
      <c r="B19" s="289" t="s">
        <v>7</v>
      </c>
      <c r="C19" s="290">
        <v>23</v>
      </c>
    </row>
    <row r="20" spans="1:12" ht="26.25" customHeight="1" x14ac:dyDescent="0.4">
      <c r="A20" s="288" t="s">
        <v>36</v>
      </c>
      <c r="B20" s="289" t="s">
        <v>115</v>
      </c>
      <c r="C20" s="291"/>
    </row>
    <row r="21" spans="1:12" ht="26.25" customHeight="1" x14ac:dyDescent="0.4">
      <c r="A21" s="288" t="s">
        <v>37</v>
      </c>
      <c r="B21" s="422" t="s">
        <v>11</v>
      </c>
      <c r="C21" s="422"/>
      <c r="D21" s="422"/>
      <c r="E21" s="422"/>
      <c r="F21" s="422"/>
      <c r="G21" s="422"/>
      <c r="H21" s="422"/>
      <c r="I21" s="292"/>
    </row>
    <row r="22" spans="1:12" ht="26.25" customHeight="1" x14ac:dyDescent="0.4">
      <c r="A22" s="288" t="s">
        <v>38</v>
      </c>
      <c r="B22" s="293">
        <v>43125</v>
      </c>
      <c r="C22" s="291"/>
      <c r="D22" s="291"/>
      <c r="E22" s="291"/>
      <c r="F22" s="291"/>
      <c r="G22" s="291"/>
      <c r="H22" s="291"/>
      <c r="I22" s="291"/>
    </row>
    <row r="23" spans="1:12" ht="26.25" customHeight="1" x14ac:dyDescent="0.4">
      <c r="A23" s="288" t="s">
        <v>39</v>
      </c>
      <c r="B23" s="293">
        <v>43132</v>
      </c>
      <c r="C23" s="291"/>
      <c r="D23" s="291"/>
      <c r="E23" s="291"/>
      <c r="F23" s="291"/>
      <c r="G23" s="291"/>
      <c r="H23" s="291"/>
      <c r="I23" s="291"/>
    </row>
    <row r="24" spans="1:12" ht="18.75" x14ac:dyDescent="0.3">
      <c r="A24" s="288"/>
      <c r="B24" s="294"/>
    </row>
    <row r="25" spans="1:12" ht="18.75" x14ac:dyDescent="0.3">
      <c r="B25" s="294"/>
    </row>
    <row r="26" spans="1:12" ht="18.75" x14ac:dyDescent="0.3">
      <c r="A26" s="295" t="s">
        <v>1</v>
      </c>
      <c r="B26" s="423"/>
      <c r="C26" s="423"/>
      <c r="D26" s="423"/>
      <c r="E26" s="423"/>
      <c r="F26" s="423"/>
      <c r="G26" s="423"/>
      <c r="H26" s="423"/>
    </row>
    <row r="27" spans="1:12" ht="26.25" customHeight="1" x14ac:dyDescent="0.4">
      <c r="A27" s="296" t="s">
        <v>4</v>
      </c>
      <c r="B27" s="421" t="s">
        <v>9</v>
      </c>
      <c r="C27" s="421"/>
    </row>
    <row r="28" spans="1:12" ht="26.25" customHeight="1" x14ac:dyDescent="0.4">
      <c r="A28" s="297" t="s">
        <v>40</v>
      </c>
      <c r="B28" s="422" t="s">
        <v>105</v>
      </c>
      <c r="C28" s="422"/>
    </row>
    <row r="29" spans="1:12" ht="27" customHeight="1" thickBot="1" x14ac:dyDescent="0.45">
      <c r="A29" s="297" t="s">
        <v>6</v>
      </c>
      <c r="B29" s="298">
        <v>75.599999999999994</v>
      </c>
    </row>
    <row r="30" spans="1:12" s="249" customFormat="1" ht="27" customHeight="1" thickBot="1" x14ac:dyDescent="0.45">
      <c r="A30" s="297" t="s">
        <v>41</v>
      </c>
      <c r="B30" s="299">
        <v>0</v>
      </c>
      <c r="C30" s="424" t="s">
        <v>42</v>
      </c>
      <c r="D30" s="425"/>
      <c r="E30" s="425"/>
      <c r="F30" s="425"/>
      <c r="G30" s="425"/>
      <c r="H30" s="426"/>
      <c r="I30" s="300"/>
      <c r="J30" s="300"/>
      <c r="K30" s="300"/>
      <c r="L30" s="300"/>
    </row>
    <row r="31" spans="1:12" s="249" customFormat="1" ht="19.5" customHeight="1" thickBot="1" x14ac:dyDescent="0.35">
      <c r="A31" s="297" t="s">
        <v>43</v>
      </c>
      <c r="B31" s="301">
        <f>B29-B30</f>
        <v>75.599999999999994</v>
      </c>
      <c r="C31" s="302"/>
      <c r="D31" s="302"/>
      <c r="E31" s="302"/>
      <c r="F31" s="302"/>
      <c r="G31" s="302"/>
      <c r="H31" s="303"/>
      <c r="I31" s="300"/>
      <c r="J31" s="300"/>
      <c r="K31" s="300"/>
      <c r="L31" s="300"/>
    </row>
    <row r="32" spans="1:12" s="249" customFormat="1" ht="27" customHeight="1" thickBot="1" x14ac:dyDescent="0.45">
      <c r="A32" s="297" t="s">
        <v>44</v>
      </c>
      <c r="B32" s="304">
        <v>427.45800000000003</v>
      </c>
      <c r="C32" s="412" t="s">
        <v>45</v>
      </c>
      <c r="D32" s="413"/>
      <c r="E32" s="413"/>
      <c r="F32" s="413"/>
      <c r="G32" s="413"/>
      <c r="H32" s="414"/>
      <c r="I32" s="300"/>
      <c r="J32" s="300"/>
      <c r="K32" s="300"/>
      <c r="L32" s="300"/>
    </row>
    <row r="33" spans="1:14" s="249" customFormat="1" ht="27" customHeight="1" thickBot="1" x14ac:dyDescent="0.45">
      <c r="A33" s="297" t="s">
        <v>46</v>
      </c>
      <c r="B33" s="304">
        <v>557.59299999999996</v>
      </c>
      <c r="C33" s="412" t="s">
        <v>47</v>
      </c>
      <c r="D33" s="413"/>
      <c r="E33" s="413"/>
      <c r="F33" s="413"/>
      <c r="G33" s="413"/>
      <c r="H33" s="414"/>
      <c r="I33" s="300"/>
      <c r="J33" s="300"/>
      <c r="K33" s="300"/>
      <c r="L33" s="305"/>
      <c r="M33" s="305"/>
      <c r="N33" s="306"/>
    </row>
    <row r="34" spans="1:14" s="249" customFormat="1" ht="17.25" customHeight="1" x14ac:dyDescent="0.3">
      <c r="A34" s="297"/>
      <c r="B34" s="307"/>
      <c r="C34" s="308"/>
      <c r="D34" s="308"/>
      <c r="E34" s="308"/>
      <c r="F34" s="308"/>
      <c r="G34" s="308"/>
      <c r="H34" s="308"/>
      <c r="I34" s="300"/>
      <c r="J34" s="300"/>
      <c r="K34" s="300"/>
      <c r="L34" s="305"/>
      <c r="M34" s="305"/>
      <c r="N34" s="306"/>
    </row>
    <row r="35" spans="1:14" s="249" customFormat="1" ht="18.75" x14ac:dyDescent="0.3">
      <c r="A35" s="297" t="s">
        <v>48</v>
      </c>
      <c r="B35" s="309">
        <f>B32/B33</f>
        <v>0.7666129237633903</v>
      </c>
      <c r="C35" s="310" t="s">
        <v>49</v>
      </c>
      <c r="D35" s="310"/>
      <c r="E35" s="310"/>
      <c r="F35" s="310"/>
      <c r="G35" s="310"/>
      <c r="H35" s="310"/>
      <c r="I35" s="300"/>
      <c r="J35" s="300"/>
      <c r="K35" s="300"/>
      <c r="L35" s="305"/>
      <c r="M35" s="305"/>
      <c r="N35" s="306"/>
    </row>
    <row r="36" spans="1:14" s="249" customFormat="1" ht="19.5" customHeight="1" thickBot="1" x14ac:dyDescent="0.35">
      <c r="A36" s="297"/>
      <c r="B36" s="301"/>
      <c r="H36" s="310"/>
      <c r="I36" s="300"/>
      <c r="J36" s="300"/>
      <c r="K36" s="300"/>
      <c r="L36" s="305"/>
      <c r="M36" s="305"/>
      <c r="N36" s="306"/>
    </row>
    <row r="37" spans="1:14" s="249" customFormat="1" ht="27" customHeight="1" thickBot="1" x14ac:dyDescent="0.45">
      <c r="A37" s="311" t="s">
        <v>50</v>
      </c>
      <c r="B37" s="312">
        <v>25</v>
      </c>
      <c r="C37" s="310"/>
      <c r="D37" s="427" t="s">
        <v>51</v>
      </c>
      <c r="E37" s="428"/>
      <c r="F37" s="313" t="s">
        <v>52</v>
      </c>
      <c r="G37" s="314"/>
      <c r="J37" s="300"/>
      <c r="K37" s="300"/>
      <c r="L37" s="305"/>
      <c r="M37" s="305"/>
      <c r="N37" s="306"/>
    </row>
    <row r="38" spans="1:14" s="249" customFormat="1" ht="26.25" customHeight="1" x14ac:dyDescent="0.4">
      <c r="A38" s="315" t="s">
        <v>53</v>
      </c>
      <c r="B38" s="316">
        <v>5</v>
      </c>
      <c r="C38" s="317" t="s">
        <v>54</v>
      </c>
      <c r="D38" s="318" t="s">
        <v>55</v>
      </c>
      <c r="E38" s="319" t="s">
        <v>56</v>
      </c>
      <c r="F38" s="318" t="s">
        <v>55</v>
      </c>
      <c r="G38" s="320" t="s">
        <v>56</v>
      </c>
      <c r="J38" s="300"/>
      <c r="K38" s="300"/>
      <c r="L38" s="305"/>
      <c r="M38" s="305"/>
      <c r="N38" s="306"/>
    </row>
    <row r="39" spans="1:14" s="249" customFormat="1" ht="26.25" customHeight="1" x14ac:dyDescent="0.4">
      <c r="A39" s="315" t="s">
        <v>57</v>
      </c>
      <c r="B39" s="316">
        <v>100</v>
      </c>
      <c r="C39" s="321">
        <v>1</v>
      </c>
      <c r="D39" s="322">
        <f>525011+533116</f>
        <v>1058127</v>
      </c>
      <c r="E39" s="323">
        <f>IF(ISBLANK(D39),"-",$D$49/$D$46*D39)</f>
        <v>1441680.2950521433</v>
      </c>
      <c r="F39" s="322">
        <f>444396+449462</f>
        <v>893858</v>
      </c>
      <c r="G39" s="324">
        <f>IF(ISBLANK(F39),"-",$D$49/$F$46*F39)</f>
        <v>1445189.4513034965</v>
      </c>
      <c r="J39" s="300"/>
      <c r="K39" s="300"/>
      <c r="L39" s="305"/>
      <c r="M39" s="305"/>
      <c r="N39" s="306"/>
    </row>
    <row r="40" spans="1:14" s="249" customFormat="1" ht="26.25" customHeight="1" x14ac:dyDescent="0.4">
      <c r="A40" s="315" t="s">
        <v>58</v>
      </c>
      <c r="B40" s="316">
        <v>1</v>
      </c>
      <c r="C40" s="325">
        <v>2</v>
      </c>
      <c r="D40" s="326">
        <f>526815+534421</f>
        <v>1061236</v>
      </c>
      <c r="E40" s="327">
        <f>IF(ISBLANK(D40),"-",$D$49/$D$46*D40)</f>
        <v>1445916.2554210944</v>
      </c>
      <c r="F40" s="326">
        <f>444675+450263</f>
        <v>894938</v>
      </c>
      <c r="G40" s="328">
        <f>IF(ISBLANK(F40),"-",$D$49/$F$46*F40)</f>
        <v>1446935.5951064359</v>
      </c>
      <c r="J40" s="300"/>
      <c r="K40" s="300"/>
      <c r="L40" s="305"/>
      <c r="M40" s="305"/>
      <c r="N40" s="306"/>
    </row>
    <row r="41" spans="1:14" ht="26.25" customHeight="1" x14ac:dyDescent="0.4">
      <c r="A41" s="315" t="s">
        <v>59</v>
      </c>
      <c r="B41" s="316">
        <v>1</v>
      </c>
      <c r="C41" s="325">
        <v>3</v>
      </c>
      <c r="D41" s="326">
        <f>527009+530459</f>
        <v>1057468</v>
      </c>
      <c r="E41" s="327">
        <f>IF(ISBLANK(D41),"-",$D$49/$D$46*D41)</f>
        <v>1440782.4186021148</v>
      </c>
      <c r="F41" s="326">
        <f>445025+448349</f>
        <v>893374</v>
      </c>
      <c r="G41" s="328">
        <f>IF(ISBLANK(F41),"-",$D$49/$F$46*F41)</f>
        <v>1444406.9201918088</v>
      </c>
      <c r="L41" s="305"/>
      <c r="M41" s="305"/>
      <c r="N41" s="310"/>
    </row>
    <row r="42" spans="1:14" ht="26.25" customHeight="1" x14ac:dyDescent="0.4">
      <c r="A42" s="315" t="s">
        <v>60</v>
      </c>
      <c r="B42" s="316">
        <v>1</v>
      </c>
      <c r="C42" s="329">
        <v>4</v>
      </c>
      <c r="D42" s="330"/>
      <c r="E42" s="331" t="str">
        <f>IF(ISBLANK(D42),"-",$D$49/$D$46*D42)</f>
        <v>-</v>
      </c>
      <c r="F42" s="330"/>
      <c r="G42" s="332" t="str">
        <f>IF(ISBLANK(F42),"-",$D$49/$F$46*F42)</f>
        <v>-</v>
      </c>
      <c r="L42" s="305"/>
      <c r="M42" s="305"/>
      <c r="N42" s="310"/>
    </row>
    <row r="43" spans="1:14" ht="27" customHeight="1" thickBot="1" x14ac:dyDescent="0.45">
      <c r="A43" s="315" t="s">
        <v>61</v>
      </c>
      <c r="B43" s="316">
        <v>1</v>
      </c>
      <c r="C43" s="333" t="s">
        <v>62</v>
      </c>
      <c r="D43" s="334">
        <f>AVERAGE(D39:D42)</f>
        <v>1058943.6666666667</v>
      </c>
      <c r="E43" s="335">
        <f>AVERAGE(E39:E42)</f>
        <v>1442792.9896917839</v>
      </c>
      <c r="F43" s="336">
        <f>AVERAGE(F39:F42)</f>
        <v>894056.66666666663</v>
      </c>
      <c r="G43" s="337">
        <f>AVERAGE(G39:G42)</f>
        <v>1445510.6555339138</v>
      </c>
    </row>
    <row r="44" spans="1:14" ht="26.25" customHeight="1" x14ac:dyDescent="0.4">
      <c r="A44" s="315" t="s">
        <v>63</v>
      </c>
      <c r="B44" s="298">
        <v>1</v>
      </c>
      <c r="C44" s="338" t="s">
        <v>64</v>
      </c>
      <c r="D44" s="339">
        <v>15.83</v>
      </c>
      <c r="E44" s="310"/>
      <c r="F44" s="340">
        <v>13.34</v>
      </c>
      <c r="G44" s="341"/>
    </row>
    <row r="45" spans="1:14" ht="26.25" customHeight="1" x14ac:dyDescent="0.4">
      <c r="A45" s="315" t="s">
        <v>65</v>
      </c>
      <c r="B45" s="298">
        <v>1</v>
      </c>
      <c r="C45" s="342" t="s">
        <v>66</v>
      </c>
      <c r="D45" s="343">
        <f>D44*$B$35</f>
        <v>12.135482583174468</v>
      </c>
      <c r="E45" s="344"/>
      <c r="F45" s="345">
        <f>F44*$B$35</f>
        <v>10.226616403003627</v>
      </c>
      <c r="G45" s="346"/>
    </row>
    <row r="46" spans="1:14" ht="19.5" customHeight="1" thickBot="1" x14ac:dyDescent="0.35">
      <c r="A46" s="315" t="s">
        <v>67</v>
      </c>
      <c r="B46" s="344">
        <f>(B45/B44)*(B43/B42)*(B41/B40)*(B39/B38)*B37</f>
        <v>500</v>
      </c>
      <c r="C46" s="342" t="s">
        <v>68</v>
      </c>
      <c r="D46" s="347">
        <f>D45*$B$31/100</f>
        <v>9.1744248328798967</v>
      </c>
      <c r="E46" s="346"/>
      <c r="F46" s="348">
        <f>F45*$B$31/100</f>
        <v>7.7313220006707413</v>
      </c>
      <c r="G46" s="346"/>
    </row>
    <row r="47" spans="1:14" ht="19.5" customHeight="1" thickBot="1" x14ac:dyDescent="0.35">
      <c r="A47" s="429" t="s">
        <v>69</v>
      </c>
      <c r="B47" s="430"/>
      <c r="C47" s="342" t="s">
        <v>70</v>
      </c>
      <c r="D47" s="343">
        <f>D46/$B$46</f>
        <v>1.8348849665759795E-2</v>
      </c>
      <c r="E47" s="346"/>
      <c r="F47" s="349">
        <f>F46/$B$46</f>
        <v>1.5462644001341482E-2</v>
      </c>
      <c r="G47" s="346"/>
    </row>
    <row r="48" spans="1:14" ht="27" customHeight="1" thickBot="1" x14ac:dyDescent="0.45">
      <c r="A48" s="431"/>
      <c r="B48" s="432"/>
      <c r="C48" s="342" t="s">
        <v>71</v>
      </c>
      <c r="D48" s="350">
        <v>2.5000000000000001E-2</v>
      </c>
      <c r="E48" s="341"/>
      <c r="F48" s="341"/>
      <c r="G48" s="341"/>
    </row>
    <row r="49" spans="1:12" ht="18.75" x14ac:dyDescent="0.3">
      <c r="C49" s="342" t="s">
        <v>72</v>
      </c>
      <c r="D49" s="347">
        <f>D48*$B$46</f>
        <v>12.5</v>
      </c>
      <c r="E49" s="346"/>
      <c r="F49" s="346"/>
      <c r="G49" s="346"/>
    </row>
    <row r="50" spans="1:12" ht="19.5" customHeight="1" thickBot="1" x14ac:dyDescent="0.35">
      <c r="C50" s="351" t="s">
        <v>73</v>
      </c>
      <c r="D50" s="352">
        <f>D49/B35</f>
        <v>16.305490831847806</v>
      </c>
      <c r="E50" s="353"/>
      <c r="F50" s="353"/>
      <c r="G50" s="353"/>
    </row>
    <row r="51" spans="1:12" ht="18.75" x14ac:dyDescent="0.3">
      <c r="C51" s="354" t="s">
        <v>74</v>
      </c>
      <c r="D51" s="355">
        <f>AVERAGE(E39:E42,G39:G42)</f>
        <v>1444151.8226128491</v>
      </c>
      <c r="E51" s="356"/>
      <c r="F51" s="356"/>
      <c r="G51" s="356"/>
    </row>
    <row r="52" spans="1:12" ht="18.75" x14ac:dyDescent="0.3">
      <c r="C52" s="357" t="s">
        <v>75</v>
      </c>
      <c r="D52" s="358">
        <f>STDEV(E39:E42,G39:G42)/D51</f>
        <v>1.6809719649112948E-3</v>
      </c>
      <c r="E52" s="344"/>
      <c r="F52" s="344"/>
      <c r="G52" s="344"/>
    </row>
    <row r="53" spans="1:12" ht="19.5" customHeight="1" thickBot="1" x14ac:dyDescent="0.35">
      <c r="C53" s="359" t="s">
        <v>19</v>
      </c>
      <c r="D53" s="360">
        <f>COUNT(E39:E42,G39:G42)</f>
        <v>6</v>
      </c>
      <c r="E53" s="344"/>
      <c r="F53" s="344"/>
      <c r="G53" s="344"/>
    </row>
    <row r="55" spans="1:12" ht="18.75" x14ac:dyDescent="0.3">
      <c r="A55" s="295" t="s">
        <v>1</v>
      </c>
      <c r="B55" s="361" t="s">
        <v>76</v>
      </c>
    </row>
    <row r="56" spans="1:12" ht="18.75" x14ac:dyDescent="0.3">
      <c r="A56" s="310" t="s">
        <v>77</v>
      </c>
      <c r="B56" s="362" t="str">
        <f>B21</f>
        <v>Each 5 mL reconsitituted suspension contains: 50 mg Cefpodoxime Proxetil USP equivalent to  Cefpodoxine 50 mg.</v>
      </c>
    </row>
    <row r="57" spans="1:12" ht="26.25" customHeight="1" x14ac:dyDescent="0.4">
      <c r="A57" s="297" t="s">
        <v>78</v>
      </c>
      <c r="B57" s="363">
        <v>5</v>
      </c>
      <c r="C57" s="344" t="s">
        <v>79</v>
      </c>
      <c r="D57" s="364">
        <v>50</v>
      </c>
      <c r="E57" s="344" t="str">
        <f>B20</f>
        <v xml:space="preserve">Cefpodoxime </v>
      </c>
    </row>
    <row r="58" spans="1:12" ht="18.75" x14ac:dyDescent="0.3">
      <c r="A58" s="362" t="s">
        <v>80</v>
      </c>
      <c r="B58" s="365">
        <f>RD!C39</f>
        <v>1.2259802290322601</v>
      </c>
    </row>
    <row r="59" spans="1:12" s="329" customFormat="1" ht="18.75" x14ac:dyDescent="0.3">
      <c r="A59" s="297" t="s">
        <v>81</v>
      </c>
      <c r="B59" s="366">
        <f>B57</f>
        <v>5</v>
      </c>
      <c r="C59" s="344" t="s">
        <v>82</v>
      </c>
      <c r="D59" s="367">
        <f>B58*B57</f>
        <v>6.1299011451613001</v>
      </c>
    </row>
    <row r="60" spans="1:12" ht="19.5" customHeight="1" thickBot="1" x14ac:dyDescent="0.3"/>
    <row r="61" spans="1:12" s="249" customFormat="1" ht="27" customHeight="1" thickBot="1" x14ac:dyDescent="0.45">
      <c r="A61" s="311" t="s">
        <v>83</v>
      </c>
      <c r="B61" s="312">
        <v>100</v>
      </c>
      <c r="C61" s="310"/>
      <c r="D61" s="368" t="s">
        <v>84</v>
      </c>
      <c r="E61" s="369" t="s">
        <v>85</v>
      </c>
      <c r="F61" s="369" t="s">
        <v>55</v>
      </c>
      <c r="G61" s="369" t="s">
        <v>86</v>
      </c>
      <c r="H61" s="317" t="s">
        <v>87</v>
      </c>
      <c r="L61" s="300"/>
    </row>
    <row r="62" spans="1:12" s="249" customFormat="1" ht="24" customHeight="1" x14ac:dyDescent="0.4">
      <c r="A62" s="315" t="s">
        <v>88</v>
      </c>
      <c r="B62" s="316">
        <v>5</v>
      </c>
      <c r="C62" s="433" t="s">
        <v>89</v>
      </c>
      <c r="D62" s="436">
        <v>6.55945</v>
      </c>
      <c r="E62" s="370">
        <v>1</v>
      </c>
      <c r="F62" s="371">
        <f>519682+527222</f>
        <v>1046904</v>
      </c>
      <c r="G62" s="372">
        <f>IF(ISBLANK(F62),"-",(F62/$D$51*$D$48*$B$70)*$D$59/$D$62)</f>
        <v>33.872718715837195</v>
      </c>
      <c r="H62" s="373">
        <f t="shared" ref="H62:H73" si="0">IF(ISBLANK(F62),"-",G62/$D$57)</f>
        <v>0.67745437431674393</v>
      </c>
      <c r="L62" s="300"/>
    </row>
    <row r="63" spans="1:12" s="249" customFormat="1" ht="26.25" customHeight="1" x14ac:dyDescent="0.4">
      <c r="A63" s="315" t="s">
        <v>90</v>
      </c>
      <c r="B63" s="316">
        <v>100</v>
      </c>
      <c r="C63" s="434"/>
      <c r="D63" s="437"/>
      <c r="E63" s="374">
        <v>2</v>
      </c>
      <c r="F63" s="326">
        <f>496595+507756</f>
        <v>1004351</v>
      </c>
      <c r="G63" s="375">
        <f>IF(ISBLANK(F63),"-",(F63/$D$51*$D$48*$B$70)*$D$59/$D$62)</f>
        <v>32.495910718623499</v>
      </c>
      <c r="H63" s="376">
        <f t="shared" si="0"/>
        <v>0.64991821437246999</v>
      </c>
      <c r="L63" s="300"/>
    </row>
    <row r="64" spans="1:12" s="249" customFormat="1" ht="24.75" customHeight="1" x14ac:dyDescent="0.4">
      <c r="A64" s="315" t="s">
        <v>91</v>
      </c>
      <c r="B64" s="316">
        <v>1</v>
      </c>
      <c r="C64" s="434"/>
      <c r="D64" s="437"/>
      <c r="E64" s="374">
        <v>3</v>
      </c>
      <c r="F64" s="326">
        <f>495697+502997</f>
        <v>998694</v>
      </c>
      <c r="G64" s="375">
        <f>IF(ISBLANK(F64),"-",(F64/$D$51*$D$48*$B$70)*$D$59/$D$62)</f>
        <v>32.312877728229438</v>
      </c>
      <c r="H64" s="376">
        <f t="shared" si="0"/>
        <v>0.64625755456458878</v>
      </c>
      <c r="L64" s="300"/>
    </row>
    <row r="65" spans="1:11" ht="27" customHeight="1" thickBot="1" x14ac:dyDescent="0.45">
      <c r="A65" s="315" t="s">
        <v>92</v>
      </c>
      <c r="B65" s="316">
        <v>1</v>
      </c>
      <c r="C65" s="435"/>
      <c r="D65" s="438"/>
      <c r="E65" s="377">
        <v>4</v>
      </c>
      <c r="F65" s="378"/>
      <c r="G65" s="375" t="str">
        <f>IF(ISBLANK(F65),"-",(F65/$D$51*$D$48*$B$70)*$D$59/$D$62)</f>
        <v>-</v>
      </c>
      <c r="H65" s="376" t="str">
        <f t="shared" si="0"/>
        <v>-</v>
      </c>
    </row>
    <row r="66" spans="1:11" ht="24.75" customHeight="1" x14ac:dyDescent="0.4">
      <c r="A66" s="315" t="s">
        <v>93</v>
      </c>
      <c r="B66" s="316">
        <v>1</v>
      </c>
      <c r="C66" s="433" t="s">
        <v>94</v>
      </c>
      <c r="D66" s="436">
        <v>6.0168900000000001</v>
      </c>
      <c r="E66" s="379">
        <v>1</v>
      </c>
      <c r="F66" s="326">
        <f>460971+469095</f>
        <v>930066</v>
      </c>
      <c r="G66" s="372">
        <f>IF(ISBLANK(F66),"-",(F66/$D$51*$D$48*$B$70)*$D$59/$D$66)</f>
        <v>32.805927365989355</v>
      </c>
      <c r="H66" s="373">
        <f t="shared" si="0"/>
        <v>0.65611854731978714</v>
      </c>
    </row>
    <row r="67" spans="1:11" ht="23.25" customHeight="1" x14ac:dyDescent="0.4">
      <c r="A67" s="315" t="s">
        <v>95</v>
      </c>
      <c r="B67" s="316">
        <v>1</v>
      </c>
      <c r="C67" s="434"/>
      <c r="D67" s="437"/>
      <c r="E67" s="380">
        <v>2</v>
      </c>
      <c r="F67" s="326">
        <f>457398+467433</f>
        <v>924831</v>
      </c>
      <c r="G67" s="375">
        <f>IF(ISBLANK(F67),"-",(F67/$D$51*$D$48*$B$70)*$D$59/$D$66)</f>
        <v>32.621274846962798</v>
      </c>
      <c r="H67" s="376">
        <f t="shared" si="0"/>
        <v>0.652425496939256</v>
      </c>
    </row>
    <row r="68" spans="1:11" ht="24.75" customHeight="1" x14ac:dyDescent="0.4">
      <c r="A68" s="315" t="s">
        <v>96</v>
      </c>
      <c r="B68" s="316">
        <v>1</v>
      </c>
      <c r="C68" s="434"/>
      <c r="D68" s="437"/>
      <c r="E68" s="380">
        <v>3</v>
      </c>
      <c r="F68" s="326">
        <f>457326+468670</f>
        <v>925996</v>
      </c>
      <c r="G68" s="375">
        <f>IF(ISBLANK(F68),"-",(F68/$D$51*$D$48*$B$70)*$D$59/$D$66)</f>
        <v>32.662367527892293</v>
      </c>
      <c r="H68" s="376">
        <f t="shared" si="0"/>
        <v>0.65324735055784588</v>
      </c>
    </row>
    <row r="69" spans="1:11" ht="27" customHeight="1" thickBot="1" x14ac:dyDescent="0.45">
      <c r="A69" s="315" t="s">
        <v>97</v>
      </c>
      <c r="B69" s="316">
        <v>1</v>
      </c>
      <c r="C69" s="435"/>
      <c r="D69" s="438"/>
      <c r="E69" s="381">
        <v>4</v>
      </c>
      <c r="F69" s="378"/>
      <c r="G69" s="382" t="str">
        <f>IF(ISBLANK(F69),"-",(F69/$D$51*$D$48*$B$70)*$D$59/$D$66)</f>
        <v>-</v>
      </c>
      <c r="H69" s="383" t="str">
        <f t="shared" si="0"/>
        <v>-</v>
      </c>
    </row>
    <row r="70" spans="1:11" ht="23.25" customHeight="1" x14ac:dyDescent="0.4">
      <c r="A70" s="315" t="s">
        <v>98</v>
      </c>
      <c r="B70" s="325">
        <f>(B69/B68)*(B67/B66)*(B65/B64)*(B63/B62)*B61</f>
        <v>2000</v>
      </c>
      <c r="C70" s="433" t="s">
        <v>99</v>
      </c>
      <c r="D70" s="436">
        <v>5.8490700000000002</v>
      </c>
      <c r="E70" s="379">
        <v>1</v>
      </c>
      <c r="F70" s="371">
        <f>445813+452894</f>
        <v>898707</v>
      </c>
      <c r="G70" s="372">
        <f>IF(ISBLANK(F70),"-",(F70/$D$51*$D$48*$B$70)*$D$59/$D$70)</f>
        <v>32.609333922115248</v>
      </c>
      <c r="H70" s="376">
        <f t="shared" si="0"/>
        <v>0.65218667844230493</v>
      </c>
    </row>
    <row r="71" spans="1:11" ht="22.5" customHeight="1" thickBot="1" x14ac:dyDescent="0.45">
      <c r="A71" s="384" t="s">
        <v>100</v>
      </c>
      <c r="B71" s="385">
        <f>(D48*B70)/D57*D59</f>
        <v>6.1299011451613001</v>
      </c>
      <c r="C71" s="434"/>
      <c r="D71" s="437"/>
      <c r="E71" s="380">
        <v>2</v>
      </c>
      <c r="F71" s="326">
        <f>447373+458409</f>
        <v>905782</v>
      </c>
      <c r="G71" s="375">
        <f>IF(ISBLANK(F71),"-",(F71/$D$51*$D$48*$B$70)*$D$59/$D$70)</f>
        <v>32.866048332372394</v>
      </c>
      <c r="H71" s="376">
        <f t="shared" si="0"/>
        <v>0.65732096664744788</v>
      </c>
    </row>
    <row r="72" spans="1:11" ht="23.25" customHeight="1" x14ac:dyDescent="0.4">
      <c r="A72" s="429" t="s">
        <v>69</v>
      </c>
      <c r="B72" s="440"/>
      <c r="C72" s="434"/>
      <c r="D72" s="437"/>
      <c r="E72" s="380">
        <v>3</v>
      </c>
      <c r="F72" s="326">
        <f>450742+462176</f>
        <v>912918</v>
      </c>
      <c r="G72" s="375">
        <f>IF(ISBLANK(F72),"-",(F72/$D$51*$D$48*$B$70)*$D$59/$D$70)</f>
        <v>33.124976110689701</v>
      </c>
      <c r="H72" s="376">
        <f t="shared" si="0"/>
        <v>0.66249952221379405</v>
      </c>
    </row>
    <row r="73" spans="1:11" ht="23.25" customHeight="1" thickBot="1" x14ac:dyDescent="0.45">
      <c r="A73" s="431"/>
      <c r="B73" s="441"/>
      <c r="C73" s="439"/>
      <c r="D73" s="438"/>
      <c r="E73" s="381">
        <v>4</v>
      </c>
      <c r="F73" s="378"/>
      <c r="G73" s="382" t="str">
        <f>IF(ISBLANK(F73),"-",(F73/$D$51*$D$48*$B$70)*$D$59/$D$70)</f>
        <v>-</v>
      </c>
      <c r="H73" s="383" t="str">
        <f t="shared" si="0"/>
        <v>-</v>
      </c>
    </row>
    <row r="74" spans="1:11" ht="26.25" customHeight="1" x14ac:dyDescent="0.4">
      <c r="A74" s="344"/>
      <c r="B74" s="344"/>
      <c r="C74" s="344"/>
      <c r="D74" s="344"/>
      <c r="E74" s="344"/>
      <c r="F74" s="344"/>
      <c r="G74" s="386" t="s">
        <v>62</v>
      </c>
      <c r="H74" s="387">
        <f>AVERAGE(H62:H73)</f>
        <v>0.65638096726380424</v>
      </c>
    </row>
    <row r="75" spans="1:11" ht="26.25" customHeight="1" x14ac:dyDescent="0.4">
      <c r="C75" s="344"/>
      <c r="D75" s="344"/>
      <c r="E75" s="344"/>
      <c r="F75" s="344"/>
      <c r="G75" s="357" t="s">
        <v>75</v>
      </c>
      <c r="H75" s="388">
        <f>STDEV(H62:H73)/H74</f>
        <v>1.3940134242719514E-2</v>
      </c>
    </row>
    <row r="76" spans="1:11" ht="27" customHeight="1" thickBot="1" x14ac:dyDescent="0.45">
      <c r="A76" s="344"/>
      <c r="B76" s="344"/>
      <c r="C76" s="344"/>
      <c r="D76" s="346"/>
      <c r="E76" s="346"/>
      <c r="F76" s="344"/>
      <c r="G76" s="359" t="s">
        <v>19</v>
      </c>
      <c r="H76" s="389">
        <f>COUNT(H62:H73)</f>
        <v>9</v>
      </c>
    </row>
    <row r="77" spans="1:11" ht="18.75" x14ac:dyDescent="0.3">
      <c r="A77" s="344"/>
      <c r="B77" s="344"/>
      <c r="C77" s="344"/>
      <c r="D77" s="346"/>
      <c r="E77" s="346"/>
      <c r="F77" s="346"/>
      <c r="G77" s="346"/>
      <c r="H77" s="344"/>
      <c r="I77" s="310"/>
      <c r="J77" s="297"/>
      <c r="K77" s="301"/>
    </row>
    <row r="78" spans="1:11" ht="26.25" customHeight="1" x14ac:dyDescent="0.4">
      <c r="A78" s="296" t="s">
        <v>101</v>
      </c>
      <c r="B78" s="297" t="s">
        <v>102</v>
      </c>
      <c r="C78" s="423" t="str">
        <f>B20</f>
        <v xml:space="preserve">Cefpodoxime </v>
      </c>
      <c r="D78" s="423"/>
      <c r="E78" s="310" t="s">
        <v>103</v>
      </c>
      <c r="F78" s="310"/>
      <c r="G78" s="390">
        <f>H74</f>
        <v>0.65638096726380424</v>
      </c>
      <c r="H78" s="344"/>
      <c r="I78" s="310"/>
      <c r="J78" s="297"/>
      <c r="K78" s="301"/>
    </row>
    <row r="79" spans="1:11" ht="19.5" customHeight="1" thickBot="1" x14ac:dyDescent="0.35">
      <c r="A79" s="391"/>
      <c r="B79" s="392"/>
      <c r="C79" s="393"/>
      <c r="D79" s="393"/>
      <c r="E79" s="392"/>
      <c r="F79" s="392"/>
      <c r="G79" s="392"/>
      <c r="H79" s="392"/>
    </row>
    <row r="80" spans="1:11" ht="18.75" x14ac:dyDescent="0.3">
      <c r="A80" s="295" t="s">
        <v>1</v>
      </c>
      <c r="B80" s="423" t="s">
        <v>104</v>
      </c>
      <c r="C80" s="423"/>
      <c r="D80" s="423"/>
      <c r="E80" s="423"/>
      <c r="F80" s="423"/>
      <c r="G80" s="423"/>
      <c r="H80" s="423"/>
    </row>
    <row r="81" spans="1:8" ht="26.25" customHeight="1" x14ac:dyDescent="0.4">
      <c r="A81" s="296" t="s">
        <v>4</v>
      </c>
      <c r="B81" s="421" t="s">
        <v>9</v>
      </c>
      <c r="C81" s="421"/>
    </row>
    <row r="82" spans="1:8" ht="26.25" customHeight="1" x14ac:dyDescent="0.4">
      <c r="A82" s="297" t="s">
        <v>40</v>
      </c>
      <c r="B82" s="422" t="s">
        <v>105</v>
      </c>
      <c r="C82" s="422"/>
    </row>
    <row r="83" spans="1:8" ht="27" customHeight="1" thickBot="1" x14ac:dyDescent="0.45">
      <c r="A83" s="297" t="s">
        <v>6</v>
      </c>
      <c r="B83" s="298">
        <v>75.599999999999994</v>
      </c>
    </row>
    <row r="84" spans="1:8" ht="27" customHeight="1" thickBot="1" x14ac:dyDescent="0.45">
      <c r="A84" s="297" t="s">
        <v>41</v>
      </c>
      <c r="B84" s="299">
        <v>0</v>
      </c>
      <c r="C84" s="424" t="s">
        <v>42</v>
      </c>
      <c r="D84" s="425"/>
      <c r="E84" s="425"/>
      <c r="F84" s="425"/>
      <c r="G84" s="425"/>
      <c r="H84" s="426"/>
    </row>
    <row r="85" spans="1:8" ht="19.5" customHeight="1" thickBot="1" x14ac:dyDescent="0.35">
      <c r="A85" s="297" t="s">
        <v>43</v>
      </c>
      <c r="B85" s="301">
        <f>B83-B84</f>
        <v>75.599999999999994</v>
      </c>
      <c r="C85" s="302"/>
      <c r="D85" s="302"/>
      <c r="E85" s="302"/>
      <c r="F85" s="302"/>
      <c r="G85" s="302"/>
      <c r="H85" s="303"/>
    </row>
    <row r="86" spans="1:8" ht="27" customHeight="1" thickBot="1" x14ac:dyDescent="0.45">
      <c r="A86" s="297" t="s">
        <v>44</v>
      </c>
      <c r="B86" s="304">
        <v>427.45800000000003</v>
      </c>
      <c r="C86" s="412" t="s">
        <v>45</v>
      </c>
      <c r="D86" s="413"/>
      <c r="E86" s="413"/>
      <c r="F86" s="413"/>
      <c r="G86" s="413"/>
      <c r="H86" s="414"/>
    </row>
    <row r="87" spans="1:8" ht="27" customHeight="1" thickBot="1" x14ac:dyDescent="0.45">
      <c r="A87" s="297" t="s">
        <v>46</v>
      </c>
      <c r="B87" s="304">
        <v>557.59299999999996</v>
      </c>
      <c r="C87" s="412" t="s">
        <v>47</v>
      </c>
      <c r="D87" s="413"/>
      <c r="E87" s="413"/>
      <c r="F87" s="413"/>
      <c r="G87" s="413"/>
      <c r="H87" s="414"/>
    </row>
    <row r="88" spans="1:8" ht="18.75" x14ac:dyDescent="0.3">
      <c r="A88" s="297"/>
      <c r="B88" s="307"/>
      <c r="C88" s="308"/>
      <c r="D88" s="308"/>
      <c r="E88" s="308"/>
      <c r="F88" s="308"/>
      <c r="G88" s="308"/>
      <c r="H88" s="308"/>
    </row>
    <row r="89" spans="1:8" ht="18.75" x14ac:dyDescent="0.3">
      <c r="A89" s="297" t="s">
        <v>48</v>
      </c>
      <c r="B89" s="309">
        <f>B86/B87</f>
        <v>0.7666129237633903</v>
      </c>
      <c r="C89" s="310" t="s">
        <v>49</v>
      </c>
    </row>
    <row r="90" spans="1:8" ht="19.5" customHeight="1" thickBot="1" x14ac:dyDescent="0.35">
      <c r="A90" s="297"/>
      <c r="B90" s="301"/>
      <c r="C90" s="306"/>
      <c r="D90" s="306"/>
      <c r="E90" s="306"/>
      <c r="F90" s="306"/>
      <c r="G90" s="306"/>
    </row>
    <row r="91" spans="1:8" ht="27" customHeight="1" thickBot="1" x14ac:dyDescent="0.45">
      <c r="A91" s="311" t="s">
        <v>50</v>
      </c>
      <c r="B91" s="312">
        <v>25</v>
      </c>
      <c r="D91" s="427" t="s">
        <v>51</v>
      </c>
      <c r="E91" s="442"/>
      <c r="F91" s="313" t="s">
        <v>52</v>
      </c>
      <c r="G91" s="314"/>
      <c r="H91" s="306"/>
    </row>
    <row r="92" spans="1:8" ht="26.25" customHeight="1" x14ac:dyDescent="0.4">
      <c r="A92" s="315" t="s">
        <v>53</v>
      </c>
      <c r="B92" s="316">
        <v>5</v>
      </c>
      <c r="C92" s="317" t="s">
        <v>54</v>
      </c>
      <c r="D92" s="318" t="s">
        <v>55</v>
      </c>
      <c r="E92" s="320" t="s">
        <v>56</v>
      </c>
      <c r="F92" s="318" t="s">
        <v>55</v>
      </c>
      <c r="G92" s="320" t="s">
        <v>56</v>
      </c>
      <c r="H92" s="306"/>
    </row>
    <row r="93" spans="1:8" ht="26.25" customHeight="1" x14ac:dyDescent="0.4">
      <c r="A93" s="315" t="s">
        <v>57</v>
      </c>
      <c r="B93" s="316">
        <v>100</v>
      </c>
      <c r="C93" s="321">
        <v>1</v>
      </c>
      <c r="D93" s="322">
        <f>3537574+3576125</f>
        <v>7113699</v>
      </c>
      <c r="E93" s="324">
        <f>IF(ISBLANK(D93),"-",$D$103/$D$100*D93)</f>
        <v>11306487.800375175</v>
      </c>
      <c r="F93" s="322">
        <f>5002002+5061301</f>
        <v>10063303</v>
      </c>
      <c r="G93" s="324">
        <f>IF(ISBLANK(F93),"-",$D$103/$F$100*F93)</f>
        <v>11688014.092580235</v>
      </c>
      <c r="H93" s="306"/>
    </row>
    <row r="94" spans="1:8" ht="26.25" customHeight="1" x14ac:dyDescent="0.4">
      <c r="A94" s="315" t="s">
        <v>58</v>
      </c>
      <c r="B94" s="316">
        <v>1</v>
      </c>
      <c r="C94" s="325">
        <v>2</v>
      </c>
      <c r="D94" s="326">
        <f>3539707+3577031</f>
        <v>7116738</v>
      </c>
      <c r="E94" s="328">
        <f>IF(ISBLANK(D94),"-",$D$103/$D$100*D94)</f>
        <v>11311317.976128371</v>
      </c>
      <c r="F94" s="326">
        <f>5002000+5049920</f>
        <v>10051920</v>
      </c>
      <c r="G94" s="328">
        <f>IF(ISBLANK(F94),"-",$D$103/$F$100*F94)</f>
        <v>11674793.317610443</v>
      </c>
      <c r="H94" s="306"/>
    </row>
    <row r="95" spans="1:8" ht="26.25" customHeight="1" x14ac:dyDescent="0.4">
      <c r="A95" s="315" t="s">
        <v>59</v>
      </c>
      <c r="B95" s="316">
        <v>1</v>
      </c>
      <c r="C95" s="325">
        <v>3</v>
      </c>
      <c r="D95" s="326">
        <f>3562257+3593836</f>
        <v>7156093</v>
      </c>
      <c r="E95" s="328">
        <f>IF(ISBLANK(D95),"-",$D$103/$D$100*D95)</f>
        <v>11373868.672662448</v>
      </c>
      <c r="F95" s="326">
        <f>4992726+5047908</f>
        <v>10040634</v>
      </c>
      <c r="G95" s="328">
        <f>IF(ISBLANK(F95),"-",$D$103/$F$100*F95)</f>
        <v>11661685.203202195</v>
      </c>
    </row>
    <row r="96" spans="1:8" ht="26.25" customHeight="1" x14ac:dyDescent="0.4">
      <c r="A96" s="315" t="s">
        <v>60</v>
      </c>
      <c r="B96" s="316">
        <v>1</v>
      </c>
      <c r="C96" s="329">
        <v>4</v>
      </c>
      <c r="D96" s="330"/>
      <c r="E96" s="332" t="str">
        <f>IF(ISBLANK(D96),"-",$D$103/$D$100*D96)</f>
        <v>-</v>
      </c>
      <c r="F96" s="330"/>
      <c r="G96" s="332" t="str">
        <f>IF(ISBLANK(F96),"-",$D$103/$F$100*F96)</f>
        <v>-</v>
      </c>
    </row>
    <row r="97" spans="1:7" ht="27" customHeight="1" thickBot="1" x14ac:dyDescent="0.45">
      <c r="A97" s="315" t="s">
        <v>61</v>
      </c>
      <c r="B97" s="316">
        <v>1</v>
      </c>
      <c r="C97" s="333" t="s">
        <v>62</v>
      </c>
      <c r="D97" s="336">
        <f>AVERAGE(D93:D96)</f>
        <v>7128843.333333333</v>
      </c>
      <c r="E97" s="337">
        <f>AVERAGE(E93:E96)</f>
        <v>11330558.149722001</v>
      </c>
      <c r="F97" s="336">
        <f>AVERAGE(F93:F96)</f>
        <v>10051952.333333334</v>
      </c>
      <c r="G97" s="337">
        <f>AVERAGE(G93:G96)</f>
        <v>11674830.871130958</v>
      </c>
    </row>
    <row r="98" spans="1:7" ht="26.25" customHeight="1" x14ac:dyDescent="0.4">
      <c r="A98" s="315" t="s">
        <v>63</v>
      </c>
      <c r="B98" s="298">
        <v>1</v>
      </c>
      <c r="C98" s="338" t="s">
        <v>64</v>
      </c>
      <c r="D98" s="339">
        <v>13.57</v>
      </c>
      <c r="E98" s="310"/>
      <c r="F98" s="340">
        <v>18.57</v>
      </c>
      <c r="G98" s="341"/>
    </row>
    <row r="99" spans="1:7" ht="26.25" customHeight="1" x14ac:dyDescent="0.4">
      <c r="A99" s="315" t="s">
        <v>65</v>
      </c>
      <c r="B99" s="298">
        <v>1</v>
      </c>
      <c r="C99" s="342" t="s">
        <v>66</v>
      </c>
      <c r="D99" s="343">
        <f>D98*$B$89</f>
        <v>10.402937375469207</v>
      </c>
      <c r="E99" s="344"/>
      <c r="F99" s="345">
        <f>F98*$B$89</f>
        <v>14.236001994286157</v>
      </c>
      <c r="G99" s="346"/>
    </row>
    <row r="100" spans="1:7" ht="19.5" customHeight="1" thickBot="1" x14ac:dyDescent="0.35">
      <c r="A100" s="315" t="s">
        <v>67</v>
      </c>
      <c r="B100" s="344">
        <f>(B99/B98)*(B97/B96)*(B95/B94)*(B93/B92)*B91</f>
        <v>500</v>
      </c>
      <c r="C100" s="342" t="s">
        <v>68</v>
      </c>
      <c r="D100" s="347">
        <f>D99*$B$85/100</f>
        <v>7.8646206558547203</v>
      </c>
      <c r="E100" s="346"/>
      <c r="F100" s="348">
        <f>F99*$B$85/100</f>
        <v>10.762417507680334</v>
      </c>
      <c r="G100" s="346"/>
    </row>
    <row r="101" spans="1:7" ht="19.5" customHeight="1" thickBot="1" x14ac:dyDescent="0.35">
      <c r="A101" s="429" t="s">
        <v>69</v>
      </c>
      <c r="B101" s="430"/>
      <c r="C101" s="342" t="s">
        <v>70</v>
      </c>
      <c r="D101" s="343">
        <f>D100/$B$100</f>
        <v>1.5729241311709441E-2</v>
      </c>
      <c r="E101" s="346"/>
      <c r="F101" s="349">
        <f>F100/$B$100</f>
        <v>2.152483501536067E-2</v>
      </c>
      <c r="G101" s="346"/>
    </row>
    <row r="102" spans="1:7" ht="27" customHeight="1" thickBot="1" x14ac:dyDescent="0.45">
      <c r="A102" s="431"/>
      <c r="B102" s="432"/>
      <c r="C102" s="342" t="s">
        <v>71</v>
      </c>
      <c r="D102" s="350">
        <v>2.5000000000000001E-2</v>
      </c>
      <c r="E102" s="341"/>
      <c r="F102" s="341"/>
      <c r="G102" s="341"/>
    </row>
    <row r="103" spans="1:7" ht="18.75" x14ac:dyDescent="0.3">
      <c r="C103" s="342" t="s">
        <v>72</v>
      </c>
      <c r="D103" s="347">
        <f>D102*$B$100</f>
        <v>12.5</v>
      </c>
      <c r="E103" s="346"/>
      <c r="F103" s="346"/>
      <c r="G103" s="346"/>
    </row>
    <row r="104" spans="1:7" ht="19.5" customHeight="1" thickBot="1" x14ac:dyDescent="0.35">
      <c r="C104" s="351" t="s">
        <v>73</v>
      </c>
      <c r="D104" s="352">
        <f>D103/B89</f>
        <v>16.305490831847806</v>
      </c>
      <c r="E104" s="353"/>
      <c r="F104" s="353"/>
      <c r="G104" s="353"/>
    </row>
    <row r="105" spans="1:7" ht="18.75" x14ac:dyDescent="0.3">
      <c r="C105" s="354" t="s">
        <v>74</v>
      </c>
      <c r="D105" s="355">
        <f>AVERAGE(E93:E96,G93:G96)</f>
        <v>11502694.510426478</v>
      </c>
      <c r="E105" s="356"/>
      <c r="F105" s="356"/>
      <c r="G105" s="356"/>
    </row>
    <row r="106" spans="1:7" ht="18.75" x14ac:dyDescent="0.3">
      <c r="C106" s="357" t="s">
        <v>75</v>
      </c>
      <c r="D106" s="358">
        <f>STDEV(E93:E96,G93:G96)/D105</f>
        <v>1.6538790558806613E-2</v>
      </c>
      <c r="E106" s="344"/>
      <c r="F106" s="344"/>
      <c r="G106" s="344"/>
    </row>
    <row r="107" spans="1:7" ht="19.5" customHeight="1" thickBot="1" x14ac:dyDescent="0.35">
      <c r="C107" s="359" t="s">
        <v>19</v>
      </c>
      <c r="D107" s="360">
        <f>COUNT(E93:E96,G93:G96)</f>
        <v>6</v>
      </c>
      <c r="E107" s="344"/>
      <c r="F107" s="344"/>
      <c r="G107" s="344"/>
    </row>
    <row r="109" spans="1:7" ht="18.75" x14ac:dyDescent="0.3">
      <c r="A109" s="295" t="s">
        <v>1</v>
      </c>
      <c r="B109" s="361" t="s">
        <v>76</v>
      </c>
    </row>
    <row r="110" spans="1:7" ht="18.75" x14ac:dyDescent="0.3">
      <c r="A110" s="310" t="s">
        <v>77</v>
      </c>
      <c r="B110" s="362" t="str">
        <f>B21</f>
        <v>Each 5 mL reconsitituted suspension contains: 50 mg Cefpodoxime Proxetil USP equivalent to  Cefpodoxine 50 mg.</v>
      </c>
    </row>
    <row r="111" spans="1:7" ht="26.25" customHeight="1" x14ac:dyDescent="0.4">
      <c r="A111" s="297" t="s">
        <v>78</v>
      </c>
      <c r="B111" s="363">
        <v>5</v>
      </c>
      <c r="C111" s="344" t="s">
        <v>79</v>
      </c>
      <c r="D111" s="364">
        <v>50</v>
      </c>
      <c r="E111" s="344" t="str">
        <f>B20</f>
        <v xml:space="preserve">Cefpodoxime </v>
      </c>
    </row>
    <row r="112" spans="1:7" ht="18.75" x14ac:dyDescent="0.3">
      <c r="A112" s="362" t="s">
        <v>80</v>
      </c>
      <c r="B112" s="365">
        <f>RD!C39</f>
        <v>1.2259802290322601</v>
      </c>
    </row>
    <row r="113" spans="1:8" ht="18.75" x14ac:dyDescent="0.3">
      <c r="A113" s="297" t="s">
        <v>81</v>
      </c>
      <c r="B113" s="366">
        <f>B111</f>
        <v>5</v>
      </c>
      <c r="C113" s="344" t="s">
        <v>82</v>
      </c>
      <c r="D113" s="367">
        <f>B112*B111</f>
        <v>6.1299011451613001</v>
      </c>
      <c r="E113" s="310"/>
      <c r="F113" s="310"/>
      <c r="G113" s="310"/>
      <c r="H113" s="310"/>
    </row>
    <row r="114" spans="1:8" ht="19.5" customHeight="1" thickBot="1" x14ac:dyDescent="0.3"/>
    <row r="115" spans="1:8" ht="27" customHeight="1" thickBot="1" x14ac:dyDescent="0.45">
      <c r="A115" s="311" t="s">
        <v>83</v>
      </c>
      <c r="B115" s="312">
        <v>100</v>
      </c>
      <c r="D115" s="368" t="s">
        <v>84</v>
      </c>
      <c r="E115" s="369" t="s">
        <v>85</v>
      </c>
      <c r="F115" s="369" t="s">
        <v>55</v>
      </c>
      <c r="G115" s="369" t="s">
        <v>86</v>
      </c>
      <c r="H115" s="317" t="s">
        <v>87</v>
      </c>
    </row>
    <row r="116" spans="1:8" ht="26.25" customHeight="1" x14ac:dyDescent="0.4">
      <c r="A116" s="315" t="s">
        <v>88</v>
      </c>
      <c r="B116" s="316">
        <v>5</v>
      </c>
      <c r="C116" s="433" t="s">
        <v>89</v>
      </c>
      <c r="D116" s="436">
        <v>6.1737200000000003</v>
      </c>
      <c r="E116" s="370">
        <v>1</v>
      </c>
      <c r="F116" s="371">
        <f>3916686+3972258</f>
        <v>7888944</v>
      </c>
      <c r="G116" s="372">
        <f>IF(ISBLANK(F116),"-",(F116/$D$105*$D$102*$B$124)*$D$113/$D$116)</f>
        <v>34.048331423688168</v>
      </c>
      <c r="H116" s="394">
        <f t="shared" ref="H116:H127" si="1">IF(ISBLANK(F116),"-",G116/$D$111)</f>
        <v>0.68096662847376332</v>
      </c>
    </row>
    <row r="117" spans="1:8" ht="26.25" customHeight="1" x14ac:dyDescent="0.4">
      <c r="A117" s="315" t="s">
        <v>90</v>
      </c>
      <c r="B117" s="316">
        <v>100</v>
      </c>
      <c r="C117" s="434"/>
      <c r="D117" s="437"/>
      <c r="E117" s="374">
        <v>2</v>
      </c>
      <c r="F117" s="326">
        <f>3938737+3999792</f>
        <v>7938529</v>
      </c>
      <c r="G117" s="375">
        <f>IF(ISBLANK(F117),"-",(F117/$D$105*$D$102*$B$124)*$D$113/$D$116)</f>
        <v>34.262338078272556</v>
      </c>
      <c r="H117" s="395">
        <f t="shared" si="1"/>
        <v>0.68524676156545117</v>
      </c>
    </row>
    <row r="118" spans="1:8" ht="26.25" customHeight="1" x14ac:dyDescent="0.4">
      <c r="A118" s="315" t="s">
        <v>91</v>
      </c>
      <c r="B118" s="316">
        <v>1</v>
      </c>
      <c r="C118" s="434"/>
      <c r="D118" s="437"/>
      <c r="E118" s="374">
        <v>3</v>
      </c>
      <c r="F118" s="326">
        <f>3917353+3969266</f>
        <v>7886619</v>
      </c>
      <c r="G118" s="375">
        <f>IF(ISBLANK(F118),"-",(F118/$D$105*$D$102*$B$124)*$D$113/$D$116)</f>
        <v>34.0382968270983</v>
      </c>
      <c r="H118" s="395">
        <f t="shared" si="1"/>
        <v>0.68076593654196604</v>
      </c>
    </row>
    <row r="119" spans="1:8" ht="27" customHeight="1" thickBot="1" x14ac:dyDescent="0.45">
      <c r="A119" s="315" t="s">
        <v>92</v>
      </c>
      <c r="B119" s="316">
        <v>1</v>
      </c>
      <c r="C119" s="435"/>
      <c r="D119" s="438"/>
      <c r="E119" s="377">
        <v>4</v>
      </c>
      <c r="F119" s="378"/>
      <c r="G119" s="382" t="str">
        <f>IF(ISBLANK(F119),"-",(F119/$D$105*$D$102*$B$124)*$D$113/$D$116)</f>
        <v>-</v>
      </c>
      <c r="H119" s="396" t="str">
        <f t="shared" si="1"/>
        <v>-</v>
      </c>
    </row>
    <row r="120" spans="1:8" ht="26.25" customHeight="1" x14ac:dyDescent="0.4">
      <c r="A120" s="315" t="s">
        <v>93</v>
      </c>
      <c r="B120" s="316">
        <v>1</v>
      </c>
      <c r="C120" s="433" t="s">
        <v>94</v>
      </c>
      <c r="D120" s="436">
        <v>5.8359399999999999</v>
      </c>
      <c r="E120" s="379">
        <v>1</v>
      </c>
      <c r="F120" s="326">
        <f>3746704+3798998</f>
        <v>7545702</v>
      </c>
      <c r="G120" s="372">
        <f>IF(ISBLANK(F120),"-",(F120/$D$105*$D$102*$B$124)*$D$113/$D$120)</f>
        <v>34.451863735292804</v>
      </c>
      <c r="H120" s="394">
        <f t="shared" si="1"/>
        <v>0.68903727470585607</v>
      </c>
    </row>
    <row r="121" spans="1:8" ht="26.25" customHeight="1" x14ac:dyDescent="0.4">
      <c r="A121" s="315" t="s">
        <v>95</v>
      </c>
      <c r="B121" s="316">
        <v>1</v>
      </c>
      <c r="C121" s="434"/>
      <c r="D121" s="437"/>
      <c r="E121" s="380">
        <v>2</v>
      </c>
      <c r="F121" s="326">
        <f>3733909+3777900</f>
        <v>7511809</v>
      </c>
      <c r="G121" s="375">
        <f>IF(ISBLANK(F121),"-",(F121/$D$105*$D$102*$B$124)*$D$113/$D$120)</f>
        <v>34.297116434434606</v>
      </c>
      <c r="H121" s="395">
        <f t="shared" si="1"/>
        <v>0.68594232868869209</v>
      </c>
    </row>
    <row r="122" spans="1:8" ht="26.25" customHeight="1" x14ac:dyDescent="0.4">
      <c r="A122" s="315" t="s">
        <v>96</v>
      </c>
      <c r="B122" s="316">
        <v>1</v>
      </c>
      <c r="C122" s="434"/>
      <c r="D122" s="437"/>
      <c r="E122" s="380">
        <v>3</v>
      </c>
      <c r="F122" s="326">
        <f>3740437+3797251</f>
        <v>7537688</v>
      </c>
      <c r="G122" s="375">
        <f>IF(ISBLANK(F122),"-",(F122/$D$105*$D$102*$B$124)*$D$113/$D$120)</f>
        <v>34.415273735320021</v>
      </c>
      <c r="H122" s="395">
        <f t="shared" si="1"/>
        <v>0.68830547470640047</v>
      </c>
    </row>
    <row r="123" spans="1:8" ht="27" customHeight="1" thickBot="1" x14ac:dyDescent="0.45">
      <c r="A123" s="315" t="s">
        <v>97</v>
      </c>
      <c r="B123" s="316">
        <v>1</v>
      </c>
      <c r="C123" s="435"/>
      <c r="D123" s="438"/>
      <c r="E123" s="381">
        <v>4</v>
      </c>
      <c r="F123" s="378"/>
      <c r="G123" s="382" t="str">
        <f>IF(ISBLANK(F123),"-",(F123/$D$105*$D$102*$B$124)*$D$113/$D$120)</f>
        <v>-</v>
      </c>
      <c r="H123" s="396" t="str">
        <f t="shared" si="1"/>
        <v>-</v>
      </c>
    </row>
    <row r="124" spans="1:8" ht="26.25" customHeight="1" x14ac:dyDescent="0.4">
      <c r="A124" s="315" t="s">
        <v>98</v>
      </c>
      <c r="B124" s="325">
        <f>(B123/B122)*(B121/B120)*(B119/B118)*(B117/B116)*B115</f>
        <v>2000</v>
      </c>
      <c r="C124" s="433" t="s">
        <v>99</v>
      </c>
      <c r="D124" s="436">
        <v>6.2828299999999997</v>
      </c>
      <c r="E124" s="379">
        <v>1</v>
      </c>
      <c r="F124" s="371"/>
      <c r="G124" s="372" t="str">
        <f>IF(ISBLANK(F124),"-",(F124/$D$105*$D$102*$B$124)*$D$113/$D$124)</f>
        <v>-</v>
      </c>
      <c r="H124" s="394" t="str">
        <f t="shared" si="1"/>
        <v>-</v>
      </c>
    </row>
    <row r="125" spans="1:8" ht="27" customHeight="1" thickBot="1" x14ac:dyDescent="0.45">
      <c r="A125" s="384" t="s">
        <v>100</v>
      </c>
      <c r="B125" s="385">
        <f>(D102*B124)/D111*D113</f>
        <v>6.1299011451613001</v>
      </c>
      <c r="C125" s="434"/>
      <c r="D125" s="437"/>
      <c r="E125" s="380">
        <v>2</v>
      </c>
      <c r="F125" s="326"/>
      <c r="G125" s="375" t="str">
        <f>IF(ISBLANK(F125),"-",(F125/$D$105*$D$102*$B$124)*$D$113/$D$124)</f>
        <v>-</v>
      </c>
      <c r="H125" s="395" t="str">
        <f t="shared" si="1"/>
        <v>-</v>
      </c>
    </row>
    <row r="126" spans="1:8" ht="26.25" customHeight="1" x14ac:dyDescent="0.4">
      <c r="A126" s="429" t="s">
        <v>69</v>
      </c>
      <c r="B126" s="440"/>
      <c r="C126" s="434"/>
      <c r="D126" s="437"/>
      <c r="E126" s="380">
        <v>3</v>
      </c>
      <c r="F126" s="326"/>
      <c r="G126" s="375" t="str">
        <f>IF(ISBLANK(F126),"-",(F126/$D$105*$D$102*$B$124)*$D$113/$D$124)</f>
        <v>-</v>
      </c>
      <c r="H126" s="395" t="str">
        <f t="shared" si="1"/>
        <v>-</v>
      </c>
    </row>
    <row r="127" spans="1:8" ht="27" customHeight="1" thickBot="1" x14ac:dyDescent="0.45">
      <c r="A127" s="431"/>
      <c r="B127" s="441"/>
      <c r="C127" s="439"/>
      <c r="D127" s="438"/>
      <c r="E127" s="381">
        <v>4</v>
      </c>
      <c r="F127" s="378"/>
      <c r="G127" s="382" t="str">
        <f>IF(ISBLANK(F127),"-",(F127/$D$105*$D$102*$B$124)*$D$113/$D$124)</f>
        <v>-</v>
      </c>
      <c r="H127" s="396" t="str">
        <f t="shared" si="1"/>
        <v>-</v>
      </c>
    </row>
    <row r="128" spans="1:8" ht="26.25" customHeight="1" x14ac:dyDescent="0.4">
      <c r="A128" s="344"/>
      <c r="B128" s="344"/>
      <c r="C128" s="344"/>
      <c r="D128" s="344"/>
      <c r="E128" s="344"/>
      <c r="F128" s="344"/>
      <c r="G128" s="386" t="s">
        <v>62</v>
      </c>
      <c r="H128" s="387">
        <f>AVERAGE(H116:H127)</f>
        <v>0.6850440674470214</v>
      </c>
    </row>
    <row r="129" spans="1:9" ht="26.25" customHeight="1" x14ac:dyDescent="0.4">
      <c r="C129" s="344"/>
      <c r="D129" s="344"/>
      <c r="E129" s="344"/>
      <c r="F129" s="344"/>
      <c r="G129" s="357" t="s">
        <v>75</v>
      </c>
      <c r="H129" s="388">
        <f>STDEV(H116:H127)/H128</f>
        <v>5.1551796438602882E-3</v>
      </c>
    </row>
    <row r="130" spans="1:9" ht="27" customHeight="1" thickBot="1" x14ac:dyDescent="0.45">
      <c r="A130" s="344"/>
      <c r="B130" s="344"/>
      <c r="C130" s="344"/>
      <c r="D130" s="346"/>
      <c r="E130" s="346"/>
      <c r="F130" s="344"/>
      <c r="G130" s="359" t="s">
        <v>19</v>
      </c>
      <c r="H130" s="389">
        <f>COUNT(H116:H127)</f>
        <v>6</v>
      </c>
    </row>
    <row r="131" spans="1:9" ht="18.75" x14ac:dyDescent="0.3">
      <c r="A131" s="344"/>
      <c r="B131" s="344"/>
      <c r="C131" s="344"/>
      <c r="D131" s="346"/>
      <c r="E131" s="346"/>
      <c r="F131" s="346"/>
      <c r="G131" s="346"/>
      <c r="H131" s="344"/>
    </row>
    <row r="132" spans="1:9" ht="26.25" customHeight="1" x14ac:dyDescent="0.4">
      <c r="A132" s="296" t="s">
        <v>101</v>
      </c>
      <c r="B132" s="297" t="s">
        <v>102</v>
      </c>
      <c r="C132" s="423" t="str">
        <f>B20</f>
        <v xml:space="preserve">Cefpodoxime </v>
      </c>
      <c r="D132" s="423"/>
      <c r="E132" s="310" t="s">
        <v>103</v>
      </c>
      <c r="F132" s="310"/>
      <c r="G132" s="390">
        <f>H128</f>
        <v>0.6850440674470214</v>
      </c>
      <c r="H132" s="344"/>
    </row>
    <row r="133" spans="1:9" ht="19.5" customHeight="1" thickBot="1" x14ac:dyDescent="0.35">
      <c r="A133" s="391"/>
      <c r="B133" s="392"/>
      <c r="C133" s="393"/>
      <c r="D133" s="393"/>
      <c r="E133" s="392"/>
      <c r="F133" s="392"/>
      <c r="G133" s="392"/>
      <c r="H133" s="392"/>
    </row>
    <row r="134" spans="1:9" ht="83.1" customHeight="1" x14ac:dyDescent="0.3">
      <c r="A134" s="297" t="s">
        <v>28</v>
      </c>
      <c r="B134" s="397" t="s">
        <v>121</v>
      </c>
      <c r="C134" s="397"/>
      <c r="D134" s="344"/>
      <c r="E134" s="398"/>
      <c r="F134" s="310"/>
      <c r="G134" s="398"/>
      <c r="H134" s="398"/>
      <c r="I134" s="310"/>
    </row>
    <row r="135" spans="1:9" ht="83.1" customHeight="1" x14ac:dyDescent="0.3">
      <c r="A135" s="297" t="s">
        <v>29</v>
      </c>
      <c r="B135" s="399"/>
      <c r="C135" s="399"/>
      <c r="D135" s="301"/>
      <c r="E135" s="400"/>
      <c r="F135" s="310"/>
      <c r="G135" s="400"/>
      <c r="H135" s="400"/>
      <c r="I135" s="310"/>
    </row>
    <row r="136" spans="1:9" ht="18.75" x14ac:dyDescent="0.3">
      <c r="A136" s="344"/>
      <c r="B136" s="344"/>
      <c r="C136" s="346"/>
      <c r="D136" s="346"/>
      <c r="E136" s="346"/>
      <c r="F136" s="346"/>
      <c r="G136" s="344"/>
      <c r="H136" s="344"/>
      <c r="I136" s="310"/>
    </row>
    <row r="137" spans="1:9" ht="18.75" x14ac:dyDescent="0.3">
      <c r="A137" s="344"/>
      <c r="B137" s="344"/>
      <c r="C137" s="344"/>
      <c r="D137" s="346"/>
      <c r="E137" s="346"/>
      <c r="F137" s="346"/>
      <c r="G137" s="346"/>
      <c r="H137" s="344"/>
      <c r="I137" s="310"/>
    </row>
    <row r="138" spans="1:9" ht="27" customHeight="1" x14ac:dyDescent="0.3">
      <c r="A138" s="344"/>
      <c r="B138" s="344"/>
      <c r="C138" s="344"/>
      <c r="D138" s="346"/>
      <c r="E138" s="346"/>
      <c r="F138" s="346"/>
      <c r="G138" s="346"/>
      <c r="H138" s="344"/>
      <c r="I138" s="310"/>
    </row>
    <row r="139" spans="1:9" ht="18.75" x14ac:dyDescent="0.3">
      <c r="A139" s="344"/>
      <c r="B139" s="344"/>
      <c r="C139" s="344"/>
      <c r="D139" s="346"/>
      <c r="E139" s="346"/>
      <c r="F139" s="346"/>
      <c r="G139" s="346"/>
      <c r="H139" s="344"/>
      <c r="I139" s="310"/>
    </row>
    <row r="140" spans="1:9" ht="27" customHeight="1" x14ac:dyDescent="0.3">
      <c r="A140" s="344"/>
      <c r="B140" s="344"/>
      <c r="C140" s="344"/>
      <c r="D140" s="346"/>
      <c r="E140" s="346"/>
      <c r="F140" s="346"/>
      <c r="G140" s="346"/>
      <c r="H140" s="344"/>
      <c r="I140" s="310"/>
    </row>
    <row r="141" spans="1:9" ht="27" customHeight="1" x14ac:dyDescent="0.3">
      <c r="A141" s="344"/>
      <c r="B141" s="344"/>
      <c r="C141" s="344"/>
      <c r="D141" s="346"/>
      <c r="E141" s="346"/>
      <c r="F141" s="346"/>
      <c r="G141" s="346"/>
      <c r="H141" s="344"/>
      <c r="I141" s="310"/>
    </row>
    <row r="142" spans="1:9" ht="18.75" x14ac:dyDescent="0.3">
      <c r="A142" s="344"/>
      <c r="B142" s="344"/>
      <c r="C142" s="344"/>
      <c r="D142" s="346"/>
      <c r="E142" s="346"/>
      <c r="F142" s="346"/>
      <c r="G142" s="346"/>
      <c r="H142" s="344"/>
      <c r="I142" s="310"/>
    </row>
    <row r="143" spans="1:9" ht="18.75" x14ac:dyDescent="0.3">
      <c r="A143" s="344"/>
      <c r="B143" s="344"/>
      <c r="C143" s="344"/>
      <c r="D143" s="346"/>
      <c r="E143" s="346"/>
      <c r="F143" s="346"/>
      <c r="G143" s="346"/>
      <c r="H143" s="344"/>
      <c r="I143" s="310"/>
    </row>
    <row r="144" spans="1:9" ht="18.75" x14ac:dyDescent="0.3">
      <c r="A144" s="344"/>
      <c r="B144" s="344"/>
      <c r="C144" s="344"/>
      <c r="D144" s="346"/>
      <c r="E144" s="346"/>
      <c r="F144" s="346"/>
      <c r="G144" s="346"/>
      <c r="H144" s="344"/>
      <c r="I144" s="310"/>
    </row>
    <row r="250" spans="1:1" x14ac:dyDescent="0.25">
      <c r="A250" s="245">
        <v>0</v>
      </c>
    </row>
  </sheetData>
  <sheetProtection password="F258" sheet="1" objects="1" scenarios="1" formatCells="0" formatColumn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D37:E37"/>
    <mergeCell ref="A47:B48"/>
    <mergeCell ref="C62:C65"/>
    <mergeCell ref="D62:D65"/>
    <mergeCell ref="C66:C69"/>
    <mergeCell ref="D66:D69"/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27" sqref="B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75.599999999999994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24.21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B20/50*5/100</f>
        <v>2.4210000000000002E-2</v>
      </c>
      <c r="C21" s="10"/>
      <c r="D21" s="10"/>
      <c r="E21" s="10"/>
    </row>
    <row r="22" spans="1:6" ht="15.75" customHeight="1" thickBot="1" x14ac:dyDescent="0.3">
      <c r="A22" s="10"/>
      <c r="B22" s="10"/>
      <c r="C22" s="10"/>
      <c r="D22" s="10"/>
      <c r="E22" s="10"/>
    </row>
    <row r="23" spans="1:6" ht="16.5" customHeight="1" thickBot="1" x14ac:dyDescent="0.35">
      <c r="A23" s="14" t="s">
        <v>12</v>
      </c>
      <c r="B23" s="15" t="s">
        <v>13</v>
      </c>
      <c r="C23" s="14" t="s">
        <v>14</v>
      </c>
      <c r="D23" s="14" t="s">
        <v>15</v>
      </c>
      <c r="E23" s="15" t="s">
        <v>16</v>
      </c>
      <c r="F23" s="232" t="s">
        <v>117</v>
      </c>
    </row>
    <row r="24" spans="1:6" ht="16.5" customHeight="1" x14ac:dyDescent="0.3">
      <c r="A24" s="17">
        <v>1</v>
      </c>
      <c r="B24" s="18">
        <v>33051030</v>
      </c>
      <c r="C24" s="18">
        <v>12825.7</v>
      </c>
      <c r="D24" s="19">
        <v>1</v>
      </c>
      <c r="E24" s="233">
        <v>16.2</v>
      </c>
      <c r="F24" s="240">
        <v>3.4</v>
      </c>
    </row>
    <row r="25" spans="1:6" ht="16.5" customHeight="1" x14ac:dyDescent="0.3">
      <c r="A25" s="17">
        <v>2</v>
      </c>
      <c r="B25" s="18">
        <v>32868906</v>
      </c>
      <c r="C25" s="18">
        <v>12830</v>
      </c>
      <c r="D25" s="19">
        <v>1</v>
      </c>
      <c r="E25" s="234">
        <v>16.2</v>
      </c>
      <c r="F25" s="241">
        <v>3.4</v>
      </c>
    </row>
    <row r="26" spans="1:6" ht="16.5" customHeight="1" x14ac:dyDescent="0.3">
      <c r="A26" s="17">
        <v>3</v>
      </c>
      <c r="B26" s="18">
        <v>32611529</v>
      </c>
      <c r="C26" s="18">
        <v>12904.3</v>
      </c>
      <c r="D26" s="19">
        <v>1</v>
      </c>
      <c r="E26" s="234">
        <v>16.100000000000001</v>
      </c>
      <c r="F26" s="241">
        <v>3.4</v>
      </c>
    </row>
    <row r="27" spans="1:6" ht="16.5" customHeight="1" x14ac:dyDescent="0.3">
      <c r="A27" s="17">
        <v>4</v>
      </c>
      <c r="B27" s="18">
        <v>32633734</v>
      </c>
      <c r="C27" s="18">
        <v>13063.3</v>
      </c>
      <c r="D27" s="19">
        <v>1</v>
      </c>
      <c r="E27" s="234">
        <v>16.100000000000001</v>
      </c>
      <c r="F27" s="241">
        <v>3.4</v>
      </c>
    </row>
    <row r="28" spans="1:6" ht="16.5" customHeight="1" x14ac:dyDescent="0.3">
      <c r="A28" s="17">
        <v>5</v>
      </c>
      <c r="B28" s="18">
        <v>32474719</v>
      </c>
      <c r="C28" s="18">
        <v>13111</v>
      </c>
      <c r="D28" s="19">
        <v>1</v>
      </c>
      <c r="E28" s="234">
        <v>16</v>
      </c>
      <c r="F28" s="241">
        <v>3.4</v>
      </c>
    </row>
    <row r="29" spans="1:6" ht="16.5" customHeight="1" thickBot="1" x14ac:dyDescent="0.35">
      <c r="A29" s="17">
        <v>6</v>
      </c>
      <c r="B29" s="21">
        <v>32092599</v>
      </c>
      <c r="C29" s="21">
        <v>13156.9</v>
      </c>
      <c r="D29" s="22">
        <v>1</v>
      </c>
      <c r="E29" s="235">
        <v>16</v>
      </c>
      <c r="F29" s="241">
        <v>3.4</v>
      </c>
    </row>
    <row r="30" spans="1:6" ht="16.5" customHeight="1" thickBot="1" x14ac:dyDescent="0.35">
      <c r="A30" s="23" t="s">
        <v>17</v>
      </c>
      <c r="B30" s="24">
        <f>AVERAGE(B24:B29)</f>
        <v>32622086.166666668</v>
      </c>
      <c r="C30" s="25">
        <f>AVERAGE(C24:C29)</f>
        <v>12981.866666666667</v>
      </c>
      <c r="D30" s="26">
        <v>1</v>
      </c>
      <c r="E30" s="236">
        <f>AVERAGE(E24:E29)</f>
        <v>16.099999999999998</v>
      </c>
      <c r="F30" s="242">
        <v>3.4</v>
      </c>
    </row>
    <row r="31" spans="1:6" ht="16.5" customHeight="1" x14ac:dyDescent="0.3">
      <c r="A31" s="27" t="s">
        <v>18</v>
      </c>
      <c r="B31" s="28">
        <f>(STDEV(B24:B29)/B30)</f>
        <v>1.01412079529356E-2</v>
      </c>
      <c r="C31" s="29"/>
      <c r="D31" s="29"/>
      <c r="E31" s="237"/>
      <c r="F31" s="238"/>
    </row>
    <row r="32" spans="1:6" s="2" customFormat="1" ht="16.5" customHeight="1" thickBot="1" x14ac:dyDescent="0.35">
      <c r="A32" s="31" t="s">
        <v>19</v>
      </c>
      <c r="B32" s="32">
        <f>COUNT(B24:B29)</f>
        <v>6</v>
      </c>
      <c r="C32" s="33"/>
      <c r="D32" s="34"/>
      <c r="E32" s="34"/>
      <c r="F32" s="239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 t="s">
        <v>118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4" t="s">
        <v>25</v>
      </c>
      <c r="C59" s="44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119</v>
      </c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workbookViewId="0">
      <selection activeCell="D30" sqref="D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9</v>
      </c>
      <c r="C18" s="36"/>
      <c r="D18" s="36"/>
      <c r="E18" s="36"/>
    </row>
    <row r="19" spans="1:5" ht="16.5" customHeight="1" x14ac:dyDescent="0.3">
      <c r="A19" s="11" t="s">
        <v>6</v>
      </c>
      <c r="B19" s="12">
        <v>75.599999999999994</v>
      </c>
      <c r="C19" s="36"/>
      <c r="D19" s="36"/>
      <c r="E19" s="36"/>
    </row>
    <row r="20" spans="1:5" ht="16.5" customHeight="1" x14ac:dyDescent="0.3">
      <c r="A20" s="8" t="s">
        <v>8</v>
      </c>
      <c r="B20" s="12">
        <v>15.83</v>
      </c>
      <c r="C20" s="36"/>
      <c r="D20" s="36"/>
      <c r="E20" s="36"/>
    </row>
    <row r="21" spans="1:5" ht="16.5" customHeight="1" x14ac:dyDescent="0.3">
      <c r="A21" s="8" t="s">
        <v>10</v>
      </c>
      <c r="B21" s="13">
        <f>15.83/25*5/100</f>
        <v>3.1660000000000001E-2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36896232</v>
      </c>
      <c r="C24" s="18">
        <v>13046.4</v>
      </c>
      <c r="D24" s="19">
        <v>1</v>
      </c>
      <c r="E24" s="20">
        <v>18.3</v>
      </c>
    </row>
    <row r="25" spans="1:5" ht="16.5" customHeight="1" x14ac:dyDescent="0.3">
      <c r="A25" s="17">
        <v>2</v>
      </c>
      <c r="B25" s="18">
        <v>36669822</v>
      </c>
      <c r="C25" s="18">
        <v>13072.8</v>
      </c>
      <c r="D25" s="19">
        <v>1</v>
      </c>
      <c r="E25" s="19">
        <v>18.2</v>
      </c>
    </row>
    <row r="26" spans="1:5" ht="16.5" customHeight="1" x14ac:dyDescent="0.3">
      <c r="A26" s="17">
        <v>3</v>
      </c>
      <c r="B26" s="18">
        <v>36420778</v>
      </c>
      <c r="C26" s="18">
        <v>13138.4</v>
      </c>
      <c r="D26" s="19">
        <v>1</v>
      </c>
      <c r="E26" s="19">
        <v>18.2</v>
      </c>
    </row>
    <row r="27" spans="1:5" ht="16.5" customHeight="1" x14ac:dyDescent="0.3">
      <c r="A27" s="17">
        <v>4</v>
      </c>
      <c r="B27" s="18">
        <v>36594221</v>
      </c>
      <c r="C27" s="18">
        <v>13135.3</v>
      </c>
      <c r="D27" s="19">
        <v>1</v>
      </c>
      <c r="E27" s="19">
        <v>18.100000000000001</v>
      </c>
    </row>
    <row r="28" spans="1:5" ht="16.5" customHeight="1" x14ac:dyDescent="0.3">
      <c r="A28" s="17">
        <v>5</v>
      </c>
      <c r="B28" s="18">
        <v>36664979</v>
      </c>
      <c r="C28" s="18">
        <v>13143</v>
      </c>
      <c r="D28" s="19">
        <v>1</v>
      </c>
      <c r="E28" s="19">
        <v>18.100000000000001</v>
      </c>
    </row>
    <row r="29" spans="1:5" ht="16.5" customHeight="1" x14ac:dyDescent="0.3">
      <c r="A29" s="17">
        <v>6</v>
      </c>
      <c r="B29" s="21">
        <v>36436190</v>
      </c>
      <c r="C29" s="21">
        <v>13128</v>
      </c>
      <c r="D29" s="22">
        <v>1</v>
      </c>
      <c r="E29" s="22">
        <v>18.100000000000001</v>
      </c>
    </row>
    <row r="30" spans="1:5" ht="16.5" customHeight="1" x14ac:dyDescent="0.3">
      <c r="A30" s="23" t="s">
        <v>17</v>
      </c>
      <c r="B30" s="24">
        <f>AVERAGE(B24:B29)</f>
        <v>36613703.666666664</v>
      </c>
      <c r="C30" s="25">
        <f>AVERAGE(C24:C29)</f>
        <v>13110.65</v>
      </c>
      <c r="D30" s="26">
        <f>AVERAGE(D24:D29)</f>
        <v>1</v>
      </c>
      <c r="E30" s="26">
        <f>AVERAGE(E24:E29)</f>
        <v>18.166666666666668</v>
      </c>
    </row>
    <row r="31" spans="1:5" ht="16.5" customHeight="1" x14ac:dyDescent="0.3">
      <c r="A31" s="27" t="s">
        <v>18</v>
      </c>
      <c r="B31" s="28">
        <f>(STDEV(B24:B29)/B30)</f>
        <v>4.8043305469486165E-3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444" t="s">
        <v>25</v>
      </c>
      <c r="C59" s="444"/>
      <c r="E59" s="231" t="s">
        <v>26</v>
      </c>
      <c r="F59" s="46"/>
      <c r="G59" s="231" t="s">
        <v>27</v>
      </c>
    </row>
    <row r="60" spans="1:7" ht="15" customHeight="1" x14ac:dyDescent="0.3">
      <c r="A60" s="47" t="s">
        <v>28</v>
      </c>
      <c r="B60" s="49" t="s">
        <v>119</v>
      </c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5" workbookViewId="0">
      <selection activeCell="B25" sqref="B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9</v>
      </c>
      <c r="C18" s="36"/>
      <c r="D18" s="36"/>
      <c r="E18" s="36"/>
    </row>
    <row r="19" spans="1:5" ht="16.5" customHeight="1" x14ac:dyDescent="0.3">
      <c r="A19" s="11" t="s">
        <v>6</v>
      </c>
      <c r="B19" s="12">
        <v>75.599999999999994</v>
      </c>
      <c r="C19" s="36"/>
      <c r="D19" s="36"/>
      <c r="E19" s="36"/>
    </row>
    <row r="20" spans="1:5" ht="16.5" customHeight="1" x14ac:dyDescent="0.3">
      <c r="A20" s="8" t="s">
        <v>8</v>
      </c>
      <c r="B20" s="12">
        <v>18.11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B20/25*5/100</f>
        <v>3.6220000000000002E-2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23958784</v>
      </c>
      <c r="C24" s="18">
        <v>9208.57</v>
      </c>
      <c r="D24" s="19">
        <v>0.95</v>
      </c>
      <c r="E24" s="20">
        <v>21.17</v>
      </c>
    </row>
    <row r="25" spans="1:5" ht="16.5" customHeight="1" x14ac:dyDescent="0.3">
      <c r="A25" s="17">
        <v>2</v>
      </c>
      <c r="B25" s="18">
        <v>23694382</v>
      </c>
      <c r="C25" s="18">
        <v>8909.5499999999993</v>
      </c>
      <c r="D25" s="19">
        <v>0.98</v>
      </c>
      <c r="E25" s="19">
        <v>21.13</v>
      </c>
    </row>
    <row r="26" spans="1:5" ht="16.5" customHeight="1" x14ac:dyDescent="0.3">
      <c r="A26" s="17">
        <v>3</v>
      </c>
      <c r="B26" s="18">
        <v>23839159</v>
      </c>
      <c r="C26" s="18">
        <v>8498.2099999999991</v>
      </c>
      <c r="D26" s="19">
        <v>0.97</v>
      </c>
      <c r="E26" s="19">
        <v>21.01</v>
      </c>
    </row>
    <row r="27" spans="1:5" ht="16.5" customHeight="1" x14ac:dyDescent="0.3">
      <c r="A27" s="17">
        <v>4</v>
      </c>
      <c r="B27" s="18">
        <v>24020753</v>
      </c>
      <c r="C27" s="18">
        <v>7745.51</v>
      </c>
      <c r="D27" s="19">
        <v>0.98</v>
      </c>
      <c r="E27" s="19">
        <v>20.96</v>
      </c>
    </row>
    <row r="28" spans="1:5" ht="16.5" customHeight="1" x14ac:dyDescent="0.3">
      <c r="A28" s="17">
        <v>5</v>
      </c>
      <c r="B28" s="18">
        <v>23866027</v>
      </c>
      <c r="C28" s="18">
        <v>7298.56</v>
      </c>
      <c r="D28" s="19">
        <v>0.99</v>
      </c>
      <c r="E28" s="19">
        <v>20.85</v>
      </c>
    </row>
    <row r="29" spans="1:5" ht="16.5" customHeight="1" x14ac:dyDescent="0.3">
      <c r="A29" s="17">
        <v>6</v>
      </c>
      <c r="B29" s="21">
        <v>24104778</v>
      </c>
      <c r="C29" s="21">
        <v>7507.51</v>
      </c>
      <c r="D29" s="22">
        <v>0.99</v>
      </c>
      <c r="E29" s="22">
        <v>20.81</v>
      </c>
    </row>
    <row r="30" spans="1:5" ht="16.5" customHeight="1" x14ac:dyDescent="0.3">
      <c r="A30" s="23" t="s">
        <v>17</v>
      </c>
      <c r="B30" s="24">
        <f>AVERAGE(B24:B29)</f>
        <v>23913980.5</v>
      </c>
      <c r="C30" s="25">
        <f>AVERAGE(C24:C29)</f>
        <v>8194.6516666666666</v>
      </c>
      <c r="D30" s="26">
        <f>AVERAGE(D24:D29)</f>
        <v>0.97666666666666668</v>
      </c>
      <c r="E30" s="26">
        <f>AVERAGE(E24:E29)</f>
        <v>20.988333333333333</v>
      </c>
    </row>
    <row r="31" spans="1:5" ht="16.5" customHeight="1" x14ac:dyDescent="0.3">
      <c r="A31" s="27" t="s">
        <v>18</v>
      </c>
      <c r="B31" s="28">
        <f>(STDEV(B24:B29)/B30)</f>
        <v>6.0866475325666225E-3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444" t="s">
        <v>25</v>
      </c>
      <c r="C59" s="444"/>
      <c r="E59" s="231" t="s">
        <v>26</v>
      </c>
      <c r="F59" s="46"/>
      <c r="G59" s="231" t="s">
        <v>27</v>
      </c>
    </row>
    <row r="60" spans="1:7" ht="15" customHeight="1" x14ac:dyDescent="0.3">
      <c r="A60" s="47" t="s">
        <v>28</v>
      </c>
      <c r="B60" s="49" t="s">
        <v>119</v>
      </c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S-epimer SST DAY 1</vt:lpstr>
      <vt:lpstr>R-epimer SST DAY 1</vt:lpstr>
      <vt:lpstr>S-epimer SST DAY 7</vt:lpstr>
      <vt:lpstr>R-epimer SST DAY 7 </vt:lpstr>
      <vt:lpstr>RD</vt:lpstr>
      <vt:lpstr>Cefpodoxime</vt:lpstr>
      <vt:lpstr>S-epimer SST DAY 1 Rpt</vt:lpstr>
      <vt:lpstr>R-epimer SST DAY 1 Rpt</vt:lpstr>
      <vt:lpstr>S-epimer SST DAY 7 Rpt</vt:lpstr>
      <vt:lpstr>R-epimer SST DAY 7 Rpt </vt:lpstr>
      <vt:lpstr>RD Rpt</vt:lpstr>
      <vt:lpstr>Cefpodoxime Rpt</vt:lpstr>
      <vt:lpstr>Cefpodoxime!Print_Area</vt:lpstr>
      <vt:lpstr>'Cefpodoxime Rpt'!Print_Area</vt:lpstr>
      <vt:lpstr>RD!Print_Area</vt:lpstr>
      <vt:lpstr>'RD Rpt'!Print_Area</vt:lpstr>
      <vt:lpstr>'R-epimer SST DAY 1'!Print_Area</vt:lpstr>
      <vt:lpstr>'R-epimer SST DAY 1 Rpt'!Print_Area</vt:lpstr>
      <vt:lpstr>'R-epimer SST DAY 7 '!Print_Area</vt:lpstr>
      <vt:lpstr>'R-epimer SST DAY 7 Rpt '!Print_Area</vt:lpstr>
      <vt:lpstr>'S-epimer SST DAY 1'!Print_Area</vt:lpstr>
      <vt:lpstr>'S-epimer SST DAY 1 Rpt'!Print_Area</vt:lpstr>
      <vt:lpstr>'S-epimer SST DAY 7'!Print_Area</vt:lpstr>
      <vt:lpstr>'S-epimer SST DAY 7 Rpt'!Print_Area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2018-02-28T07:10:50Z</cp:lastPrinted>
  <dcterms:created xsi:type="dcterms:W3CDTF">2005-07-05T10:19:27Z</dcterms:created>
  <dcterms:modified xsi:type="dcterms:W3CDTF">2018-02-28T07:13:11Z</dcterms:modified>
</cp:coreProperties>
</file>