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3"/>
  </bookViews>
  <sheets>
    <sheet name="SST" sheetId="1" r:id="rId1"/>
    <sheet name="Uniformity" sheetId="2" r:id="rId2"/>
    <sheet name="Clindamycin" sheetId="3" r:id="rId3"/>
    <sheet name="Clindamycin1" sheetId="10" r:id="rId4"/>
  </sheets>
  <externalReferences>
    <externalReference r:id="rId5"/>
  </externalReferences>
  <definedNames>
    <definedName name="_xlnm.Print_Area" localSheetId="3">Clindamycin1!$A$1:$I$130</definedName>
    <definedName name="_xlnm.Print_Area" localSheetId="0">SST!$A$15:$G$62</definedName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C124" i="10"/>
  <c r="B116" i="10"/>
  <c r="D100" i="10" s="1"/>
  <c r="B98" i="10"/>
  <c r="F95" i="10"/>
  <c r="D95" i="10"/>
  <c r="G94" i="10"/>
  <c r="E94" i="10"/>
  <c r="B87" i="10"/>
  <c r="F97" i="10" s="1"/>
  <c r="B83" i="10"/>
  <c r="C76" i="10"/>
  <c r="H71" i="10"/>
  <c r="G71" i="10"/>
  <c r="B68" i="10"/>
  <c r="H67" i="10"/>
  <c r="G67" i="10"/>
  <c r="H63" i="10"/>
  <c r="G63" i="10"/>
  <c r="B57" i="10"/>
  <c r="B69" i="10" s="1"/>
  <c r="C56" i="10"/>
  <c r="B55" i="10"/>
  <c r="B45" i="10"/>
  <c r="D48" i="10" s="1"/>
  <c r="F44" i="10"/>
  <c r="F42" i="10"/>
  <c r="D42" i="10"/>
  <c r="I39" i="10" s="1"/>
  <c r="G41" i="10"/>
  <c r="E41" i="10"/>
  <c r="B34" i="10"/>
  <c r="D44" i="10" s="1"/>
  <c r="B30" i="10"/>
  <c r="C129" i="3"/>
  <c r="B125" i="3"/>
  <c r="D109" i="3" s="1"/>
  <c r="D110" i="3" s="1"/>
  <c r="D111" i="3" s="1"/>
  <c r="F122" i="3"/>
  <c r="E122" i="3"/>
  <c r="F121" i="3"/>
  <c r="E121" i="3"/>
  <c r="F120" i="3"/>
  <c r="E120" i="3"/>
  <c r="F119" i="3"/>
  <c r="E119" i="3"/>
  <c r="F118" i="3"/>
  <c r="E118" i="3"/>
  <c r="F117" i="3"/>
  <c r="E117" i="3"/>
  <c r="B107" i="3"/>
  <c r="F104" i="3"/>
  <c r="D104" i="3"/>
  <c r="G103" i="3"/>
  <c r="E103" i="3"/>
  <c r="G102" i="3"/>
  <c r="E102" i="3"/>
  <c r="G101" i="3"/>
  <c r="E101" i="3"/>
  <c r="G100" i="3"/>
  <c r="G104" i="3" s="1"/>
  <c r="E100" i="3"/>
  <c r="B96" i="3"/>
  <c r="F106" i="3" s="1"/>
  <c r="B90" i="3"/>
  <c r="B91" i="3"/>
  <c r="C74" i="3"/>
  <c r="B67" i="3"/>
  <c r="C56" i="3"/>
  <c r="B55" i="3"/>
  <c r="B45" i="3"/>
  <c r="D48" i="3" s="1"/>
  <c r="F42" i="3"/>
  <c r="D42" i="3"/>
  <c r="G41" i="3"/>
  <c r="E41" i="3"/>
  <c r="B34" i="3"/>
  <c r="D44" i="3" s="1"/>
  <c r="B30" i="3"/>
  <c r="D50" i="2"/>
  <c r="B49" i="2"/>
  <c r="C46" i="2"/>
  <c r="D49" i="2" s="1"/>
  <c r="C45" i="2"/>
  <c r="D42" i="2"/>
  <c r="D41" i="2"/>
  <c r="D40" i="2"/>
  <c r="D38" i="2"/>
  <c r="D37" i="2"/>
  <c r="D36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6" i="3" l="1"/>
  <c r="D35" i="2"/>
  <c r="D39" i="2"/>
  <c r="D43" i="2"/>
  <c r="C49" i="2"/>
  <c r="D112" i="3"/>
  <c r="D113" i="3" s="1"/>
  <c r="I92" i="10"/>
  <c r="D101" i="10"/>
  <c r="D102" i="10" s="1"/>
  <c r="F45" i="10"/>
  <c r="F46" i="10" s="1"/>
  <c r="D45" i="10"/>
  <c r="D46" i="10" s="1"/>
  <c r="F98" i="10"/>
  <c r="F99" i="10" s="1"/>
  <c r="F126" i="3"/>
  <c r="F124" i="3"/>
  <c r="G129" i="3" s="1"/>
  <c r="D49" i="3"/>
  <c r="F44" i="3"/>
  <c r="F45" i="3" s="1"/>
  <c r="D45" i="3"/>
  <c r="E39" i="10"/>
  <c r="D49" i="10"/>
  <c r="E40" i="10"/>
  <c r="E38" i="10"/>
  <c r="D97" i="10"/>
  <c r="D98" i="10" s="1"/>
  <c r="D99" i="10" s="1"/>
  <c r="F107" i="3"/>
  <c r="F108" i="3" s="1"/>
  <c r="F125" i="3"/>
  <c r="D107" i="3"/>
  <c r="D108" i="3" s="1"/>
  <c r="C50" i="2"/>
  <c r="D114" i="3"/>
  <c r="B57" i="3"/>
  <c r="E104" i="3"/>
  <c r="G93" i="10" l="1"/>
  <c r="G92" i="10"/>
  <c r="G91" i="10"/>
  <c r="G95" i="10" s="1"/>
  <c r="G38" i="10"/>
  <c r="G40" i="10"/>
  <c r="G39" i="10"/>
  <c r="D52" i="10" s="1"/>
  <c r="F46" i="3"/>
  <c r="G38" i="3"/>
  <c r="G40" i="3"/>
  <c r="G39" i="3"/>
  <c r="D46" i="3"/>
  <c r="E39" i="3"/>
  <c r="E40" i="3"/>
  <c r="E38" i="3"/>
  <c r="E92" i="10"/>
  <c r="E91" i="10"/>
  <c r="D50" i="10"/>
  <c r="E42" i="10"/>
  <c r="E93" i="10"/>
  <c r="G42" i="10" l="1"/>
  <c r="G70" i="10"/>
  <c r="H70" i="10" s="1"/>
  <c r="G65" i="10"/>
  <c r="H65" i="10" s="1"/>
  <c r="G69" i="10"/>
  <c r="H69" i="10" s="1"/>
  <c r="G68" i="10"/>
  <c r="H68" i="10" s="1"/>
  <c r="G66" i="10"/>
  <c r="H66" i="10" s="1"/>
  <c r="G42" i="3"/>
  <c r="E42" i="3"/>
  <c r="D50" i="3"/>
  <c r="D52" i="3"/>
  <c r="G61" i="10"/>
  <c r="H61" i="10" s="1"/>
  <c r="G64" i="10"/>
  <c r="H64" i="10" s="1"/>
  <c r="G62" i="10"/>
  <c r="H62" i="10" s="1"/>
  <c r="G60" i="10"/>
  <c r="D51" i="10"/>
  <c r="D103" i="10"/>
  <c r="E95" i="10"/>
  <c r="D105" i="10"/>
  <c r="D51" i="3" l="1"/>
  <c r="E67" i="3"/>
  <c r="E64" i="3"/>
  <c r="E60" i="3"/>
  <c r="G60" i="3" s="1"/>
  <c r="E63" i="3"/>
  <c r="E66" i="3"/>
  <c r="E62" i="3"/>
  <c r="E59" i="3"/>
  <c r="E68" i="3"/>
  <c r="E65" i="3"/>
  <c r="E61" i="3"/>
  <c r="E111" i="10"/>
  <c r="F111" i="10" s="1"/>
  <c r="E112" i="10"/>
  <c r="F112" i="10" s="1"/>
  <c r="E110" i="10"/>
  <c r="F110" i="10" s="1"/>
  <c r="E108" i="10"/>
  <c r="E113" i="10"/>
  <c r="F113" i="10" s="1"/>
  <c r="E109" i="10"/>
  <c r="F109" i="10" s="1"/>
  <c r="D104" i="10"/>
  <c r="G74" i="10"/>
  <c r="G72" i="10"/>
  <c r="G73" i="10" s="1"/>
  <c r="H60" i="10"/>
  <c r="G61" i="3" l="1"/>
  <c r="G62" i="3"/>
  <c r="G64" i="3"/>
  <c r="G68" i="3"/>
  <c r="G63" i="3"/>
  <c r="F63" i="3"/>
  <c r="G59" i="3"/>
  <c r="E72" i="3"/>
  <c r="E70" i="3"/>
  <c r="F61" i="3" s="1"/>
  <c r="G65" i="3"/>
  <c r="G66" i="3"/>
  <c r="G67" i="3"/>
  <c r="H74" i="10"/>
  <c r="H72" i="10"/>
  <c r="E120" i="10"/>
  <c r="E117" i="10"/>
  <c r="F108" i="10"/>
  <c r="E115" i="10"/>
  <c r="E116" i="10" s="1"/>
  <c r="E119" i="10"/>
  <c r="F59" i="3" l="1"/>
  <c r="F66" i="3"/>
  <c r="F64" i="3"/>
  <c r="G70" i="3"/>
  <c r="G72" i="3"/>
  <c r="C81" i="3"/>
  <c r="F60" i="3"/>
  <c r="E71" i="3"/>
  <c r="F67" i="3"/>
  <c r="F65" i="3"/>
  <c r="F68" i="3"/>
  <c r="F62" i="3"/>
  <c r="G76" i="10"/>
  <c r="H73" i="10"/>
  <c r="F125" i="10"/>
  <c r="F120" i="10"/>
  <c r="F117" i="10"/>
  <c r="D125" i="10"/>
  <c r="F115" i="10"/>
  <c r="F119" i="10"/>
  <c r="F70" i="3" l="1"/>
  <c r="F71" i="3" s="1"/>
  <c r="F72" i="3"/>
  <c r="C82" i="3"/>
  <c r="G74" i="3"/>
  <c r="G71" i="3"/>
  <c r="C79" i="3"/>
  <c r="G124" i="10"/>
  <c r="F116" i="10"/>
  <c r="C83" i="3" l="1"/>
</calcChain>
</file>

<file path=xl/sharedStrings.xml><?xml version="1.0" encoding="utf-8"?>
<sst xmlns="http://schemas.openxmlformats.org/spreadsheetml/2006/main" count="397" uniqueCount="171">
  <si>
    <t>HPLC System Suitability Report</t>
  </si>
  <si>
    <t>Analysis Data</t>
  </si>
  <si>
    <t>Assay</t>
  </si>
  <si>
    <t>Sample(s)</t>
  </si>
  <si>
    <t>Reference Substance:</t>
  </si>
  <si>
    <t>CLINDABIOX 100 MG PESSARIES</t>
  </si>
  <si>
    <t>% age Purity:</t>
  </si>
  <si>
    <t>NDQD201711274</t>
  </si>
  <si>
    <t>Weight (mg):</t>
  </si>
  <si>
    <t xml:space="preserve">CLINDAMYCIN PHOSPHATE </t>
  </si>
  <si>
    <t>Standard Conc (mg/mL):</t>
  </si>
  <si>
    <t xml:space="preserve">Each pessary contains: Clindamycin (as clindamycin phosphate) 100 mg </t>
  </si>
  <si>
    <t>2017-11-14 10:58:20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</si>
  <si>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</si>
  <si>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</si>
  <si>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</si>
  <si>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</si>
  <si>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</si>
  <si>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</si>
  <si>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</si>
  <si>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</si>
  <si>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</si>
  <si>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</si>
  <si>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</si>
  <si>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</si>
  <si>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</si>
  <si>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</si>
  <si>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</si>
  <si>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</si>
  <si>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</si>
  <si>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</si>
  <si>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</si>
  <si>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</si>
  <si>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</si>
  <si>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</si>
  <si>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</si>
  <si>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</si>
  <si>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</si>
  <si>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</si>
  <si>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</si>
  <si>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</si>
  <si>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</si>
  <si>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</si>
  <si>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</si>
  <si>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</si>
  <si>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</si>
  <si>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</si>
  <si>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</si>
  <si>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</si>
  <si>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</si>
  <si>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</si>
  <si>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</si>
  <si>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</si>
  <si>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</si>
  <si>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</si>
  <si>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</si>
  <si>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</si>
  <si>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</si>
  <si>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</si>
  <si>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</si>
  <si>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</si>
  <si>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</si>
  <si>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</si>
  <si>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</si>
  <si>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</si>
  <si>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</si>
  <si>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</si>
  <si>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</si>
  <si>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</si>
  <si>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</si>
  <si>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</si>
  <si>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</si>
  <si>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</si>
  <si>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</si>
  <si>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</si>
  <si>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</si>
  <si>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</si>
  <si>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</si>
  <si>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</si>
  <si>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</si>
  <si>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</si>
  <si>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</si>
  <si>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</si>
  <si>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</si>
  <si>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</si>
  <si>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</si>
  <si>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</si>
  <si>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</si>
  <si>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</si>
  <si>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</si>
  <si>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</si>
  <si>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</si>
  <si>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</si>
  <si>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</si>
  <si>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</si>
  <si>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</si>
  <si>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</si>
  <si>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</si>
  <si>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</si>
  <si>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</si>
  <si>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</si>
  <si>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</si>
  <si>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</si>
  <si>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</si>
  <si>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</si>
  <si>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</si>
  <si>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</si>
  <si>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</si>
  <si>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</si>
  <si>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</si>
  <si>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</si>
  <si>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</si>
  <si>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</si>
  <si>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</si>
  <si>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</si>
  <si>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</si>
  <si>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</si>
  <si>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</si>
  <si>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</si>
  <si>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</si>
  <si>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</si>
  <si>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</si>
  <si>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</si>
  <si>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</si>
  <si>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</si>
  <si>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</si>
  <si>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</si>
  <si>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</si>
  <si>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</si>
  <si>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</si>
  <si>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</si>
  <si>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</si>
  <si>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</si>
  <si>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</si>
  <si>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</si>
  <si>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</si>
  <si>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</si>
  <si>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</si>
  <si>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</si>
  <si>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</si>
  <si>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</si>
  <si>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</si>
  <si>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</si>
  <si>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</si>
  <si>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</si>
  <si>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</si>
  <si>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</si>
  <si>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</si>
  <si>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</si>
  <si>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</si>
  <si>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</si>
  <si>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</si>
  <si>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</si>
  <si>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</si>
  <si>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</si>
  <si>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</si>
  <si>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</si>
  <si>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</si>
  <si>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</si>
  <si>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</si>
  <si>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</si>
  <si>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</si>
  <si>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</si>
  <si>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</si>
  <si>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>Range:</t>
  </si>
  <si>
    <t>Minimum</t>
  </si>
  <si>
    <t>Maximum</t>
  </si>
  <si>
    <t>Clindamycin Phosphate</t>
  </si>
  <si>
    <t>C4-1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</si>
  <si>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5000</t>
    </r>
  </si>
  <si>
    <r>
      <t>The Assymetry of all peaks were below</t>
    </r>
    <r>
      <rPr>
        <b/>
        <sz val="12"/>
        <color rgb="FF000000"/>
        <rFont val="Book Antiqua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</si>
</sst>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"/>
    <numFmt numFmtId="167" formatCode="[$-409]d/mmm/yy;@"/>
    <numFmt numFmtId="168" formatCode="0.0000\ &quot;mg&quot;"/>
    <numFmt numFmtId="169" formatCode="0.000"/>
    <numFmt numFmtId="170" formatCode="0.0\ &quot;%&quot;"/>
    <numFmt numFmtId="171" formatCode="dd\-mmm\-yyyy"/>
    <numFmt numFmtId="172" formatCode="0.0\ &quot;mg&quot;"/>
    <numFmt numFmtId="173" formatCode="0.00\ &quot;%&quot;"/>
    <numFmt numFmtId="174" formatCode="0\ &quot;%&quot;"/>
  </numFmts>
  <fonts count="4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3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5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8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69" fontId="11" fillId="2" borderId="27" xfId="0" applyNumberFormat="1" applyFont="1" applyFill="1" applyBorder="1" applyAlignment="1">
      <alignment horizontal="center"/>
    </xf>
    <xf numFmtId="169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69" fontId="11" fillId="2" borderId="32" xfId="0" applyNumberFormat="1" applyFont="1" applyFill="1" applyBorder="1" applyAlignment="1">
      <alignment horizontal="center"/>
    </xf>
    <xf numFmtId="169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69" fontId="11" fillId="2" borderId="35" xfId="0" applyNumberFormat="1" applyFont="1" applyFill="1" applyBorder="1" applyAlignment="1">
      <alignment horizontal="center"/>
    </xf>
    <xf numFmtId="169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69" fontId="12" fillId="6" borderId="38" xfId="0" applyNumberFormat="1" applyFont="1" applyFill="1" applyBorder="1" applyAlignment="1">
      <alignment horizontal="center"/>
    </xf>
    <xf numFmtId="169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9" fontId="12" fillId="7" borderId="13" xfId="0" applyNumberFormat="1" applyFont="1" applyFill="1" applyBorder="1" applyAlignment="1">
      <alignment horizontal="center"/>
    </xf>
    <xf numFmtId="169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69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69" fontId="11" fillId="2" borderId="3" xfId="0" applyNumberFormat="1" applyFont="1" applyFill="1" applyBorder="1" applyAlignment="1">
      <alignment horizontal="center"/>
    </xf>
    <xf numFmtId="169" fontId="14" fillId="3" borderId="0" xfId="0" applyNumberFormat="1" applyFont="1" applyFill="1" applyAlignment="1" applyProtection="1">
      <alignment horizontal="center"/>
      <protection locked="0"/>
    </xf>
    <xf numFmtId="169" fontId="11" fillId="2" borderId="5" xfId="0" applyNumberFormat="1" applyFont="1" applyFill="1" applyBorder="1" applyAlignment="1">
      <alignment horizontal="center"/>
    </xf>
    <xf numFmtId="169" fontId="14" fillId="3" borderId="7" xfId="0" applyNumberFormat="1" applyFont="1" applyFill="1" applyBorder="1" applyAlignment="1" applyProtection="1">
      <alignment horizontal="center"/>
      <protection locked="0"/>
    </xf>
    <xf numFmtId="169" fontId="12" fillId="6" borderId="53" xfId="0" applyNumberFormat="1" applyFont="1" applyFill="1" applyBorder="1" applyAlignment="1">
      <alignment horizontal="center"/>
    </xf>
    <xf numFmtId="169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9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69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69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25" fillId="2" borderId="0" xfId="1" applyFont="1" applyFill="1"/>
    <xf numFmtId="0" fontId="27" fillId="2" borderId="0" xfId="1" applyFont="1" applyFill="1"/>
    <xf numFmtId="0" fontId="23" fillId="2" borderId="0" xfId="1" applyFill="1"/>
    <xf numFmtId="0" fontId="30" fillId="2" borderId="0" xfId="1" applyFont="1" applyFill="1"/>
    <xf numFmtId="0" fontId="31" fillId="2" borderId="0" xfId="1" applyFont="1" applyFill="1" applyAlignment="1" applyProtection="1">
      <alignment horizontal="right"/>
      <protection locked="0"/>
    </xf>
    <xf numFmtId="0" fontId="31" fillId="2" borderId="0" xfId="1" applyFont="1" applyFill="1" applyAlignment="1" applyProtection="1">
      <alignment horizontal="left"/>
      <protection locked="0"/>
    </xf>
    <xf numFmtId="0" fontId="32" fillId="2" borderId="0" xfId="1" applyFont="1" applyFill="1"/>
    <xf numFmtId="0" fontId="32" fillId="3" borderId="0" xfId="1" applyFont="1" applyFill="1" applyAlignment="1" applyProtection="1">
      <alignment horizontal="left"/>
      <protection locked="0"/>
    </xf>
    <xf numFmtId="0" fontId="27" fillId="3" borderId="0" xfId="1" applyFont="1" applyFill="1" applyProtection="1">
      <protection locked="0"/>
    </xf>
    <xf numFmtId="171" fontId="32" fillId="3" borderId="0" xfId="1" applyNumberFormat="1" applyFont="1" applyFill="1" applyAlignment="1" applyProtection="1">
      <alignment horizontal="center"/>
      <protection locked="0"/>
    </xf>
    <xf numFmtId="15" fontId="27" fillId="2" borderId="0" xfId="1" applyNumberFormat="1" applyFont="1" applyFill="1" applyAlignment="1">
      <alignment horizontal="left"/>
    </xf>
    <xf numFmtId="0" fontId="33" fillId="2" borderId="0" xfId="1" applyFont="1" applyFill="1" applyAlignment="1">
      <alignment horizontal="left"/>
    </xf>
    <xf numFmtId="0" fontId="30" fillId="2" borderId="0" xfId="1" applyFont="1" applyFill="1" applyAlignment="1">
      <alignment horizontal="right"/>
    </xf>
    <xf numFmtId="0" fontId="27" fillId="2" borderId="0" xfId="1" applyFont="1" applyFill="1" applyAlignment="1">
      <alignment horizontal="right"/>
    </xf>
    <xf numFmtId="0" fontId="31" fillId="3" borderId="0" xfId="1" applyFont="1" applyFill="1" applyAlignment="1" applyProtection="1">
      <alignment horizontal="center"/>
      <protection locked="0"/>
    </xf>
    <xf numFmtId="0" fontId="32" fillId="3" borderId="0" xfId="1" applyFont="1" applyFill="1" applyAlignment="1" applyProtection="1">
      <alignment horizontal="center"/>
      <protection locked="0"/>
    </xf>
    <xf numFmtId="0" fontId="34" fillId="2" borderId="1" xfId="1" applyFont="1" applyFill="1" applyBorder="1" applyAlignment="1">
      <alignment horizontal="center"/>
    </xf>
    <xf numFmtId="0" fontId="35" fillId="2" borderId="0" xfId="1" applyFont="1" applyFill="1" applyAlignment="1">
      <alignment vertical="center" wrapText="1"/>
    </xf>
    <xf numFmtId="0" fontId="30" fillId="2" borderId="0" xfId="1" applyFont="1" applyFill="1" applyAlignment="1">
      <alignment horizontal="center"/>
    </xf>
    <xf numFmtId="0" fontId="36" fillId="2" borderId="0" xfId="1" applyFont="1" applyFill="1"/>
    <xf numFmtId="0" fontId="37" fillId="2" borderId="0" xfId="1" applyFont="1" applyFill="1"/>
    <xf numFmtId="2" fontId="31" fillId="3" borderId="0" xfId="1" applyNumberFormat="1" applyFont="1" applyFill="1" applyAlignment="1" applyProtection="1">
      <alignment horizontal="center"/>
      <protection locked="0"/>
    </xf>
    <xf numFmtId="0" fontId="30" fillId="2" borderId="0" xfId="1" applyFont="1" applyFill="1" applyAlignment="1">
      <alignment vertical="center" wrapText="1"/>
    </xf>
    <xf numFmtId="0" fontId="38" fillId="2" borderId="0" xfId="1" applyFont="1" applyFill="1"/>
    <xf numFmtId="2" fontId="30" fillId="2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left" vertical="center" wrapText="1"/>
    </xf>
    <xf numFmtId="168" fontId="30" fillId="2" borderId="0" xfId="1" applyNumberFormat="1" applyFont="1" applyFill="1" applyAlignment="1">
      <alignment horizontal="center"/>
    </xf>
    <xf numFmtId="0" fontId="27" fillId="2" borderId="21" xfId="1" applyFont="1" applyFill="1" applyBorder="1" applyAlignment="1">
      <alignment horizontal="right"/>
    </xf>
    <xf numFmtId="0" fontId="31" fillId="3" borderId="25" xfId="1" applyFont="1" applyFill="1" applyBorder="1" applyAlignment="1" applyProtection="1">
      <alignment horizontal="center"/>
      <protection locked="0"/>
    </xf>
    <xf numFmtId="0" fontId="27" fillId="2" borderId="23" xfId="1" applyFont="1" applyFill="1" applyBorder="1" applyAlignment="1">
      <alignment horizontal="right"/>
    </xf>
    <xf numFmtId="0" fontId="31" fillId="3" borderId="31" xfId="1" applyFont="1" applyFill="1" applyBorder="1" applyAlignment="1" applyProtection="1">
      <alignment horizontal="center"/>
      <protection locked="0"/>
    </xf>
    <xf numFmtId="0" fontId="30" fillId="2" borderId="25" xfId="1" applyFont="1" applyFill="1" applyBorder="1" applyAlignment="1">
      <alignment horizontal="center"/>
    </xf>
    <xf numFmtId="0" fontId="30" fillId="2" borderId="26" xfId="1" applyFont="1" applyFill="1" applyBorder="1" applyAlignment="1">
      <alignment horizontal="center"/>
    </xf>
    <xf numFmtId="0" fontId="30" fillId="2" borderId="27" xfId="1" applyFont="1" applyFill="1" applyBorder="1" applyAlignment="1">
      <alignment horizontal="center"/>
    </xf>
    <xf numFmtId="0" fontId="30" fillId="2" borderId="49" xfId="1" applyFont="1" applyFill="1" applyBorder="1" applyAlignment="1">
      <alignment horizontal="center"/>
    </xf>
    <xf numFmtId="0" fontId="30" fillId="2" borderId="12" xfId="1" applyFont="1" applyFill="1" applyBorder="1" applyAlignment="1">
      <alignment horizontal="center"/>
    </xf>
    <xf numFmtId="0" fontId="27" fillId="2" borderId="29" xfId="1" applyFont="1" applyFill="1" applyBorder="1" applyAlignment="1">
      <alignment horizontal="center"/>
    </xf>
    <xf numFmtId="0" fontId="31" fillId="3" borderId="30" xfId="1" applyFont="1" applyFill="1" applyBorder="1" applyAlignment="1" applyProtection="1">
      <alignment horizontal="center"/>
      <protection locked="0"/>
    </xf>
    <xf numFmtId="169" fontId="27" fillId="2" borderId="27" xfId="1" applyNumberFormat="1" applyFont="1" applyFill="1" applyBorder="1" applyAlignment="1">
      <alignment horizontal="center"/>
    </xf>
    <xf numFmtId="169" fontId="27" fillId="2" borderId="28" xfId="1" applyNumberFormat="1" applyFont="1" applyFill="1" applyBorder="1" applyAlignment="1">
      <alignment horizontal="center"/>
    </xf>
    <xf numFmtId="0" fontId="38" fillId="2" borderId="13" xfId="1" applyFont="1" applyFill="1" applyBorder="1"/>
    <xf numFmtId="0" fontId="27" fillId="2" borderId="31" xfId="1" applyFont="1" applyFill="1" applyBorder="1" applyAlignment="1">
      <alignment horizontal="center"/>
    </xf>
    <xf numFmtId="0" fontId="31" fillId="3" borderId="23" xfId="1" applyFont="1" applyFill="1" applyBorder="1" applyAlignment="1" applyProtection="1">
      <alignment horizontal="center"/>
      <protection locked="0"/>
    </xf>
    <xf numFmtId="169" fontId="27" fillId="2" borderId="32" xfId="1" applyNumberFormat="1" applyFont="1" applyFill="1" applyBorder="1" applyAlignment="1">
      <alignment horizontal="center"/>
    </xf>
    <xf numFmtId="169" fontId="27" fillId="2" borderId="24" xfId="1" applyNumberFormat="1" applyFont="1" applyFill="1" applyBorder="1" applyAlignment="1">
      <alignment horizontal="center"/>
    </xf>
    <xf numFmtId="0" fontId="27" fillId="2" borderId="33" xfId="1" applyFont="1" applyFill="1" applyBorder="1" applyAlignment="1">
      <alignment horizontal="center"/>
    </xf>
    <xf numFmtId="0" fontId="31" fillId="3" borderId="34" xfId="1" applyFont="1" applyFill="1" applyBorder="1" applyAlignment="1" applyProtection="1">
      <alignment horizontal="center"/>
      <protection locked="0"/>
    </xf>
    <xf numFmtId="169" fontId="27" fillId="2" borderId="35" xfId="1" applyNumberFormat="1" applyFont="1" applyFill="1" applyBorder="1" applyAlignment="1">
      <alignment horizontal="center"/>
    </xf>
    <xf numFmtId="169" fontId="27" fillId="2" borderId="36" xfId="1" applyNumberFormat="1" applyFont="1" applyFill="1" applyBorder="1" applyAlignment="1">
      <alignment horizontal="center"/>
    </xf>
    <xf numFmtId="0" fontId="27" fillId="2" borderId="15" xfId="1" applyFont="1" applyFill="1" applyBorder="1"/>
    <xf numFmtId="0" fontId="27" fillId="2" borderId="31" xfId="1" applyFont="1" applyFill="1" applyBorder="1" applyAlignment="1">
      <alignment horizontal="right"/>
    </xf>
    <xf numFmtId="1" fontId="30" fillId="6" borderId="37" xfId="1" applyNumberFormat="1" applyFont="1" applyFill="1" applyBorder="1" applyAlignment="1">
      <alignment horizontal="center"/>
    </xf>
    <xf numFmtId="169" fontId="30" fillId="6" borderId="38" xfId="1" applyNumberFormat="1" applyFont="1" applyFill="1" applyBorder="1" applyAlignment="1">
      <alignment horizontal="center"/>
    </xf>
    <xf numFmtId="169" fontId="30" fillId="6" borderId="39" xfId="1" applyNumberFormat="1" applyFont="1" applyFill="1" applyBorder="1" applyAlignment="1">
      <alignment horizontal="center"/>
    </xf>
    <xf numFmtId="0" fontId="25" fillId="2" borderId="0" xfId="1" applyFont="1" applyFill="1" applyAlignment="1">
      <alignment horizontal="center"/>
    </xf>
    <xf numFmtId="0" fontId="27" fillId="2" borderId="40" xfId="1" applyFont="1" applyFill="1" applyBorder="1" applyAlignment="1">
      <alignment horizontal="right"/>
    </xf>
    <xf numFmtId="0" fontId="31" fillId="3" borderId="16" xfId="1" applyFont="1" applyFill="1" applyBorder="1" applyAlignment="1" applyProtection="1">
      <alignment horizontal="center"/>
      <protection locked="0"/>
    </xf>
    <xf numFmtId="0" fontId="27" fillId="2" borderId="11" xfId="1" applyFont="1" applyFill="1" applyBorder="1" applyAlignment="1">
      <alignment horizontal="right"/>
    </xf>
    <xf numFmtId="2" fontId="27" fillId="6" borderId="41" xfId="1" applyNumberFormat="1" applyFont="1" applyFill="1" applyBorder="1" applyAlignment="1">
      <alignment horizontal="center"/>
    </xf>
    <xf numFmtId="0" fontId="27" fillId="2" borderId="0" xfId="1" applyFont="1" applyFill="1" applyAlignment="1">
      <alignment horizontal="center"/>
    </xf>
    <xf numFmtId="2" fontId="27" fillId="7" borderId="41" xfId="1" applyNumberFormat="1" applyFont="1" applyFill="1" applyBorder="1" applyAlignment="1">
      <alignment horizontal="center"/>
    </xf>
    <xf numFmtId="2" fontId="27" fillId="2" borderId="0" xfId="1" applyNumberFormat="1" applyFont="1" applyFill="1" applyAlignment="1">
      <alignment horizontal="center"/>
    </xf>
    <xf numFmtId="166" fontId="27" fillId="6" borderId="41" xfId="1" applyNumberFormat="1" applyFont="1" applyFill="1" applyBorder="1" applyAlignment="1">
      <alignment horizontal="center"/>
    </xf>
    <xf numFmtId="166" fontId="27" fillId="2" borderId="0" xfId="1" applyNumberFormat="1" applyFont="1" applyFill="1" applyAlignment="1">
      <alignment horizontal="center"/>
    </xf>
    <xf numFmtId="166" fontId="27" fillId="6" borderId="17" xfId="1" applyNumberFormat="1" applyFont="1" applyFill="1" applyBorder="1" applyAlignment="1">
      <alignment horizontal="center"/>
    </xf>
    <xf numFmtId="0" fontId="27" fillId="2" borderId="42" xfId="1" applyFont="1" applyFill="1" applyBorder="1" applyAlignment="1">
      <alignment horizontal="right"/>
    </xf>
    <xf numFmtId="166" fontId="31" fillId="3" borderId="41" xfId="1" applyNumberFormat="1" applyFont="1" applyFill="1" applyBorder="1" applyAlignment="1" applyProtection="1">
      <alignment horizontal="center"/>
      <protection locked="0"/>
    </xf>
    <xf numFmtId="166" fontId="27" fillId="2" borderId="0" xfId="1" applyNumberFormat="1" applyFont="1" applyFill="1"/>
    <xf numFmtId="0" fontId="27" fillId="2" borderId="30" xfId="1" applyFont="1" applyFill="1" applyBorder="1" applyAlignment="1">
      <alignment horizontal="right"/>
    </xf>
    <xf numFmtId="1" fontId="27" fillId="2" borderId="0" xfId="1" applyNumberFormat="1" applyFont="1" applyFill="1" applyAlignment="1">
      <alignment horizontal="center"/>
    </xf>
    <xf numFmtId="0" fontId="27" fillId="2" borderId="15" xfId="1" applyFont="1" applyFill="1" applyBorder="1" applyAlignment="1">
      <alignment horizontal="right"/>
    </xf>
    <xf numFmtId="2" fontId="27" fillId="6" borderId="15" xfId="1" applyNumberFormat="1" applyFont="1" applyFill="1" applyBorder="1" applyAlignment="1">
      <alignment horizontal="center"/>
    </xf>
    <xf numFmtId="169" fontId="30" fillId="7" borderId="13" xfId="1" applyNumberFormat="1" applyFont="1" applyFill="1" applyBorder="1" applyAlignment="1">
      <alignment horizontal="center"/>
    </xf>
    <xf numFmtId="169" fontId="27" fillId="2" borderId="0" xfId="1" applyNumberFormat="1" applyFont="1" applyFill="1" applyAlignment="1">
      <alignment horizontal="center"/>
    </xf>
    <xf numFmtId="10" fontId="27" fillId="6" borderId="41" xfId="1" applyNumberFormat="1" applyFont="1" applyFill="1" applyBorder="1" applyAlignment="1">
      <alignment horizontal="center"/>
    </xf>
    <xf numFmtId="0" fontId="27" fillId="2" borderId="43" xfId="1" applyFont="1" applyFill="1" applyBorder="1" applyAlignment="1">
      <alignment horizontal="right"/>
    </xf>
    <xf numFmtId="0" fontId="27" fillId="7" borderId="15" xfId="1" applyFont="1" applyFill="1" applyBorder="1" applyAlignment="1">
      <alignment horizontal="center"/>
    </xf>
    <xf numFmtId="0" fontId="33" fillId="2" borderId="0" xfId="1" applyFont="1" applyFill="1"/>
    <xf numFmtId="0" fontId="30" fillId="2" borderId="0" xfId="1" applyFont="1" applyFill="1" applyAlignment="1">
      <alignment horizontal="left"/>
    </xf>
    <xf numFmtId="0" fontId="27" fillId="2" borderId="0" xfId="1" applyFont="1" applyFill="1" applyAlignment="1">
      <alignment horizontal="left"/>
    </xf>
    <xf numFmtId="172" fontId="31" fillId="3" borderId="0" xfId="1" applyNumberFormat="1" applyFont="1" applyFill="1" applyAlignment="1" applyProtection="1">
      <alignment horizontal="center"/>
      <protection locked="0"/>
    </xf>
    <xf numFmtId="166" fontId="30" fillId="2" borderId="0" xfId="1" applyNumberFormat="1" applyFont="1" applyFill="1" applyAlignment="1" applyProtection="1">
      <alignment horizontal="center"/>
      <protection locked="0"/>
    </xf>
    <xf numFmtId="2" fontId="30" fillId="2" borderId="13" xfId="1" applyNumberFormat="1" applyFont="1" applyFill="1" applyBorder="1" applyAlignment="1">
      <alignment horizontal="center"/>
    </xf>
    <xf numFmtId="0" fontId="30" fillId="2" borderId="13" xfId="1" applyFont="1" applyFill="1" applyBorder="1" applyAlignment="1">
      <alignment horizontal="center"/>
    </xf>
    <xf numFmtId="0" fontId="27" fillId="2" borderId="13" xfId="1" applyFont="1" applyFill="1" applyBorder="1" applyAlignment="1">
      <alignment horizontal="center"/>
    </xf>
    <xf numFmtId="0" fontId="31" fillId="3" borderId="21" xfId="1" applyFont="1" applyFill="1" applyBorder="1" applyAlignment="1" applyProtection="1">
      <alignment horizontal="center"/>
      <protection locked="0"/>
    </xf>
    <xf numFmtId="166" fontId="27" fillId="2" borderId="21" xfId="1" applyNumberFormat="1" applyFont="1" applyFill="1" applyBorder="1" applyAlignment="1">
      <alignment horizontal="center"/>
    </xf>
    <xf numFmtId="173" fontId="27" fillId="2" borderId="13" xfId="1" applyNumberFormat="1" applyFont="1" applyFill="1" applyBorder="1" applyAlignment="1">
      <alignment horizontal="center" vertical="center"/>
    </xf>
    <xf numFmtId="0" fontId="27" fillId="2" borderId="14" xfId="1" applyFont="1" applyFill="1" applyBorder="1" applyAlignment="1">
      <alignment horizontal="center"/>
    </xf>
    <xf numFmtId="166" fontId="27" fillId="2" borderId="23" xfId="1" applyNumberFormat="1" applyFont="1" applyFill="1" applyBorder="1" applyAlignment="1">
      <alignment horizontal="center"/>
    </xf>
    <xf numFmtId="173" fontId="27" fillId="2" borderId="14" xfId="1" applyNumberFormat="1" applyFont="1" applyFill="1" applyBorder="1" applyAlignment="1">
      <alignment horizontal="center" vertical="center"/>
    </xf>
    <xf numFmtId="1" fontId="31" fillId="3" borderId="23" xfId="1" applyNumberFormat="1" applyFont="1" applyFill="1" applyBorder="1" applyAlignment="1" applyProtection="1">
      <alignment horizontal="center"/>
      <protection locked="0"/>
    </xf>
    <xf numFmtId="0" fontId="27" fillId="2" borderId="15" xfId="1" applyFont="1" applyFill="1" applyBorder="1" applyAlignment="1">
      <alignment horizontal="center"/>
    </xf>
    <xf numFmtId="0" fontId="31" fillId="3" borderId="43" xfId="1" applyFont="1" applyFill="1" applyBorder="1" applyAlignment="1" applyProtection="1">
      <alignment horizontal="center"/>
      <protection locked="0"/>
    </xf>
    <xf numFmtId="166" fontId="27" fillId="2" borderId="43" xfId="1" applyNumberFormat="1" applyFont="1" applyFill="1" applyBorder="1" applyAlignment="1">
      <alignment horizontal="center"/>
    </xf>
    <xf numFmtId="173" fontId="27" fillId="2" borderId="15" xfId="1" applyNumberFormat="1" applyFont="1" applyFill="1" applyBorder="1" applyAlignment="1">
      <alignment horizontal="center" vertical="center"/>
    </xf>
    <xf numFmtId="0" fontId="32" fillId="2" borderId="31" xfId="1" applyFont="1" applyFill="1" applyBorder="1" applyAlignment="1">
      <alignment horizontal="center"/>
    </xf>
    <xf numFmtId="2" fontId="32" fillId="2" borderId="48" xfId="1" applyNumberFormat="1" applyFont="1" applyFill="1" applyBorder="1" applyAlignment="1">
      <alignment horizontal="center"/>
    </xf>
    <xf numFmtId="0" fontId="27" fillId="2" borderId="60" xfId="1" applyFont="1" applyFill="1" applyBorder="1" applyAlignment="1">
      <alignment horizontal="right"/>
    </xf>
    <xf numFmtId="2" fontId="31" fillId="7" borderId="33" xfId="1" applyNumberFormat="1" applyFont="1" applyFill="1" applyBorder="1" applyAlignment="1">
      <alignment horizontal="center"/>
    </xf>
    <xf numFmtId="173" fontId="31" fillId="7" borderId="33" xfId="1" applyNumberFormat="1" applyFont="1" applyFill="1" applyBorder="1" applyAlignment="1">
      <alignment horizontal="center"/>
    </xf>
    <xf numFmtId="0" fontId="27" fillId="2" borderId="41" xfId="1" applyFont="1" applyFill="1" applyBorder="1" applyAlignment="1">
      <alignment horizontal="right"/>
    </xf>
    <xf numFmtId="10" fontId="31" fillId="6" borderId="61" xfId="1" applyNumberFormat="1" applyFont="1" applyFill="1" applyBorder="1" applyAlignment="1">
      <alignment horizontal="center"/>
    </xf>
    <xf numFmtId="0" fontId="27" fillId="2" borderId="17" xfId="1" applyFont="1" applyFill="1" applyBorder="1" applyAlignment="1">
      <alignment horizontal="right"/>
    </xf>
    <xf numFmtId="0" fontId="31" fillId="7" borderId="62" xfId="1" applyFont="1" applyFill="1" applyBorder="1" applyAlignment="1">
      <alignment horizontal="center"/>
    </xf>
    <xf numFmtId="170" fontId="31" fillId="2" borderId="0" xfId="1" applyNumberFormat="1" applyFont="1" applyFill="1" applyAlignment="1">
      <alignment horizontal="center"/>
    </xf>
    <xf numFmtId="0" fontId="30" fillId="2" borderId="51" xfId="1" applyFont="1" applyFill="1" applyBorder="1" applyAlignment="1">
      <alignment horizontal="center"/>
    </xf>
    <xf numFmtId="0" fontId="30" fillId="2" borderId="40" xfId="1" applyFont="1" applyFill="1" applyBorder="1" applyAlignment="1">
      <alignment horizontal="center"/>
    </xf>
    <xf numFmtId="0" fontId="30" fillId="2" borderId="10" xfId="1" applyFont="1" applyFill="1" applyBorder="1" applyAlignment="1">
      <alignment horizontal="center"/>
    </xf>
    <xf numFmtId="0" fontId="30" fillId="2" borderId="28" xfId="1" applyFont="1" applyFill="1" applyBorder="1" applyAlignment="1">
      <alignment horizontal="center"/>
    </xf>
    <xf numFmtId="0" fontId="27" fillId="2" borderId="52" xfId="1" applyFont="1" applyFill="1" applyBorder="1" applyAlignment="1">
      <alignment horizontal="center"/>
    </xf>
    <xf numFmtId="0" fontId="27" fillId="2" borderId="7" xfId="1" applyFont="1" applyFill="1" applyBorder="1" applyAlignment="1">
      <alignment horizontal="center"/>
    </xf>
    <xf numFmtId="169" fontId="31" fillId="3" borderId="34" xfId="1" applyNumberFormat="1" applyFont="1" applyFill="1" applyBorder="1" applyAlignment="1" applyProtection="1">
      <alignment horizontal="center"/>
      <protection locked="0"/>
    </xf>
    <xf numFmtId="1" fontId="30" fillId="6" borderId="63" xfId="1" applyNumberFormat="1" applyFont="1" applyFill="1" applyBorder="1" applyAlignment="1">
      <alignment horizontal="center"/>
    </xf>
    <xf numFmtId="1" fontId="30" fillId="6" borderId="53" xfId="1" applyNumberFormat="1" applyFont="1" applyFill="1" applyBorder="1" applyAlignment="1">
      <alignment horizontal="center"/>
    </xf>
    <xf numFmtId="169" fontId="30" fillId="6" borderId="15" xfId="1" applyNumberFormat="1" applyFont="1" applyFill="1" applyBorder="1" applyAlignment="1">
      <alignment horizontal="center"/>
    </xf>
    <xf numFmtId="0" fontId="27" fillId="2" borderId="64" xfId="1" applyFont="1" applyFill="1" applyBorder="1" applyAlignment="1">
      <alignment horizontal="right"/>
    </xf>
    <xf numFmtId="0" fontId="31" fillId="3" borderId="54" xfId="1" applyFont="1" applyFill="1" applyBorder="1" applyAlignment="1" applyProtection="1">
      <alignment horizontal="center"/>
      <protection locked="0"/>
    </xf>
    <xf numFmtId="0" fontId="27" fillId="2" borderId="26" xfId="1" applyFont="1" applyFill="1" applyBorder="1" applyAlignment="1">
      <alignment horizontal="right"/>
    </xf>
    <xf numFmtId="2" fontId="27" fillId="6" borderId="49" xfId="1" applyNumberFormat="1" applyFont="1" applyFill="1" applyBorder="1" applyAlignment="1">
      <alignment horizontal="center"/>
    </xf>
    <xf numFmtId="2" fontId="27" fillId="7" borderId="49" xfId="1" applyNumberFormat="1" applyFont="1" applyFill="1" applyBorder="1" applyAlignment="1">
      <alignment horizontal="center"/>
    </xf>
    <xf numFmtId="166" fontId="27" fillId="6" borderId="49" xfId="1" applyNumberFormat="1" applyFont="1" applyFill="1" applyBorder="1" applyAlignment="1">
      <alignment horizontal="center"/>
    </xf>
    <xf numFmtId="166" fontId="27" fillId="7" borderId="49" xfId="1" applyNumberFormat="1" applyFont="1" applyFill="1" applyBorder="1" applyAlignment="1">
      <alignment horizontal="center"/>
    </xf>
    <xf numFmtId="2" fontId="25" fillId="2" borderId="0" xfId="1" applyNumberFormat="1" applyFont="1" applyFill="1" applyAlignment="1">
      <alignment horizontal="center"/>
    </xf>
    <xf numFmtId="0" fontId="27" fillId="2" borderId="55" xfId="1" applyFont="1" applyFill="1" applyBorder="1" applyAlignment="1">
      <alignment horizontal="right"/>
    </xf>
    <xf numFmtId="2" fontId="27" fillId="7" borderId="28" xfId="1" applyNumberFormat="1" applyFont="1" applyFill="1" applyBorder="1" applyAlignment="1">
      <alignment horizontal="center"/>
    </xf>
    <xf numFmtId="0" fontId="30" fillId="2" borderId="0" xfId="1" applyFont="1" applyFill="1" applyAlignment="1">
      <alignment horizontal="center" wrapText="1"/>
    </xf>
    <xf numFmtId="0" fontId="27" fillId="2" borderId="16" xfId="1" applyFont="1" applyFill="1" applyBorder="1" applyAlignment="1">
      <alignment horizontal="right"/>
    </xf>
    <xf numFmtId="169" fontId="30" fillId="7" borderId="16" xfId="1" applyNumberFormat="1" applyFont="1" applyFill="1" applyBorder="1" applyAlignment="1">
      <alignment horizontal="center"/>
    </xf>
    <xf numFmtId="10" fontId="27" fillId="2" borderId="0" xfId="1" applyNumberFormat="1" applyFont="1" applyFill="1" applyAlignment="1">
      <alignment horizontal="center"/>
    </xf>
    <xf numFmtId="10" fontId="30" fillId="6" borderId="41" xfId="1" applyNumberFormat="1" applyFont="1" applyFill="1" applyBorder="1" applyAlignment="1">
      <alignment horizontal="center"/>
    </xf>
    <xf numFmtId="0" fontId="30" fillId="7" borderId="17" xfId="1" applyFont="1" applyFill="1" applyBorder="1" applyAlignment="1">
      <alignment horizontal="center"/>
    </xf>
    <xf numFmtId="0" fontId="30" fillId="2" borderId="25" xfId="1" applyFont="1" applyFill="1" applyBorder="1" applyAlignment="1">
      <alignment horizontal="center" wrapText="1"/>
    </xf>
    <xf numFmtId="1" fontId="31" fillId="3" borderId="13" xfId="1" applyNumberFormat="1" applyFont="1" applyFill="1" applyBorder="1" applyAlignment="1" applyProtection="1">
      <alignment horizontal="center"/>
      <protection locked="0"/>
    </xf>
    <xf numFmtId="166" fontId="27" fillId="2" borderId="13" xfId="1" applyNumberFormat="1" applyFont="1" applyFill="1" applyBorder="1" applyAlignment="1">
      <alignment horizontal="center"/>
    </xf>
    <xf numFmtId="173" fontId="27" fillId="2" borderId="25" xfId="1" applyNumberFormat="1" applyFont="1" applyFill="1" applyBorder="1" applyAlignment="1">
      <alignment horizontal="center"/>
    </xf>
    <xf numFmtId="1" fontId="31" fillId="3" borderId="14" xfId="1" applyNumberFormat="1" applyFont="1" applyFill="1" applyBorder="1" applyAlignment="1" applyProtection="1">
      <alignment horizontal="center"/>
      <protection locked="0"/>
    </xf>
    <xf numFmtId="166" fontId="27" fillId="2" borderId="14" xfId="1" applyNumberFormat="1" applyFont="1" applyFill="1" applyBorder="1" applyAlignment="1">
      <alignment horizontal="center"/>
    </xf>
    <xf numFmtId="173" fontId="27" fillId="2" borderId="31" xfId="1" applyNumberFormat="1" applyFont="1" applyFill="1" applyBorder="1" applyAlignment="1">
      <alignment horizontal="center"/>
    </xf>
    <xf numFmtId="1" fontId="31" fillId="3" borderId="15" xfId="1" applyNumberFormat="1" applyFont="1" applyFill="1" applyBorder="1" applyAlignment="1" applyProtection="1">
      <alignment horizontal="center"/>
      <protection locked="0"/>
    </xf>
    <xf numFmtId="166" fontId="27" fillId="2" borderId="15" xfId="1" applyNumberFormat="1" applyFont="1" applyFill="1" applyBorder="1" applyAlignment="1">
      <alignment horizontal="center"/>
    </xf>
    <xf numFmtId="173" fontId="27" fillId="2" borderId="48" xfId="1" applyNumberFormat="1" applyFont="1" applyFill="1" applyBorder="1" applyAlignment="1">
      <alignment horizontal="center"/>
    </xf>
    <xf numFmtId="0" fontId="27" fillId="2" borderId="23" xfId="1" applyFont="1" applyFill="1" applyBorder="1" applyAlignment="1">
      <alignment horizontal="center"/>
    </xf>
    <xf numFmtId="169" fontId="27" fillId="2" borderId="16" xfId="1" applyNumberFormat="1" applyFont="1" applyFill="1" applyBorder="1" applyAlignment="1">
      <alignment horizontal="right"/>
    </xf>
    <xf numFmtId="2" fontId="31" fillId="7" borderId="59" xfId="1" applyNumberFormat="1" applyFont="1" applyFill="1" applyBorder="1" applyAlignment="1">
      <alignment horizontal="center"/>
    </xf>
    <xf numFmtId="170" fontId="31" fillId="7" borderId="54" xfId="1" applyNumberFormat="1" applyFont="1" applyFill="1" applyBorder="1" applyAlignment="1">
      <alignment horizontal="center"/>
    </xf>
    <xf numFmtId="0" fontId="27" fillId="2" borderId="23" xfId="1" applyFont="1" applyFill="1" applyBorder="1"/>
    <xf numFmtId="0" fontId="27" fillId="2" borderId="14" xfId="1" applyFont="1" applyFill="1" applyBorder="1" applyAlignment="1">
      <alignment horizontal="right"/>
    </xf>
    <xf numFmtId="10" fontId="31" fillId="6" borderId="49" xfId="1" applyNumberFormat="1" applyFont="1" applyFill="1" applyBorder="1" applyAlignment="1">
      <alignment horizontal="center"/>
    </xf>
    <xf numFmtId="0" fontId="27" fillId="2" borderId="43" xfId="1" applyFont="1" applyFill="1" applyBorder="1"/>
    <xf numFmtId="0" fontId="31" fillId="7" borderId="29" xfId="1" applyFont="1" applyFill="1" applyBorder="1" applyAlignment="1">
      <alignment horizontal="center"/>
    </xf>
    <xf numFmtId="0" fontId="31" fillId="7" borderId="65" xfId="1" applyFont="1" applyFill="1" applyBorder="1" applyAlignment="1">
      <alignment horizontal="center"/>
    </xf>
    <xf numFmtId="0" fontId="27" fillId="2" borderId="13" xfId="1" applyFont="1" applyFill="1" applyBorder="1"/>
    <xf numFmtId="0" fontId="28" fillId="2" borderId="0" xfId="1" applyFont="1" applyFill="1" applyAlignment="1">
      <alignment horizontal="right" vertical="center" wrapText="1"/>
    </xf>
    <xf numFmtId="2" fontId="31" fillId="6" borderId="61" xfId="1" applyNumberFormat="1" applyFont="1" applyFill="1" applyBorder="1" applyAlignment="1">
      <alignment horizontal="center"/>
    </xf>
    <xf numFmtId="170" fontId="31" fillId="6" borderId="61" xfId="1" applyNumberFormat="1" applyFont="1" applyFill="1" applyBorder="1" applyAlignment="1">
      <alignment horizontal="center"/>
    </xf>
    <xf numFmtId="2" fontId="31" fillId="7" borderId="62" xfId="1" applyNumberFormat="1" applyFont="1" applyFill="1" applyBorder="1" applyAlignment="1">
      <alignment horizontal="center"/>
    </xf>
    <xf numFmtId="170" fontId="31" fillId="7" borderId="62" xfId="1" applyNumberFormat="1" applyFont="1" applyFill="1" applyBorder="1" applyAlignment="1">
      <alignment horizontal="center"/>
    </xf>
    <xf numFmtId="174" fontId="40" fillId="2" borderId="0" xfId="1" applyNumberFormat="1" applyFont="1" applyFill="1" applyAlignment="1">
      <alignment horizontal="center"/>
    </xf>
    <xf numFmtId="165" fontId="31" fillId="2" borderId="0" xfId="1" applyNumberFormat="1" applyFont="1" applyFill="1" applyAlignment="1">
      <alignment horizontal="center"/>
    </xf>
    <xf numFmtId="0" fontId="28" fillId="2" borderId="9" xfId="1" applyFont="1" applyFill="1" applyBorder="1" applyAlignment="1">
      <alignment horizontal="left" vertical="center" wrapText="1"/>
    </xf>
    <xf numFmtId="0" fontId="27" fillId="2" borderId="9" xfId="1" applyFont="1" applyFill="1" applyBorder="1"/>
    <xf numFmtId="0" fontId="27" fillId="2" borderId="10" xfId="1" applyFont="1" applyFill="1" applyBorder="1" applyAlignment="1">
      <alignment horizontal="center"/>
    </xf>
    <xf numFmtId="0" fontId="27" fillId="2" borderId="7" xfId="1" applyFont="1" applyFill="1" applyBorder="1"/>
    <xf numFmtId="0" fontId="30" fillId="2" borderId="11" xfId="1" applyFont="1" applyFill="1" applyBorder="1"/>
    <xf numFmtId="0" fontId="27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10" fontId="35" fillId="2" borderId="14" xfId="1" applyNumberFormat="1" applyFont="1" applyFill="1" applyBorder="1" applyAlignment="1">
      <alignment horizontal="center" vertical="center"/>
    </xf>
    <xf numFmtId="0" fontId="28" fillId="2" borderId="21" xfId="1" applyFont="1" applyFill="1" applyBorder="1" applyAlignment="1">
      <alignment horizontal="left" vertical="center" wrapText="1"/>
    </xf>
    <xf numFmtId="0" fontId="28" fillId="2" borderId="10" xfId="1" applyFont="1" applyFill="1" applyBorder="1" applyAlignment="1">
      <alignment horizontal="left" vertical="center" wrapText="1"/>
    </xf>
    <xf numFmtId="0" fontId="28" fillId="2" borderId="43" xfId="1" applyFont="1" applyFill="1" applyBorder="1" applyAlignment="1">
      <alignment horizontal="left" vertical="center" wrapText="1"/>
    </xf>
    <xf numFmtId="0" fontId="28" fillId="2" borderId="9" xfId="1" applyFont="1" applyFill="1" applyBorder="1" applyAlignment="1">
      <alignment horizontal="left" vertical="center" wrapText="1"/>
    </xf>
    <xf numFmtId="0" fontId="28" fillId="2" borderId="25" xfId="1" applyFont="1" applyFill="1" applyBorder="1" applyAlignment="1">
      <alignment horizontal="left" vertical="center" wrapText="1"/>
    </xf>
    <xf numFmtId="0" fontId="28" fillId="2" borderId="48" xfId="1" applyFont="1" applyFill="1" applyBorder="1" applyAlignment="1">
      <alignment horizontal="left" vertical="center" wrapText="1"/>
    </xf>
    <xf numFmtId="0" fontId="30" fillId="2" borderId="51" xfId="1" applyFont="1" applyFill="1" applyBorder="1" applyAlignment="1">
      <alignment horizontal="center" vertical="center"/>
    </xf>
    <xf numFmtId="0" fontId="30" fillId="2" borderId="59" xfId="1" applyFont="1" applyFill="1" applyBorder="1" applyAlignment="1">
      <alignment horizontal="center" vertical="center"/>
    </xf>
    <xf numFmtId="0" fontId="30" fillId="2" borderId="0" xfId="1" applyFont="1" applyFill="1" applyAlignment="1">
      <alignment horizontal="center"/>
    </xf>
    <xf numFmtId="0" fontId="30" fillId="2" borderId="10" xfId="1" applyFont="1" applyFill="1" applyBorder="1" applyAlignment="1">
      <alignment horizontal="center"/>
    </xf>
    <xf numFmtId="0" fontId="31" fillId="3" borderId="0" xfId="1" applyFont="1" applyFill="1" applyAlignment="1" applyProtection="1">
      <alignment horizontal="left"/>
      <protection locked="0"/>
    </xf>
    <xf numFmtId="0" fontId="28" fillId="2" borderId="18" xfId="1" applyFont="1" applyFill="1" applyBorder="1" applyAlignment="1">
      <alignment horizontal="justify" vertical="center" wrapText="1"/>
    </xf>
    <xf numFmtId="0" fontId="28" fillId="2" borderId="19" xfId="1" applyFont="1" applyFill="1" applyBorder="1" applyAlignment="1">
      <alignment horizontal="justify" vertical="center" wrapText="1"/>
    </xf>
    <xf numFmtId="0" fontId="28" fillId="2" borderId="20" xfId="1" applyFont="1" applyFill="1" applyBorder="1" applyAlignment="1">
      <alignment horizontal="justify" vertical="center" wrapText="1"/>
    </xf>
    <xf numFmtId="0" fontId="28" fillId="2" borderId="18" xfId="1" applyFont="1" applyFill="1" applyBorder="1" applyAlignment="1">
      <alignment horizontal="left" vertical="center" wrapText="1"/>
    </xf>
    <xf numFmtId="0" fontId="28" fillId="2" borderId="19" xfId="1" applyFont="1" applyFill="1" applyBorder="1" applyAlignment="1">
      <alignment horizontal="left" vertical="center" wrapText="1"/>
    </xf>
    <xf numFmtId="0" fontId="28" fillId="2" borderId="20" xfId="1" applyFont="1" applyFill="1" applyBorder="1" applyAlignment="1">
      <alignment horizontal="left" vertical="center" wrapText="1"/>
    </xf>
    <xf numFmtId="0" fontId="30" fillId="2" borderId="51" xfId="1" applyFont="1" applyFill="1" applyBorder="1" applyAlignment="1">
      <alignment horizontal="center"/>
    </xf>
    <xf numFmtId="0" fontId="30" fillId="2" borderId="59" xfId="1" applyFont="1" applyFill="1" applyBorder="1" applyAlignment="1">
      <alignment horizontal="center"/>
    </xf>
    <xf numFmtId="0" fontId="30" fillId="2" borderId="40" xfId="1" applyFont="1" applyFill="1" applyBorder="1" applyAlignment="1">
      <alignment horizontal="center"/>
    </xf>
    <xf numFmtId="0" fontId="30" fillId="2" borderId="10" xfId="1" applyFont="1" applyFill="1" applyBorder="1" applyAlignment="1">
      <alignment horizontal="center" vertical="center"/>
    </xf>
    <xf numFmtId="0" fontId="30" fillId="2" borderId="0" xfId="1" applyFont="1" applyFill="1" applyAlignment="1">
      <alignment horizontal="center" vertical="center"/>
    </xf>
    <xf numFmtId="0" fontId="30" fillId="2" borderId="9" xfId="1" applyFont="1" applyFill="1" applyBorder="1" applyAlignment="1">
      <alignment horizontal="center" vertical="center"/>
    </xf>
    <xf numFmtId="2" fontId="31" fillId="3" borderId="13" xfId="1" applyNumberFormat="1" applyFont="1" applyFill="1" applyBorder="1" applyAlignment="1" applyProtection="1">
      <alignment horizontal="center" vertical="center"/>
      <protection locked="0"/>
    </xf>
    <xf numFmtId="2" fontId="31" fillId="3" borderId="14" xfId="1" applyNumberFormat="1" applyFont="1" applyFill="1" applyBorder="1" applyAlignment="1" applyProtection="1">
      <alignment horizontal="center" vertical="center"/>
      <protection locked="0"/>
    </xf>
    <xf numFmtId="2" fontId="31" fillId="3" borderId="15" xfId="1" applyNumberFormat="1" applyFont="1" applyFill="1" applyBorder="1" applyAlignment="1" applyProtection="1">
      <alignment horizontal="center" vertical="center"/>
      <protection locked="0"/>
    </xf>
    <xf numFmtId="0" fontId="30" fillId="2" borderId="43" xfId="1" applyFont="1" applyFill="1" applyBorder="1" applyAlignment="1">
      <alignment horizontal="center" vertical="center"/>
    </xf>
    <xf numFmtId="0" fontId="28" fillId="2" borderId="21" xfId="1" applyFont="1" applyFill="1" applyBorder="1" applyAlignment="1">
      <alignment horizontal="center" vertical="center" wrapText="1"/>
    </xf>
    <xf numFmtId="0" fontId="28" fillId="2" borderId="25" xfId="1" applyFont="1" applyFill="1" applyBorder="1" applyAlignment="1">
      <alignment horizontal="center" vertical="center" wrapText="1"/>
    </xf>
    <xf numFmtId="0" fontId="28" fillId="2" borderId="43" xfId="1" applyFont="1" applyFill="1" applyBorder="1" applyAlignment="1">
      <alignment horizontal="center" vertical="center" wrapText="1"/>
    </xf>
    <xf numFmtId="0" fontId="28" fillId="2" borderId="48" xfId="1" applyFont="1" applyFill="1" applyBorder="1" applyAlignment="1">
      <alignment horizontal="center" vertical="center" wrapText="1"/>
    </xf>
    <xf numFmtId="0" fontId="24" fillId="2" borderId="0" xfId="1" applyFont="1" applyFill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8" fillId="2" borderId="18" xfId="1" applyFont="1" applyFill="1" applyBorder="1" applyAlignment="1">
      <alignment horizontal="center"/>
    </xf>
    <xf numFmtId="0" fontId="28" fillId="2" borderId="19" xfId="1" applyFont="1" applyFill="1" applyBorder="1" applyAlignment="1">
      <alignment horizontal="center"/>
    </xf>
    <xf numFmtId="0" fontId="28" fillId="2" borderId="20" xfId="1" applyFont="1" applyFill="1" applyBorder="1" applyAlignment="1">
      <alignment horizontal="center"/>
    </xf>
    <xf numFmtId="0" fontId="29" fillId="2" borderId="10" xfId="1" applyFont="1" applyFill="1" applyBorder="1" applyAlignment="1">
      <alignment horizontal="center" vertical="center"/>
    </xf>
    <xf numFmtId="0" fontId="32" fillId="3" borderId="0" xfId="1" applyFont="1" applyFill="1" applyAlignment="1" applyProtection="1">
      <alignment horizontal="left" wrapText="1"/>
      <protection locked="0"/>
    </xf>
    <xf numFmtId="0" fontId="31" fillId="3" borderId="0" xfId="1" applyFont="1" applyFill="1" applyAlignment="1" applyProtection="1">
      <alignment horizontal="left" wrapText="1"/>
      <protection locked="0"/>
    </xf>
    <xf numFmtId="0" fontId="32" fillId="3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GANGAYI/NDQB20170643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RITONAVIR"/>
    </sheetNames>
    <sheetDataSet>
      <sheetData sheetId="0"/>
      <sheetData sheetId="1">
        <row r="46">
          <cell r="C46">
            <v>2013.6475000000003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C20" sqref="C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47" t="s">
        <v>0</v>
      </c>
      <c r="B15" s="447"/>
      <c r="C15" s="447"/>
      <c r="D15" s="447"/>
      <c r="E15" s="4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92.86</v>
      </c>
      <c r="C19" s="10"/>
      <c r="D19" s="10"/>
      <c r="E19" s="10"/>
    </row>
    <row r="20" spans="1:6" ht="16.5" customHeight="1" x14ac:dyDescent="0.3">
      <c r="A20" s="7" t="s">
        <v>8</v>
      </c>
      <c r="B20" s="12">
        <v>31.51</v>
      </c>
      <c r="C20" s="10"/>
      <c r="D20" s="10"/>
      <c r="E20" s="10"/>
    </row>
    <row r="21" spans="1:6" ht="16.5" customHeight="1" x14ac:dyDescent="0.3">
      <c r="A21" s="7" t="s">
        <v>10</v>
      </c>
      <c r="B21" s="13">
        <f>31.51/25</f>
        <v>1.2604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61931453</v>
      </c>
      <c r="C24" s="18">
        <v>11667.03</v>
      </c>
      <c r="D24" s="19">
        <v>1.03</v>
      </c>
      <c r="E24" s="20">
        <v>18.690000000000001</v>
      </c>
    </row>
    <row r="25" spans="1:6" ht="16.5" customHeight="1" x14ac:dyDescent="0.3">
      <c r="A25" s="17">
        <v>2</v>
      </c>
      <c r="B25" s="18">
        <v>62047306</v>
      </c>
      <c r="C25" s="18">
        <v>11706.38</v>
      </c>
      <c r="D25" s="19">
        <v>1.03</v>
      </c>
      <c r="E25" s="19">
        <v>18.690000000000001</v>
      </c>
    </row>
    <row r="26" spans="1:6" ht="16.5" customHeight="1" x14ac:dyDescent="0.3">
      <c r="A26" s="17">
        <v>3</v>
      </c>
      <c r="B26" s="18">
        <v>62018610</v>
      </c>
      <c r="C26" s="18">
        <v>11749.24</v>
      </c>
      <c r="D26" s="19">
        <v>1.03</v>
      </c>
      <c r="E26" s="19">
        <v>18.7</v>
      </c>
    </row>
    <row r="27" spans="1:6" ht="16.5" customHeight="1" x14ac:dyDescent="0.3">
      <c r="A27" s="17">
        <v>4</v>
      </c>
      <c r="B27" s="18">
        <v>62029281</v>
      </c>
      <c r="C27" s="18">
        <v>11756.66</v>
      </c>
      <c r="D27" s="19">
        <v>1.03</v>
      </c>
      <c r="E27" s="19">
        <v>18.7</v>
      </c>
    </row>
    <row r="28" spans="1:6" ht="16.5" customHeight="1" x14ac:dyDescent="0.3">
      <c r="A28" s="17">
        <v>5</v>
      </c>
      <c r="B28" s="18">
        <v>62042020</v>
      </c>
      <c r="C28" s="18">
        <v>11717.24</v>
      </c>
      <c r="D28" s="19">
        <v>1.03</v>
      </c>
      <c r="E28" s="19">
        <v>18.7</v>
      </c>
    </row>
    <row r="29" spans="1:6" ht="16.5" customHeight="1" x14ac:dyDescent="0.3">
      <c r="A29" s="17">
        <v>6</v>
      </c>
      <c r="B29" s="21">
        <v>62035193</v>
      </c>
      <c r="C29" s="21">
        <v>11758.05</v>
      </c>
      <c r="D29" s="22">
        <v>1.04</v>
      </c>
      <c r="E29" s="22">
        <v>18.7</v>
      </c>
    </row>
    <row r="30" spans="1:6" ht="16.5" customHeight="1" x14ac:dyDescent="0.3">
      <c r="A30" s="23" t="s">
        <v>18</v>
      </c>
      <c r="B30" s="24">
        <f>AVERAGE(B24:B29)</f>
        <v>62017310.5</v>
      </c>
      <c r="C30" s="25">
        <f>AVERAGE(C24:C29)</f>
        <v>11725.766666666665</v>
      </c>
      <c r="D30" s="26">
        <f>AVERAGE(D24:D29)</f>
        <v>1.0316666666666667</v>
      </c>
      <c r="E30" s="26">
        <f>AVERAGE(E24:E29)</f>
        <v>18.696666666666669</v>
      </c>
    </row>
    <row r="31" spans="1:6" ht="16.5" customHeight="1" x14ac:dyDescent="0.3">
      <c r="A31" s="27" t="s">
        <v>19</v>
      </c>
      <c r="B31" s="28">
        <f>(STDEV(B24:B29)/B30)</f>
        <v>6.9715297822348391E-4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169</v>
      </c>
      <c r="C35" s="38"/>
      <c r="D35" s="38"/>
      <c r="E35" s="39"/>
      <c r="F35" s="2"/>
    </row>
    <row r="36" spans="1:6" ht="16.5" customHeight="1" x14ac:dyDescent="0.3">
      <c r="A36" s="11"/>
      <c r="B36" s="40" t="s">
        <v>170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48" t="s">
        <v>26</v>
      </c>
      <c r="C59" s="4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52" t="s">
        <v>31</v>
      </c>
      <c r="B11" s="453"/>
      <c r="C11" s="453"/>
      <c r="D11" s="453"/>
      <c r="E11" s="453"/>
      <c r="F11" s="454"/>
      <c r="G11" s="91"/>
    </row>
    <row r="12" spans="1:7" ht="16.5" customHeight="1" x14ac:dyDescent="0.3">
      <c r="A12" s="451" t="s">
        <v>32</v>
      </c>
      <c r="B12" s="451"/>
      <c r="C12" s="451"/>
      <c r="D12" s="451"/>
      <c r="E12" s="451"/>
      <c r="F12" s="451"/>
      <c r="G12" s="90"/>
    </row>
    <row r="14" spans="1:7" ht="16.5" customHeight="1" x14ac:dyDescent="0.3">
      <c r="A14" s="456" t="s">
        <v>33</v>
      </c>
      <c r="B14" s="456"/>
      <c r="C14" s="60" t="s">
        <v>5</v>
      </c>
    </row>
    <row r="15" spans="1:7" ht="16.5" customHeight="1" x14ac:dyDescent="0.3">
      <c r="A15" s="456" t="s">
        <v>34</v>
      </c>
      <c r="B15" s="456"/>
      <c r="C15" s="60" t="s">
        <v>7</v>
      </c>
    </row>
    <row r="16" spans="1:7" ht="16.5" customHeight="1" x14ac:dyDescent="0.3">
      <c r="A16" s="456" t="s">
        <v>35</v>
      </c>
      <c r="B16" s="456"/>
      <c r="C16" s="60" t="s">
        <v>9</v>
      </c>
    </row>
    <row r="17" spans="1:5" ht="16.5" customHeight="1" x14ac:dyDescent="0.3">
      <c r="A17" s="456" t="s">
        <v>36</v>
      </c>
      <c r="B17" s="456"/>
      <c r="C17" s="60" t="s">
        <v>11</v>
      </c>
    </row>
    <row r="18" spans="1:5" ht="16.5" customHeight="1" x14ac:dyDescent="0.3">
      <c r="A18" s="456" t="s">
        <v>37</v>
      </c>
      <c r="B18" s="456"/>
      <c r="C18" s="97" t="s">
        <v>12</v>
      </c>
    </row>
    <row r="19" spans="1:5" ht="16.5" customHeight="1" x14ac:dyDescent="0.3">
      <c r="A19" s="456" t="s">
        <v>38</v>
      </c>
      <c r="B19" s="45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51" t="s">
        <v>1</v>
      </c>
      <c r="B21" s="451"/>
      <c r="C21" s="59" t="s">
        <v>39</v>
      </c>
      <c r="D21" s="66"/>
    </row>
    <row r="22" spans="1:5" ht="15.75" customHeight="1" x14ac:dyDescent="0.3">
      <c r="A22" s="455"/>
      <c r="B22" s="455"/>
      <c r="C22" s="57"/>
      <c r="D22" s="455"/>
      <c r="E22" s="45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2025.86</v>
      </c>
      <c r="D24" s="87">
        <f t="shared" ref="D24:D43" si="0">(C24-$C$46)/$C$46</f>
        <v>6.0648648782866089E-3</v>
      </c>
      <c r="E24" s="53"/>
    </row>
    <row r="25" spans="1:5" ht="15.75" customHeight="1" x14ac:dyDescent="0.3">
      <c r="C25" s="95">
        <v>2024.13</v>
      </c>
      <c r="D25" s="88">
        <f t="shared" si="0"/>
        <v>5.2057274175345211E-3</v>
      </c>
      <c r="E25" s="53"/>
    </row>
    <row r="26" spans="1:5" ht="15.75" customHeight="1" x14ac:dyDescent="0.3">
      <c r="C26" s="95">
        <v>2011.63</v>
      </c>
      <c r="D26" s="88">
        <f t="shared" si="0"/>
        <v>-1.0019131948368096E-3</v>
      </c>
      <c r="E26" s="53"/>
    </row>
    <row r="27" spans="1:5" ht="15.75" customHeight="1" x14ac:dyDescent="0.3">
      <c r="C27" s="95">
        <v>2010.16</v>
      </c>
      <c r="D27" s="88">
        <f t="shared" si="0"/>
        <v>-1.7319317308516916E-3</v>
      </c>
      <c r="E27" s="53"/>
    </row>
    <row r="28" spans="1:5" ht="15.75" customHeight="1" x14ac:dyDescent="0.3">
      <c r="C28" s="95">
        <v>2011.46</v>
      </c>
      <c r="D28" s="88">
        <f t="shared" si="0"/>
        <v>-1.0863371071650957E-3</v>
      </c>
      <c r="E28" s="53"/>
    </row>
    <row r="29" spans="1:5" ht="15.75" customHeight="1" x14ac:dyDescent="0.3">
      <c r="C29" s="95">
        <v>2011.87</v>
      </c>
      <c r="D29" s="88">
        <f t="shared" si="0"/>
        <v>-8.8272649507938831E-4</v>
      </c>
      <c r="E29" s="53"/>
    </row>
    <row r="30" spans="1:5" ht="15.75" customHeight="1" x14ac:dyDescent="0.3">
      <c r="C30" s="95">
        <v>2013.13</v>
      </c>
      <c r="D30" s="88">
        <f t="shared" si="0"/>
        <v>-2.5699632135224988E-4</v>
      </c>
      <c r="E30" s="53"/>
    </row>
    <row r="31" spans="1:5" ht="15.75" customHeight="1" x14ac:dyDescent="0.3">
      <c r="C31" s="95">
        <v>2026.3</v>
      </c>
      <c r="D31" s="88">
        <f t="shared" si="0"/>
        <v>6.2833738278421066E-3</v>
      </c>
      <c r="E31" s="53"/>
    </row>
    <row r="32" spans="1:5" ht="15.75" customHeight="1" x14ac:dyDescent="0.3">
      <c r="C32" s="95">
        <v>2001.67</v>
      </c>
      <c r="D32" s="88">
        <f t="shared" si="0"/>
        <v>-5.9481612347743037E-3</v>
      </c>
      <c r="E32" s="53"/>
    </row>
    <row r="33" spans="1:7" ht="15.75" customHeight="1" x14ac:dyDescent="0.3">
      <c r="C33" s="95">
        <v>2008.68</v>
      </c>
      <c r="D33" s="88">
        <f t="shared" si="0"/>
        <v>-2.4669163793564659E-3</v>
      </c>
      <c r="E33" s="53"/>
    </row>
    <row r="34" spans="1:7" ht="15.75" customHeight="1" x14ac:dyDescent="0.3">
      <c r="C34" s="95">
        <v>2009.95</v>
      </c>
      <c r="D34" s="88">
        <f t="shared" si="0"/>
        <v>-1.8362200931395479E-3</v>
      </c>
      <c r="E34" s="53"/>
    </row>
    <row r="35" spans="1:7" ht="15.75" customHeight="1" x14ac:dyDescent="0.3">
      <c r="C35" s="95">
        <v>2005.61</v>
      </c>
      <c r="D35" s="88">
        <f t="shared" si="0"/>
        <v>-3.9915129137549459E-3</v>
      </c>
      <c r="E35" s="53"/>
    </row>
    <row r="36" spans="1:7" ht="15.75" customHeight="1" x14ac:dyDescent="0.3">
      <c r="C36" s="95">
        <v>2007.69</v>
      </c>
      <c r="D36" s="88">
        <f t="shared" si="0"/>
        <v>-2.9585615158562797E-3</v>
      </c>
      <c r="E36" s="53"/>
    </row>
    <row r="37" spans="1:7" ht="15.75" customHeight="1" x14ac:dyDescent="0.3">
      <c r="C37" s="95">
        <v>2011.95</v>
      </c>
      <c r="D37" s="88">
        <f t="shared" si="0"/>
        <v>-8.429975951601351E-4</v>
      </c>
      <c r="E37" s="53"/>
    </row>
    <row r="38" spans="1:7" ht="15.75" customHeight="1" x14ac:dyDescent="0.3">
      <c r="C38" s="95">
        <v>2012.04</v>
      </c>
      <c r="D38" s="88">
        <f t="shared" si="0"/>
        <v>-7.9830258275110212E-4</v>
      </c>
      <c r="E38" s="53"/>
    </row>
    <row r="39" spans="1:7" ht="15.75" customHeight="1" x14ac:dyDescent="0.3">
      <c r="C39" s="95">
        <v>2017.99</v>
      </c>
      <c r="D39" s="88">
        <f t="shared" si="0"/>
        <v>2.1565343487376736E-3</v>
      </c>
      <c r="E39" s="53"/>
    </row>
    <row r="40" spans="1:7" ht="15.75" customHeight="1" x14ac:dyDescent="0.3">
      <c r="C40" s="95">
        <v>2017.21</v>
      </c>
      <c r="D40" s="88">
        <f t="shared" si="0"/>
        <v>1.7691775745257163E-3</v>
      </c>
      <c r="E40" s="53"/>
    </row>
    <row r="41" spans="1:7" ht="15.75" customHeight="1" x14ac:dyDescent="0.3">
      <c r="C41" s="95">
        <v>2010.64</v>
      </c>
      <c r="D41" s="88">
        <f t="shared" si="0"/>
        <v>-1.4935583313366234E-3</v>
      </c>
      <c r="E41" s="53"/>
    </row>
    <row r="42" spans="1:7" ht="15.75" customHeight="1" x14ac:dyDescent="0.3">
      <c r="C42" s="95">
        <v>2011.33</v>
      </c>
      <c r="D42" s="88">
        <f t="shared" si="0"/>
        <v>-1.1508965695338118E-3</v>
      </c>
      <c r="E42" s="53"/>
    </row>
    <row r="43" spans="1:7" ht="16.5" customHeight="1" x14ac:dyDescent="0.3">
      <c r="C43" s="96">
        <v>2023.65</v>
      </c>
      <c r="D43" s="89">
        <f t="shared" si="0"/>
        <v>4.9673540180194525E-3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40272.950000000004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2013.6475000000003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49">
        <f>C46</f>
        <v>2013.6475000000003</v>
      </c>
      <c r="C49" s="93">
        <f>-IF(C46&lt;=80,10%,IF(C46&lt;250,7.5%,5%))</f>
        <v>-0.05</v>
      </c>
      <c r="D49" s="81">
        <f>IF(C46&lt;=80,C46*0.9,IF(C46&lt;250,C46*0.925,C46*0.95))</f>
        <v>1912.9651250000002</v>
      </c>
    </row>
    <row r="50" spans="1:6" ht="17.25" customHeight="1" x14ac:dyDescent="0.3">
      <c r="B50" s="450"/>
      <c r="C50" s="94">
        <f>IF(C46&lt;=80, 10%, IF(C46&lt;250, 7.5%, 5%))</f>
        <v>0.05</v>
      </c>
      <c r="D50" s="81">
        <f>IF(C46&lt;=80, C46*1.1, IF(C46&lt;250, C46*1.075, C46*1.05))</f>
        <v>2114.3298750000004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45" zoomScale="60" zoomScaleNormal="70" workbookViewId="0">
      <selection activeCell="B29" sqref="B29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57" t="s">
        <v>45</v>
      </c>
      <c r="B1" s="457"/>
      <c r="C1" s="457"/>
      <c r="D1" s="457"/>
      <c r="E1" s="457"/>
      <c r="F1" s="457"/>
      <c r="G1" s="457"/>
    </row>
    <row r="2" spans="1:7" x14ac:dyDescent="0.2">
      <c r="A2" s="457"/>
      <c r="B2" s="457"/>
      <c r="C2" s="457"/>
      <c r="D2" s="457"/>
      <c r="E2" s="457"/>
      <c r="F2" s="457"/>
      <c r="G2" s="457"/>
    </row>
    <row r="3" spans="1:7" x14ac:dyDescent="0.2">
      <c r="A3" s="457"/>
      <c r="B3" s="457"/>
      <c r="C3" s="457"/>
      <c r="D3" s="457"/>
      <c r="E3" s="457"/>
      <c r="F3" s="457"/>
      <c r="G3" s="457"/>
    </row>
    <row r="4" spans="1:7" x14ac:dyDescent="0.2">
      <c r="A4" s="457"/>
      <c r="B4" s="457"/>
      <c r="C4" s="457"/>
      <c r="D4" s="457"/>
      <c r="E4" s="457"/>
      <c r="F4" s="457"/>
      <c r="G4" s="457"/>
    </row>
    <row r="5" spans="1:7" x14ac:dyDescent="0.2">
      <c r="A5" s="457"/>
      <c r="B5" s="457"/>
      <c r="C5" s="457"/>
      <c r="D5" s="457"/>
      <c r="E5" s="457"/>
      <c r="F5" s="457"/>
      <c r="G5" s="457"/>
    </row>
    <row r="6" spans="1:7" x14ac:dyDescent="0.2">
      <c r="A6" s="457"/>
      <c r="B6" s="457"/>
      <c r="C6" s="457"/>
      <c r="D6" s="457"/>
      <c r="E6" s="457"/>
      <c r="F6" s="457"/>
      <c r="G6" s="457"/>
    </row>
    <row r="7" spans="1:7" x14ac:dyDescent="0.2">
      <c r="A7" s="457"/>
      <c r="B7" s="457"/>
      <c r="C7" s="457"/>
      <c r="D7" s="457"/>
      <c r="E7" s="457"/>
      <c r="F7" s="457"/>
      <c r="G7" s="457"/>
    </row>
    <row r="8" spans="1:7" x14ac:dyDescent="0.2">
      <c r="A8" s="458" t="s">
        <v>46</v>
      </c>
      <c r="B8" s="458"/>
      <c r="C8" s="458"/>
      <c r="D8" s="458"/>
      <c r="E8" s="458"/>
      <c r="F8" s="458"/>
      <c r="G8" s="458"/>
    </row>
    <row r="9" spans="1:7" x14ac:dyDescent="0.2">
      <c r="A9" s="458"/>
      <c r="B9" s="458"/>
      <c r="C9" s="458"/>
      <c r="D9" s="458"/>
      <c r="E9" s="458"/>
      <c r="F9" s="458"/>
      <c r="G9" s="458"/>
    </row>
    <row r="10" spans="1:7" x14ac:dyDescent="0.2">
      <c r="A10" s="458"/>
      <c r="B10" s="458"/>
      <c r="C10" s="458"/>
      <c r="D10" s="458"/>
      <c r="E10" s="458"/>
      <c r="F10" s="458"/>
      <c r="G10" s="458"/>
    </row>
    <row r="11" spans="1:7" x14ac:dyDescent="0.2">
      <c r="A11" s="458"/>
      <c r="B11" s="458"/>
      <c r="C11" s="458"/>
      <c r="D11" s="458"/>
      <c r="E11" s="458"/>
      <c r="F11" s="458"/>
      <c r="G11" s="458"/>
    </row>
    <row r="12" spans="1:7" x14ac:dyDescent="0.2">
      <c r="A12" s="458"/>
      <c r="B12" s="458"/>
      <c r="C12" s="458"/>
      <c r="D12" s="458"/>
      <c r="E12" s="458"/>
      <c r="F12" s="458"/>
      <c r="G12" s="458"/>
    </row>
    <row r="13" spans="1:7" x14ac:dyDescent="0.2">
      <c r="A13" s="458"/>
      <c r="B13" s="458"/>
      <c r="C13" s="458"/>
      <c r="D13" s="458"/>
      <c r="E13" s="458"/>
      <c r="F13" s="458"/>
      <c r="G13" s="458"/>
    </row>
    <row r="14" spans="1:7" x14ac:dyDescent="0.2">
      <c r="A14" s="458"/>
      <c r="B14" s="458"/>
      <c r="C14" s="458"/>
      <c r="D14" s="458"/>
      <c r="E14" s="458"/>
      <c r="F14" s="458"/>
      <c r="G14" s="458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480" t="s">
        <v>31</v>
      </c>
      <c r="B16" s="481"/>
      <c r="C16" s="481"/>
      <c r="D16" s="481"/>
      <c r="E16" s="481"/>
      <c r="F16" s="481"/>
      <c r="G16" s="481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473" t="s">
        <v>5</v>
      </c>
      <c r="C18" s="473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275" t="s">
        <v>7</v>
      </c>
      <c r="C19" s="98">
        <v>36</v>
      </c>
      <c r="E19" s="98"/>
      <c r="F19" s="98"/>
      <c r="G19" s="98"/>
    </row>
    <row r="20" spans="1:7" ht="26.25" customHeight="1" x14ac:dyDescent="0.4">
      <c r="A20" s="100" t="s">
        <v>35</v>
      </c>
      <c r="B20" s="474" t="s">
        <v>9</v>
      </c>
      <c r="C20" s="474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>
        <v>43083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4">
        <v>43110</v>
      </c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473" t="s">
        <v>167</v>
      </c>
      <c r="C26" s="473"/>
      <c r="D26" s="98"/>
      <c r="E26" s="98"/>
      <c r="F26" s="98"/>
      <c r="G26" s="98"/>
    </row>
    <row r="27" spans="1:7" ht="26.25" customHeight="1" x14ac:dyDescent="0.4">
      <c r="A27" s="109" t="s">
        <v>48</v>
      </c>
      <c r="B27" s="474" t="s">
        <v>168</v>
      </c>
      <c r="C27" s="474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92.86</v>
      </c>
      <c r="C28" s="98"/>
      <c r="D28" s="98"/>
      <c r="E28" s="98"/>
      <c r="F28" s="98"/>
      <c r="G28" s="98"/>
    </row>
    <row r="29" spans="1:7" ht="27" customHeight="1" x14ac:dyDescent="0.4">
      <c r="A29" s="109" t="s">
        <v>49</v>
      </c>
      <c r="B29" s="111">
        <v>0</v>
      </c>
      <c r="C29" s="460" t="s">
        <v>50</v>
      </c>
      <c r="D29" s="461"/>
      <c r="E29" s="461"/>
      <c r="F29" s="461"/>
      <c r="G29" s="478"/>
    </row>
    <row r="30" spans="1:7" ht="19.5" customHeight="1" x14ac:dyDescent="0.3">
      <c r="A30" s="109" t="s">
        <v>51</v>
      </c>
      <c r="B30" s="113">
        <f>B28-B29</f>
        <v>92.86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52</v>
      </c>
      <c r="B31" s="115">
        <v>425</v>
      </c>
      <c r="C31" s="460" t="s">
        <v>53</v>
      </c>
      <c r="D31" s="461"/>
      <c r="E31" s="461"/>
      <c r="F31" s="461"/>
      <c r="G31" s="478"/>
    </row>
    <row r="32" spans="1:7" ht="27" customHeight="1" x14ac:dyDescent="0.4">
      <c r="A32" s="109" t="s">
        <v>54</v>
      </c>
      <c r="B32" s="115">
        <v>505</v>
      </c>
      <c r="C32" s="460" t="s">
        <v>55</v>
      </c>
      <c r="D32" s="461"/>
      <c r="E32" s="461"/>
      <c r="F32" s="461"/>
      <c r="G32" s="478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56</v>
      </c>
      <c r="B34" s="118">
        <f>B31/B32</f>
        <v>0.84158415841584155</v>
      </c>
      <c r="C34" s="98" t="s">
        <v>57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58</v>
      </c>
      <c r="B36" s="120">
        <v>25</v>
      </c>
      <c r="C36" s="98"/>
      <c r="D36" s="462" t="s">
        <v>59</v>
      </c>
      <c r="E36" s="479"/>
      <c r="F36" s="462" t="s">
        <v>60</v>
      </c>
      <c r="G36" s="463"/>
    </row>
    <row r="37" spans="1:7" ht="26.25" customHeight="1" x14ac:dyDescent="0.4">
      <c r="A37" s="121" t="s">
        <v>61</v>
      </c>
      <c r="B37" s="122">
        <v>1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</row>
    <row r="38" spans="1:7" ht="26.25" customHeight="1" x14ac:dyDescent="0.4">
      <c r="A38" s="121" t="s">
        <v>65</v>
      </c>
      <c r="B38" s="122">
        <v>1</v>
      </c>
      <c r="C38" s="127">
        <v>1</v>
      </c>
      <c r="D38" s="128">
        <v>61856210</v>
      </c>
      <c r="E38" s="129">
        <f>IF(ISBLANK(D38),"-",$D$48/$D$45*D38)</f>
        <v>62798414.783105738</v>
      </c>
      <c r="F38" s="128">
        <v>61594099</v>
      </c>
      <c r="G38" s="130">
        <f>IF(ISBLANK(F38),"-",$D$48/$F$45*F38)</f>
        <v>63684328.631496742</v>
      </c>
    </row>
    <row r="39" spans="1:7" ht="26.25" customHeight="1" x14ac:dyDescent="0.4">
      <c r="A39" s="121" t="s">
        <v>66</v>
      </c>
      <c r="B39" s="122">
        <v>1</v>
      </c>
      <c r="C39" s="131">
        <v>2</v>
      </c>
      <c r="D39" s="132">
        <v>62532809</v>
      </c>
      <c r="E39" s="133">
        <f>IF(ISBLANK(D39),"-",$D$48/$D$45*D39)</f>
        <v>63485319.85931126</v>
      </c>
      <c r="F39" s="132">
        <v>61464970</v>
      </c>
      <c r="G39" s="134">
        <f>IF(ISBLANK(F39),"-",$D$48/$F$45*F39)</f>
        <v>63550817.567849942</v>
      </c>
    </row>
    <row r="40" spans="1:7" ht="26.25" customHeight="1" x14ac:dyDescent="0.4">
      <c r="A40" s="121" t="s">
        <v>67</v>
      </c>
      <c r="B40" s="122">
        <v>1</v>
      </c>
      <c r="C40" s="131">
        <v>3</v>
      </c>
      <c r="D40" s="132">
        <v>62171686</v>
      </c>
      <c r="E40" s="133">
        <f>IF(ISBLANK(D40),"-",$D$48/$D$45*D40)</f>
        <v>63118696.169600561</v>
      </c>
      <c r="F40" s="132">
        <v>61134188</v>
      </c>
      <c r="G40" s="134">
        <f>IF(ISBLANK(F40),"-",$D$48/$F$45*F40)</f>
        <v>63208810.298722036</v>
      </c>
    </row>
    <row r="41" spans="1:7" ht="26.25" customHeight="1" x14ac:dyDescent="0.4">
      <c r="A41" s="121" t="s">
        <v>68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69</v>
      </c>
      <c r="B42" s="122">
        <v>1</v>
      </c>
      <c r="C42" s="139" t="s">
        <v>70</v>
      </c>
      <c r="D42" s="140">
        <f>AVERAGE(D38:D41)</f>
        <v>62186901.666666664</v>
      </c>
      <c r="E42" s="141">
        <f>AVERAGE(E38:E41)</f>
        <v>63134143.604005851</v>
      </c>
      <c r="F42" s="140">
        <f>AVERAGE(F38:F41)</f>
        <v>61397752.333333336</v>
      </c>
      <c r="G42" s="142">
        <f>AVERAGE(G38:G41)</f>
        <v>63481318.832689576</v>
      </c>
    </row>
    <row r="43" spans="1:7" ht="26.25" customHeight="1" x14ac:dyDescent="0.4">
      <c r="A43" s="121" t="s">
        <v>71</v>
      </c>
      <c r="B43" s="122">
        <v>1</v>
      </c>
      <c r="C43" s="143" t="s">
        <v>72</v>
      </c>
      <c r="D43" s="144">
        <v>31.51</v>
      </c>
      <c r="E43" s="145"/>
      <c r="F43" s="144">
        <v>30.94</v>
      </c>
      <c r="G43" s="98"/>
    </row>
    <row r="44" spans="1:7" ht="26.25" customHeight="1" x14ac:dyDescent="0.4">
      <c r="A44" s="121" t="s">
        <v>73</v>
      </c>
      <c r="B44" s="122">
        <v>1</v>
      </c>
      <c r="C44" s="146" t="s">
        <v>74</v>
      </c>
      <c r="D44" s="147">
        <f>D43*$B$34</f>
        <v>26.518316831683169</v>
      </c>
      <c r="E44" s="148"/>
      <c r="F44" s="147">
        <f>F43*$B$34</f>
        <v>26.038613861386139</v>
      </c>
      <c r="G44" s="98"/>
    </row>
    <row r="45" spans="1:7" ht="19.5" customHeight="1" x14ac:dyDescent="0.3">
      <c r="A45" s="121" t="s">
        <v>75</v>
      </c>
      <c r="B45" s="149">
        <f>(B44/B43)*(B42/B41)*(B40/B39)*(B38/B37)*B36</f>
        <v>25</v>
      </c>
      <c r="C45" s="146" t="s">
        <v>76</v>
      </c>
      <c r="D45" s="150">
        <f>D44*$B$30/100</f>
        <v>24.624909009900989</v>
      </c>
      <c r="E45" s="151"/>
      <c r="F45" s="150">
        <f>F44*$B$30/100</f>
        <v>24.179456831683169</v>
      </c>
      <c r="G45" s="98"/>
    </row>
    <row r="46" spans="1:7" ht="19.5" customHeight="1" x14ac:dyDescent="0.3">
      <c r="A46" s="464" t="s">
        <v>77</v>
      </c>
      <c r="B46" s="465"/>
      <c r="C46" s="146" t="s">
        <v>78</v>
      </c>
      <c r="D46" s="147">
        <f>D45/$B$45</f>
        <v>0.98499636039603955</v>
      </c>
      <c r="E46" s="151"/>
      <c r="F46" s="152">
        <f>F45/$B$45</f>
        <v>0.96717827326732675</v>
      </c>
      <c r="G46" s="98"/>
    </row>
    <row r="47" spans="1:7" ht="27" customHeight="1" x14ac:dyDescent="0.4">
      <c r="A47" s="466"/>
      <c r="B47" s="467"/>
      <c r="C47" s="153" t="s">
        <v>79</v>
      </c>
      <c r="D47" s="154">
        <v>1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80</v>
      </c>
      <c r="D48" s="150">
        <f>D47*$B$45</f>
        <v>25</v>
      </c>
      <c r="E48" s="98"/>
      <c r="F48" s="155"/>
      <c r="G48" s="98"/>
    </row>
    <row r="49" spans="1:7" ht="19.5" customHeight="1" x14ac:dyDescent="0.3">
      <c r="A49" s="98"/>
      <c r="B49" s="98"/>
      <c r="C49" s="157" t="s">
        <v>81</v>
      </c>
      <c r="D49" s="158">
        <f>D48/B34</f>
        <v>29.705882352941178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82</v>
      </c>
      <c r="D50" s="159">
        <f>AVERAGE(E38:E41,G38:G41)</f>
        <v>63307731.218347706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83</v>
      </c>
      <c r="D51" s="161">
        <f>STDEV(E38:E41,G38:G41)/D50</f>
        <v>5.1784267997776528E-3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6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84</v>
      </c>
      <c r="C54" s="98"/>
      <c r="D54" s="98"/>
      <c r="E54" s="98"/>
      <c r="F54" s="98"/>
      <c r="G54" s="98"/>
    </row>
    <row r="55" spans="1:7" ht="18.75" customHeight="1" x14ac:dyDescent="0.3">
      <c r="A55" s="98" t="s">
        <v>85</v>
      </c>
      <c r="B55" s="165" t="str">
        <f>B21</f>
        <v xml:space="preserve">Each pessary contains: Clindamycin (as clindamycin phosphate) 100 mg 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86</v>
      </c>
      <c r="B56" s="167">
        <v>100</v>
      </c>
      <c r="C56" s="98" t="str">
        <f>B20</f>
        <v xml:space="preserve">CLINDAMYCIN PHOSPHATE </v>
      </c>
      <c r="D56" s="98"/>
      <c r="E56" s="98"/>
      <c r="F56" s="98"/>
      <c r="G56" s="98"/>
    </row>
    <row r="57" spans="1:7" ht="17.25" customHeight="1" x14ac:dyDescent="0.3">
      <c r="A57" s="168" t="s">
        <v>87</v>
      </c>
      <c r="B57" s="168">
        <f>Uniformity!C46</f>
        <v>2013.6475000000003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88</v>
      </c>
      <c r="B58" s="120">
        <v>100</v>
      </c>
      <c r="C58" s="170" t="s">
        <v>89</v>
      </c>
      <c r="D58" s="171" t="s">
        <v>90</v>
      </c>
      <c r="E58" s="172" t="s">
        <v>91</v>
      </c>
      <c r="F58" s="173" t="s">
        <v>92</v>
      </c>
      <c r="G58" s="174" t="s">
        <v>93</v>
      </c>
    </row>
    <row r="59" spans="1:7" ht="26.25" customHeight="1" x14ac:dyDescent="0.4">
      <c r="A59" s="121" t="s">
        <v>61</v>
      </c>
      <c r="B59" s="122">
        <v>1</v>
      </c>
      <c r="C59" s="175">
        <v>1</v>
      </c>
      <c r="D59" s="278">
        <v>67380522</v>
      </c>
      <c r="E59" s="176">
        <f t="shared" ref="E59:E68" si="0">IF(ISBLANK(D59),"-",D59/$D$50*$D$47*$B$67)</f>
        <v>106.43332291849991</v>
      </c>
      <c r="F59" s="177">
        <f t="shared" ref="F59:F68" si="1">IF(ISBLANK(D59),"-",E59/$E$70*100)</f>
        <v>98.89332780354934</v>
      </c>
      <c r="G59" s="178">
        <f t="shared" ref="G59:G68" si="2">IF(ISBLANK(D59),"-",E59/$B$56*100)</f>
        <v>106.43332291849991</v>
      </c>
    </row>
    <row r="60" spans="1:7" ht="26.25" customHeight="1" x14ac:dyDescent="0.4">
      <c r="A60" s="121" t="s">
        <v>65</v>
      </c>
      <c r="B60" s="122">
        <v>1</v>
      </c>
      <c r="C60" s="179">
        <v>2</v>
      </c>
      <c r="D60" s="279">
        <v>70324894</v>
      </c>
      <c r="E60" s="180">
        <f t="shared" si="0"/>
        <v>111.08421143296097</v>
      </c>
      <c r="F60" s="181">
        <f t="shared" si="1"/>
        <v>103.21473607894967</v>
      </c>
      <c r="G60" s="182">
        <f t="shared" si="2"/>
        <v>111.08421143296097</v>
      </c>
    </row>
    <row r="61" spans="1:7" ht="26.25" customHeight="1" x14ac:dyDescent="0.4">
      <c r="A61" s="121" t="s">
        <v>66</v>
      </c>
      <c r="B61" s="122">
        <v>1</v>
      </c>
      <c r="C61" s="179">
        <v>3</v>
      </c>
      <c r="D61" s="279">
        <v>67446107</v>
      </c>
      <c r="E61" s="180">
        <f t="shared" si="0"/>
        <v>106.53692006017255</v>
      </c>
      <c r="F61" s="181">
        <f t="shared" si="1"/>
        <v>98.989585872075381</v>
      </c>
      <c r="G61" s="182">
        <f t="shared" si="2"/>
        <v>106.53692006017255</v>
      </c>
    </row>
    <row r="62" spans="1:7" ht="26.25" customHeight="1" x14ac:dyDescent="0.4">
      <c r="A62" s="121" t="s">
        <v>67</v>
      </c>
      <c r="B62" s="122">
        <v>1</v>
      </c>
      <c r="C62" s="179">
        <v>4</v>
      </c>
      <c r="D62" s="279">
        <v>69273594</v>
      </c>
      <c r="E62" s="180">
        <f t="shared" si="0"/>
        <v>109.42359276954041</v>
      </c>
      <c r="F62" s="181">
        <f t="shared" si="1"/>
        <v>101.67175967517719</v>
      </c>
      <c r="G62" s="182">
        <f t="shared" si="2"/>
        <v>109.42359276954041</v>
      </c>
    </row>
    <row r="63" spans="1:7" ht="26.25" customHeight="1" x14ac:dyDescent="0.4">
      <c r="A63" s="121" t="s">
        <v>68</v>
      </c>
      <c r="B63" s="122">
        <v>1</v>
      </c>
      <c r="C63" s="179">
        <v>5</v>
      </c>
      <c r="D63" s="279">
        <v>67208037</v>
      </c>
      <c r="E63" s="180">
        <f t="shared" si="0"/>
        <v>106.16086804343088</v>
      </c>
      <c r="F63" s="181">
        <f t="shared" si="1"/>
        <v>98.640174293604815</v>
      </c>
      <c r="G63" s="182">
        <f t="shared" si="2"/>
        <v>106.16086804343088</v>
      </c>
    </row>
    <row r="64" spans="1:7" ht="26.25" customHeight="1" x14ac:dyDescent="0.4">
      <c r="A64" s="121" t="s">
        <v>69</v>
      </c>
      <c r="B64" s="122">
        <v>1</v>
      </c>
      <c r="C64" s="179">
        <v>6</v>
      </c>
      <c r="D64" s="279">
        <v>69065159</v>
      </c>
      <c r="E64" s="180">
        <f t="shared" si="0"/>
        <v>109.09435178113552</v>
      </c>
      <c r="F64" s="181">
        <f t="shared" si="1"/>
        <v>101.36584291809518</v>
      </c>
      <c r="G64" s="182">
        <f t="shared" si="2"/>
        <v>109.09435178113552</v>
      </c>
    </row>
    <row r="65" spans="1:7" ht="26.25" customHeight="1" x14ac:dyDescent="0.4">
      <c r="A65" s="121" t="s">
        <v>71</v>
      </c>
      <c r="B65" s="122">
        <v>1</v>
      </c>
      <c r="C65" s="179">
        <v>7</v>
      </c>
      <c r="D65" s="279">
        <v>67550692</v>
      </c>
      <c r="E65" s="180">
        <f t="shared" si="0"/>
        <v>106.70212105219561</v>
      </c>
      <c r="F65" s="181">
        <f t="shared" si="1"/>
        <v>99.143083624561399</v>
      </c>
      <c r="G65" s="182">
        <f t="shared" si="2"/>
        <v>106.70212105219561</v>
      </c>
    </row>
    <row r="66" spans="1:7" ht="26.25" customHeight="1" x14ac:dyDescent="0.4">
      <c r="A66" s="121" t="s">
        <v>73</v>
      </c>
      <c r="B66" s="122">
        <v>1</v>
      </c>
      <c r="C66" s="179">
        <v>8</v>
      </c>
      <c r="D66" s="279">
        <v>68957631</v>
      </c>
      <c r="E66" s="180">
        <f t="shared" si="0"/>
        <v>108.92450206778987</v>
      </c>
      <c r="F66" s="181">
        <f t="shared" si="1"/>
        <v>101.2080257709965</v>
      </c>
      <c r="G66" s="182">
        <f t="shared" si="2"/>
        <v>108.92450206778987</v>
      </c>
    </row>
    <row r="67" spans="1:7" ht="27" customHeight="1" x14ac:dyDescent="0.4">
      <c r="A67" s="121" t="s">
        <v>75</v>
      </c>
      <c r="B67" s="149">
        <f>(B66/B65)*(B64/B63)*(B62/B61)*(B60/B59)*B58</f>
        <v>100</v>
      </c>
      <c r="C67" s="179">
        <v>9</v>
      </c>
      <c r="D67" s="279">
        <v>67349755</v>
      </c>
      <c r="E67" s="180">
        <f t="shared" si="0"/>
        <v>106.38472379891707</v>
      </c>
      <c r="F67" s="181">
        <f t="shared" si="1"/>
        <v>98.848171563641756</v>
      </c>
      <c r="G67" s="182">
        <f t="shared" si="2"/>
        <v>106.38472379891707</v>
      </c>
    </row>
    <row r="68" spans="1:7" ht="27" customHeight="1" x14ac:dyDescent="0.4">
      <c r="A68" s="464" t="s">
        <v>77</v>
      </c>
      <c r="B68" s="469"/>
      <c r="C68" s="183">
        <v>10</v>
      </c>
      <c r="D68" s="280">
        <v>66789090</v>
      </c>
      <c r="E68" s="184">
        <f t="shared" si="0"/>
        <v>105.49910526669346</v>
      </c>
      <c r="F68" s="185">
        <f t="shared" si="1"/>
        <v>98.025292399348899</v>
      </c>
      <c r="G68" s="186">
        <f t="shared" si="2"/>
        <v>105.49910526669346</v>
      </c>
    </row>
    <row r="69" spans="1:7" ht="19.5" customHeight="1" x14ac:dyDescent="0.3">
      <c r="A69" s="466"/>
      <c r="B69" s="470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94</v>
      </c>
      <c r="D70" s="190"/>
      <c r="E70" s="191">
        <f>AVERAGE(E59:E68)</f>
        <v>107.62437191913361</v>
      </c>
      <c r="F70" s="191">
        <f>AVERAGE(F59:F68)</f>
        <v>100.00000000000003</v>
      </c>
      <c r="G70" s="192">
        <f>AVERAGE(G59:G68)</f>
        <v>107.62437191913361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1.7162437068137099E-2</v>
      </c>
      <c r="F71" s="193">
        <f>STDEV(F59:F68)/F70</f>
        <v>1.7162437068137096E-2</v>
      </c>
      <c r="G71" s="194">
        <f>STDEV(G59:G68)/G70</f>
        <v>1.7162437068137099E-2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95</v>
      </c>
      <c r="B74" s="201" t="s">
        <v>96</v>
      </c>
      <c r="C74" s="468" t="str">
        <f>B20</f>
        <v xml:space="preserve">CLINDAMYCIN PHOSPHATE </v>
      </c>
      <c r="D74" s="468"/>
      <c r="E74" s="202" t="s">
        <v>97</v>
      </c>
      <c r="F74" s="202"/>
      <c r="G74" s="203">
        <f>G70</f>
        <v>107.62437191913361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98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471" t="s">
        <v>99</v>
      </c>
      <c r="C78" s="472"/>
      <c r="D78" s="98"/>
      <c r="E78" s="169"/>
      <c r="F78" s="169"/>
      <c r="G78" s="169"/>
    </row>
    <row r="79" spans="1:7" ht="18.75" customHeight="1" x14ac:dyDescent="0.3">
      <c r="A79" s="169"/>
      <c r="B79" s="207" t="s">
        <v>43</v>
      </c>
      <c r="C79" s="208">
        <f>G70</f>
        <v>107.62437191913361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100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101</v>
      </c>
      <c r="C81" s="208">
        <f>STDEV(G59:G68)</f>
        <v>1.8470965100599122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102</v>
      </c>
      <c r="C82" s="208">
        <f>IF(OR(G70&lt;98.5,G70&gt;101.5),(IF(98.5&gt;G70,98.5,101.5)),C79)</f>
        <v>101.5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103</v>
      </c>
      <c r="C83" s="210">
        <f>ABS(C82-C79)+(C80*C81)</f>
        <v>10.557403543277397</v>
      </c>
      <c r="D83" s="98"/>
      <c r="E83" s="169"/>
      <c r="F83" s="169"/>
      <c r="G83" s="169"/>
    </row>
    <row r="84" spans="1:7" ht="18.75" customHeight="1" x14ac:dyDescent="0.3">
      <c r="A84" s="166"/>
      <c r="B84" s="211"/>
      <c r="C84" s="98"/>
      <c r="D84" s="98"/>
      <c r="E84" s="98"/>
      <c r="F84" s="98"/>
      <c r="G84" s="98"/>
    </row>
    <row r="85" spans="1:7" ht="18.75" customHeight="1" x14ac:dyDescent="0.3">
      <c r="A85" s="107" t="s">
        <v>104</v>
      </c>
      <c r="B85" s="107" t="s">
        <v>105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473"/>
      <c r="C87" s="473"/>
      <c r="D87" s="98"/>
      <c r="E87" s="98"/>
      <c r="F87" s="98"/>
      <c r="G87" s="98"/>
    </row>
    <row r="88" spans="1:7" ht="26.25" customHeight="1" x14ac:dyDescent="0.4">
      <c r="A88" s="109" t="s">
        <v>48</v>
      </c>
      <c r="B88" s="474"/>
      <c r="C88" s="474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v>0</v>
      </c>
      <c r="C89" s="98"/>
      <c r="D89" s="98"/>
      <c r="E89" s="98"/>
      <c r="F89" s="98"/>
      <c r="G89" s="98"/>
    </row>
    <row r="90" spans="1:7" ht="27" customHeight="1" x14ac:dyDescent="0.4">
      <c r="A90" s="109" t="s">
        <v>49</v>
      </c>
      <c r="B90" s="110">
        <f>B33</f>
        <v>0</v>
      </c>
      <c r="C90" s="475" t="s">
        <v>106</v>
      </c>
      <c r="D90" s="476"/>
      <c r="E90" s="476"/>
      <c r="F90" s="476"/>
      <c r="G90" s="477"/>
    </row>
    <row r="91" spans="1:7" ht="18.75" customHeight="1" x14ac:dyDescent="0.3">
      <c r="A91" s="109" t="s">
        <v>51</v>
      </c>
      <c r="B91" s="113">
        <f>B89-B90</f>
        <v>0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52</v>
      </c>
      <c r="B93" s="115">
        <v>1</v>
      </c>
      <c r="C93" s="460" t="s">
        <v>107</v>
      </c>
      <c r="D93" s="461"/>
      <c r="E93" s="461"/>
      <c r="F93" s="461"/>
      <c r="G93" s="461"/>
    </row>
    <row r="94" spans="1:7" ht="27" customHeight="1" x14ac:dyDescent="0.4">
      <c r="A94" s="109" t="s">
        <v>54</v>
      </c>
      <c r="B94" s="115">
        <v>1</v>
      </c>
      <c r="C94" s="460" t="s">
        <v>108</v>
      </c>
      <c r="D94" s="461"/>
      <c r="E94" s="461"/>
      <c r="F94" s="461"/>
      <c r="G94" s="461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56</v>
      </c>
      <c r="B96" s="118">
        <f>B93/B94</f>
        <v>1</v>
      </c>
      <c r="C96" s="98" t="s">
        <v>57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58</v>
      </c>
      <c r="B98" s="214">
        <v>1</v>
      </c>
      <c r="C98" s="98"/>
      <c r="D98" s="215" t="s">
        <v>59</v>
      </c>
      <c r="E98" s="216"/>
      <c r="F98" s="462" t="s">
        <v>60</v>
      </c>
      <c r="G98" s="463"/>
    </row>
    <row r="99" spans="1:7" ht="26.25" customHeight="1" x14ac:dyDescent="0.4">
      <c r="A99" s="121" t="s">
        <v>61</v>
      </c>
      <c r="B99" s="217">
        <v>1</v>
      </c>
      <c r="C99" s="123" t="s">
        <v>62</v>
      </c>
      <c r="D99" s="124" t="s">
        <v>63</v>
      </c>
      <c r="E99" s="125" t="s">
        <v>64</v>
      </c>
      <c r="F99" s="124" t="s">
        <v>63</v>
      </c>
      <c r="G99" s="126" t="s">
        <v>64</v>
      </c>
    </row>
    <row r="100" spans="1:7" ht="26.25" customHeight="1" x14ac:dyDescent="0.4">
      <c r="A100" s="121" t="s">
        <v>65</v>
      </c>
      <c r="B100" s="217">
        <v>1</v>
      </c>
      <c r="C100" s="127">
        <v>1</v>
      </c>
      <c r="D100" s="128"/>
      <c r="E100" s="218" t="str">
        <f>IF(ISBLANK(D100),"-",$D$110/$D$107*D100)</f>
        <v>-</v>
      </c>
      <c r="F100" s="219"/>
      <c r="G100" s="130" t="str">
        <f>IF(ISBLANK(F100),"-",$D$110/$F$107*F100)</f>
        <v>-</v>
      </c>
    </row>
    <row r="101" spans="1:7" ht="26.25" customHeight="1" x14ac:dyDescent="0.4">
      <c r="A101" s="121" t="s">
        <v>66</v>
      </c>
      <c r="B101" s="217">
        <v>1</v>
      </c>
      <c r="C101" s="131">
        <v>2</v>
      </c>
      <c r="D101" s="132"/>
      <c r="E101" s="220" t="str">
        <f>IF(ISBLANK(D101),"-",$D$110/$D$107*D101)</f>
        <v>-</v>
      </c>
      <c r="F101" s="110"/>
      <c r="G101" s="134" t="str">
        <f>IF(ISBLANK(F101),"-",$D$110/$F$107*F101)</f>
        <v>-</v>
      </c>
    </row>
    <row r="102" spans="1:7" ht="26.25" customHeight="1" x14ac:dyDescent="0.4">
      <c r="A102" s="121" t="s">
        <v>67</v>
      </c>
      <c r="B102" s="217">
        <v>1</v>
      </c>
      <c r="C102" s="131">
        <v>3</v>
      </c>
      <c r="D102" s="132"/>
      <c r="E102" s="220" t="str">
        <f>IF(ISBLANK(D102),"-",$D$110/$D$107*D102)</f>
        <v>-</v>
      </c>
      <c r="F102" s="221"/>
      <c r="G102" s="134" t="str">
        <f>IF(ISBLANK(F102),"-",$D$110/$F$107*F102)</f>
        <v>-</v>
      </c>
    </row>
    <row r="103" spans="1:7" ht="26.25" customHeight="1" x14ac:dyDescent="0.4">
      <c r="A103" s="121" t="s">
        <v>68</v>
      </c>
      <c r="B103" s="217">
        <v>1</v>
      </c>
      <c r="C103" s="135">
        <v>4</v>
      </c>
      <c r="D103" s="136"/>
      <c r="E103" s="222" t="str">
        <f>IF(ISBLANK(D103),"-",$D$110/$D$107*D103)</f>
        <v>-</v>
      </c>
      <c r="F103" s="223"/>
      <c r="G103" s="138" t="str">
        <f>IF(ISBLANK(F103),"-",$D$110/$F$107*F103)</f>
        <v>-</v>
      </c>
    </row>
    <row r="104" spans="1:7" ht="27" customHeight="1" x14ac:dyDescent="0.4">
      <c r="A104" s="121" t="s">
        <v>69</v>
      </c>
      <c r="B104" s="217">
        <v>1</v>
      </c>
      <c r="C104" s="139" t="s">
        <v>70</v>
      </c>
      <c r="D104" s="224" t="e">
        <f>AVERAGE(D100:D103)</f>
        <v>#DIV/0!</v>
      </c>
      <c r="E104" s="141" t="e">
        <f>AVERAGE(E100:E103)</f>
        <v>#DIV/0!</v>
      </c>
      <c r="F104" s="224" t="e">
        <f>AVERAGE(F100:F103)</f>
        <v>#DIV/0!</v>
      </c>
      <c r="G104" s="225" t="e">
        <f>AVERAGE(G100:G103)</f>
        <v>#DIV/0!</v>
      </c>
    </row>
    <row r="105" spans="1:7" ht="26.25" customHeight="1" x14ac:dyDescent="0.4">
      <c r="A105" s="121" t="s">
        <v>71</v>
      </c>
      <c r="B105" s="217">
        <v>1</v>
      </c>
      <c r="C105" s="143" t="s">
        <v>72</v>
      </c>
      <c r="D105" s="226"/>
      <c r="E105" s="145"/>
      <c r="F105" s="144"/>
      <c r="G105" s="98"/>
    </row>
    <row r="106" spans="1:7" ht="26.25" customHeight="1" x14ac:dyDescent="0.4">
      <c r="A106" s="121" t="s">
        <v>73</v>
      </c>
      <c r="B106" s="217">
        <v>1</v>
      </c>
      <c r="C106" s="146" t="s">
        <v>74</v>
      </c>
      <c r="D106" s="227">
        <f>D105*$B$96</f>
        <v>0</v>
      </c>
      <c r="E106" s="148"/>
      <c r="F106" s="147">
        <f>F105*$B$96</f>
        <v>0</v>
      </c>
      <c r="G106" s="98"/>
    </row>
    <row r="107" spans="1:7" ht="19.5" customHeight="1" x14ac:dyDescent="0.3">
      <c r="A107" s="121" t="s">
        <v>75</v>
      </c>
      <c r="B107" s="259">
        <f>(B106/B105)*(B104/B103)*(B102/B101)*(B100/B99)*B98</f>
        <v>1</v>
      </c>
      <c r="C107" s="146" t="s">
        <v>76</v>
      </c>
      <c r="D107" s="228">
        <f>D106*$B$91/100</f>
        <v>0</v>
      </c>
      <c r="E107" s="151"/>
      <c r="F107" s="150">
        <f>F106*$B$91/100</f>
        <v>0</v>
      </c>
      <c r="G107" s="98"/>
    </row>
    <row r="108" spans="1:7" ht="19.5" customHeight="1" x14ac:dyDescent="0.3">
      <c r="A108" s="464" t="s">
        <v>77</v>
      </c>
      <c r="B108" s="465"/>
      <c r="C108" s="146" t="s">
        <v>78</v>
      </c>
      <c r="D108" s="227">
        <f>D107/$B$107</f>
        <v>0</v>
      </c>
      <c r="E108" s="151"/>
      <c r="F108" s="152">
        <f>F107/$B$107</f>
        <v>0</v>
      </c>
      <c r="G108" s="229"/>
    </row>
    <row r="109" spans="1:7" ht="19.5" customHeight="1" x14ac:dyDescent="0.3">
      <c r="A109" s="466"/>
      <c r="B109" s="467"/>
      <c r="C109" s="277" t="s">
        <v>79</v>
      </c>
      <c r="D109" s="231">
        <f>$B$56/$B$125</f>
        <v>100</v>
      </c>
      <c r="E109" s="98"/>
      <c r="F109" s="155"/>
      <c r="G109" s="232"/>
    </row>
    <row r="110" spans="1:7" ht="18.75" customHeight="1" x14ac:dyDescent="0.3">
      <c r="A110" s="98"/>
      <c r="B110" s="98"/>
      <c r="C110" s="230" t="s">
        <v>80</v>
      </c>
      <c r="D110" s="227">
        <f>D109*$B$107</f>
        <v>100</v>
      </c>
      <c r="E110" s="98"/>
      <c r="F110" s="155"/>
      <c r="G110" s="229"/>
    </row>
    <row r="111" spans="1:7" ht="19.5" customHeight="1" x14ac:dyDescent="0.3">
      <c r="A111" s="98"/>
      <c r="B111" s="98"/>
      <c r="C111" s="233" t="s">
        <v>81</v>
      </c>
      <c r="D111" s="234">
        <f>D110/B96</f>
        <v>100</v>
      </c>
      <c r="E111" s="98"/>
      <c r="F111" s="160"/>
      <c r="G111" s="229"/>
    </row>
    <row r="112" spans="1:7" ht="18.75" customHeight="1" x14ac:dyDescent="0.3">
      <c r="A112" s="98"/>
      <c r="B112" s="98"/>
      <c r="C112" s="235" t="s">
        <v>82</v>
      </c>
      <c r="D112" s="236" t="e">
        <f>AVERAGE(E100:E103,G100:G103)</f>
        <v>#DIV/0!</v>
      </c>
      <c r="E112" s="98"/>
      <c r="F112" s="160"/>
      <c r="G112" s="237"/>
    </row>
    <row r="113" spans="1:7" ht="18.75" customHeight="1" x14ac:dyDescent="0.3">
      <c r="A113" s="98"/>
      <c r="B113" s="98"/>
      <c r="C113" s="238" t="s">
        <v>83</v>
      </c>
      <c r="D113" s="239" t="e">
        <f>STDEV(E100:E103,G100:G103)/D112</f>
        <v>#DIV/0!</v>
      </c>
      <c r="E113" s="98"/>
      <c r="F113" s="160"/>
      <c r="G113" s="229"/>
    </row>
    <row r="114" spans="1:7" ht="19.5" customHeight="1" x14ac:dyDescent="0.3">
      <c r="A114" s="98"/>
      <c r="B114" s="98"/>
      <c r="C114" s="240" t="s">
        <v>20</v>
      </c>
      <c r="D114" s="241">
        <f>COUNT(E100:E103,G100:G103)</f>
        <v>0</v>
      </c>
      <c r="E114" s="98"/>
      <c r="F114" s="160"/>
      <c r="G114" s="229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109</v>
      </c>
      <c r="B116" s="214">
        <v>1</v>
      </c>
      <c r="C116" s="242" t="s">
        <v>110</v>
      </c>
      <c r="D116" s="243" t="s">
        <v>63</v>
      </c>
      <c r="E116" s="244" t="s">
        <v>111</v>
      </c>
      <c r="F116" s="245" t="s">
        <v>112</v>
      </c>
      <c r="G116" s="98"/>
    </row>
    <row r="117" spans="1:7" ht="26.25" customHeight="1" x14ac:dyDescent="0.4">
      <c r="A117" s="121" t="s">
        <v>113</v>
      </c>
      <c r="B117" s="217">
        <v>1</v>
      </c>
      <c r="C117" s="179">
        <v>1</v>
      </c>
      <c r="D117" s="246"/>
      <c r="E117" s="247" t="str">
        <f t="shared" ref="E117:E122" si="3">IF(ISBLANK(D117),"-",D117/$D$112*$D$109*$B$125)</f>
        <v>-</v>
      </c>
      <c r="F117" s="248" t="str">
        <f t="shared" ref="F117:F122" si="4">IF(ISBLANK(D117), "-", E117/$B$56)</f>
        <v>-</v>
      </c>
      <c r="G117" s="98"/>
    </row>
    <row r="118" spans="1:7" ht="26.25" customHeight="1" x14ac:dyDescent="0.4">
      <c r="A118" s="121" t="s">
        <v>114</v>
      </c>
      <c r="B118" s="217">
        <v>1</v>
      </c>
      <c r="C118" s="179">
        <v>2</v>
      </c>
      <c r="D118" s="246"/>
      <c r="E118" s="249" t="str">
        <f t="shared" si="3"/>
        <v>-</v>
      </c>
      <c r="F118" s="250" t="str">
        <f t="shared" si="4"/>
        <v>-</v>
      </c>
      <c r="G118" s="98"/>
    </row>
    <row r="119" spans="1:7" ht="26.25" customHeight="1" x14ac:dyDescent="0.4">
      <c r="A119" s="121" t="s">
        <v>115</v>
      </c>
      <c r="B119" s="217">
        <v>1</v>
      </c>
      <c r="C119" s="179">
        <v>3</v>
      </c>
      <c r="D119" s="246"/>
      <c r="E119" s="249" t="str">
        <f t="shared" si="3"/>
        <v>-</v>
      </c>
      <c r="F119" s="250" t="str">
        <f t="shared" si="4"/>
        <v>-</v>
      </c>
      <c r="G119" s="98"/>
    </row>
    <row r="120" spans="1:7" ht="26.25" customHeight="1" x14ac:dyDescent="0.4">
      <c r="A120" s="121" t="s">
        <v>116</v>
      </c>
      <c r="B120" s="217">
        <v>1</v>
      </c>
      <c r="C120" s="179">
        <v>4</v>
      </c>
      <c r="D120" s="246"/>
      <c r="E120" s="249" t="str">
        <f t="shared" si="3"/>
        <v>-</v>
      </c>
      <c r="F120" s="250" t="str">
        <f t="shared" si="4"/>
        <v>-</v>
      </c>
      <c r="G120" s="98"/>
    </row>
    <row r="121" spans="1:7" ht="26.25" customHeight="1" x14ac:dyDescent="0.4">
      <c r="A121" s="121" t="s">
        <v>117</v>
      </c>
      <c r="B121" s="217">
        <v>1</v>
      </c>
      <c r="C121" s="179">
        <v>5</v>
      </c>
      <c r="D121" s="246"/>
      <c r="E121" s="249" t="str">
        <f t="shared" si="3"/>
        <v>-</v>
      </c>
      <c r="F121" s="250" t="str">
        <f t="shared" si="4"/>
        <v>-</v>
      </c>
      <c r="G121" s="98"/>
    </row>
    <row r="122" spans="1:7" ht="26.25" customHeight="1" x14ac:dyDescent="0.4">
      <c r="A122" s="121" t="s">
        <v>118</v>
      </c>
      <c r="B122" s="217">
        <v>1</v>
      </c>
      <c r="C122" s="251">
        <v>6</v>
      </c>
      <c r="D122" s="252"/>
      <c r="E122" s="253" t="str">
        <f t="shared" si="3"/>
        <v>-</v>
      </c>
      <c r="F122" s="254" t="str">
        <f t="shared" si="4"/>
        <v>-</v>
      </c>
      <c r="G122" s="98"/>
    </row>
    <row r="123" spans="1:7" ht="26.25" customHeight="1" x14ac:dyDescent="0.4">
      <c r="A123" s="121" t="s">
        <v>119</v>
      </c>
      <c r="B123" s="217">
        <v>1</v>
      </c>
      <c r="C123" s="179"/>
      <c r="D123" s="255"/>
      <c r="E123" s="199"/>
      <c r="F123" s="182"/>
      <c r="G123" s="98"/>
    </row>
    <row r="124" spans="1:7" ht="26.25" customHeight="1" x14ac:dyDescent="0.4">
      <c r="A124" s="121" t="s">
        <v>120</v>
      </c>
      <c r="B124" s="217">
        <v>1</v>
      </c>
      <c r="C124" s="179"/>
      <c r="D124" s="256"/>
      <c r="E124" s="257" t="s">
        <v>70</v>
      </c>
      <c r="F124" s="258" t="e">
        <f>AVERAGE(F117:F122)</f>
        <v>#DIV/0!</v>
      </c>
      <c r="G124" s="98"/>
    </row>
    <row r="125" spans="1:7" ht="27" customHeight="1" x14ac:dyDescent="0.4">
      <c r="A125" s="121" t="s">
        <v>121</v>
      </c>
      <c r="B125" s="259">
        <f>(B124/B123)*(B122/B121)*(B120/B119)*(B118/B117)*B116</f>
        <v>1</v>
      </c>
      <c r="C125" s="260"/>
      <c r="D125" s="261"/>
      <c r="E125" s="157" t="s">
        <v>83</v>
      </c>
      <c r="F125" s="194" t="e">
        <f>STDEV(F117:F122)/F124</f>
        <v>#DIV/0!</v>
      </c>
      <c r="G125" s="98"/>
    </row>
    <row r="126" spans="1:7" ht="27" customHeight="1" x14ac:dyDescent="0.4">
      <c r="A126" s="464" t="s">
        <v>77</v>
      </c>
      <c r="B126" s="465"/>
      <c r="C126" s="262"/>
      <c r="D126" s="263"/>
      <c r="E126" s="264" t="s">
        <v>20</v>
      </c>
      <c r="F126" s="265">
        <f>COUNT(F117:F122)</f>
        <v>0</v>
      </c>
      <c r="G126" s="98"/>
    </row>
    <row r="127" spans="1:7" ht="19.5" customHeight="1" x14ac:dyDescent="0.3">
      <c r="A127" s="466"/>
      <c r="B127" s="467"/>
      <c r="C127" s="199"/>
      <c r="D127" s="199"/>
      <c r="E127" s="199"/>
      <c r="F127" s="255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5"/>
      <c r="G128" s="199"/>
    </row>
    <row r="129" spans="1:7" ht="18.75" customHeight="1" x14ac:dyDescent="0.3">
      <c r="A129" s="108" t="s">
        <v>95</v>
      </c>
      <c r="B129" s="201" t="s">
        <v>122</v>
      </c>
      <c r="C129" s="468" t="str">
        <f>B20</f>
        <v xml:space="preserve">CLINDAMYCIN PHOSPHATE </v>
      </c>
      <c r="D129" s="468"/>
      <c r="E129" s="202" t="s">
        <v>123</v>
      </c>
      <c r="F129" s="202"/>
      <c r="G129" s="205" t="e">
        <f>F124</f>
        <v>#DIV/0!</v>
      </c>
    </row>
    <row r="130" spans="1:7" ht="19.5" customHeight="1" x14ac:dyDescent="0.3">
      <c r="A130" s="266"/>
      <c r="B130" s="266"/>
      <c r="C130" s="267"/>
      <c r="D130" s="267"/>
      <c r="E130" s="267"/>
      <c r="F130" s="267"/>
      <c r="G130" s="267"/>
    </row>
    <row r="131" spans="1:7" ht="18.75" customHeight="1" x14ac:dyDescent="0.3">
      <c r="A131" s="98"/>
      <c r="B131" s="459" t="s">
        <v>26</v>
      </c>
      <c r="C131" s="459"/>
      <c r="D131" s="98"/>
      <c r="E131" s="268" t="s">
        <v>27</v>
      </c>
      <c r="F131" s="269"/>
      <c r="G131" s="276" t="s">
        <v>28</v>
      </c>
    </row>
    <row r="132" spans="1:7" ht="60" customHeight="1" x14ac:dyDescent="0.3">
      <c r="A132" s="270" t="s">
        <v>29</v>
      </c>
      <c r="B132" s="271"/>
      <c r="C132" s="271"/>
      <c r="D132" s="98"/>
      <c r="E132" s="271"/>
      <c r="F132" s="199"/>
      <c r="G132" s="272"/>
    </row>
    <row r="133" spans="1:7" ht="60" customHeight="1" x14ac:dyDescent="0.3">
      <c r="A133" s="270" t="s">
        <v>30</v>
      </c>
      <c r="B133" s="273"/>
      <c r="C133" s="273"/>
      <c r="D133" s="98"/>
      <c r="E133" s="273"/>
      <c r="F133" s="199"/>
      <c r="G133" s="274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7" zoomScale="60" zoomScaleNormal="40" zoomScalePageLayoutView="50" workbookViewId="0">
      <selection activeCell="B29" sqref="B29"/>
    </sheetView>
  </sheetViews>
  <sheetFormatPr defaultColWidth="9.140625" defaultRowHeight="13.5" x14ac:dyDescent="0.25"/>
  <cols>
    <col min="1" max="1" width="55.42578125" style="281" customWidth="1"/>
    <col min="2" max="2" width="33.7109375" style="281" customWidth="1"/>
    <col min="3" max="3" width="42.28515625" style="281" customWidth="1"/>
    <col min="4" max="4" width="30.5703125" style="281" customWidth="1"/>
    <col min="5" max="5" width="39.85546875" style="281" customWidth="1"/>
    <col min="6" max="6" width="30.7109375" style="281" customWidth="1"/>
    <col min="7" max="7" width="39.85546875" style="281" customWidth="1"/>
    <col min="8" max="8" width="30" style="281" customWidth="1"/>
    <col min="9" max="9" width="30.28515625" style="281" hidden="1" customWidth="1"/>
    <col min="10" max="10" width="30.42578125" style="281" customWidth="1"/>
    <col min="11" max="11" width="21.28515625" style="281" customWidth="1"/>
    <col min="12" max="12" width="9.140625" style="281"/>
    <col min="13" max="16384" width="9.140625" style="283"/>
  </cols>
  <sheetData>
    <row r="1" spans="1:9" ht="18.75" customHeight="1" x14ac:dyDescent="0.25">
      <c r="A1" s="514" t="s">
        <v>45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25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25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25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25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25">
      <c r="A8" s="515" t="s">
        <v>46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25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25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25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25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25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25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thickBot="1" x14ac:dyDescent="0.35">
      <c r="A15" s="282"/>
    </row>
    <row r="16" spans="1:9" ht="19.5" customHeight="1" thickBot="1" x14ac:dyDescent="0.35">
      <c r="A16" s="516" t="s">
        <v>31</v>
      </c>
      <c r="B16" s="517"/>
      <c r="C16" s="517"/>
      <c r="D16" s="517"/>
      <c r="E16" s="517"/>
      <c r="F16" s="517"/>
      <c r="G16" s="517"/>
      <c r="H16" s="518"/>
    </row>
    <row r="17" spans="1:14" ht="20.25" customHeight="1" x14ac:dyDescent="0.25">
      <c r="A17" s="519" t="s">
        <v>47</v>
      </c>
      <c r="B17" s="519"/>
      <c r="C17" s="519"/>
      <c r="D17" s="519"/>
      <c r="E17" s="519"/>
      <c r="F17" s="519"/>
      <c r="G17" s="519"/>
      <c r="H17" s="519"/>
    </row>
    <row r="18" spans="1:14" ht="26.25" customHeight="1" x14ac:dyDescent="0.4">
      <c r="A18" s="284" t="s">
        <v>33</v>
      </c>
      <c r="B18" s="473" t="s">
        <v>5</v>
      </c>
      <c r="C18" s="473"/>
      <c r="D18" s="285"/>
      <c r="E18" s="286"/>
      <c r="F18" s="287"/>
      <c r="G18" s="287"/>
      <c r="H18" s="287"/>
    </row>
    <row r="19" spans="1:14" ht="26.25" customHeight="1" x14ac:dyDescent="0.4">
      <c r="A19" s="284" t="s">
        <v>34</v>
      </c>
      <c r="B19" s="288" t="s">
        <v>7</v>
      </c>
      <c r="C19" s="287">
        <v>1</v>
      </c>
      <c r="D19" s="287"/>
      <c r="E19" s="287"/>
      <c r="F19" s="287"/>
      <c r="G19" s="287"/>
      <c r="H19" s="287"/>
    </row>
    <row r="20" spans="1:14" ht="26.25" customHeight="1" x14ac:dyDescent="0.4">
      <c r="A20" s="284" t="s">
        <v>35</v>
      </c>
      <c r="B20" s="474" t="s">
        <v>9</v>
      </c>
      <c r="C20" s="474"/>
      <c r="D20" s="287"/>
      <c r="E20" s="287"/>
      <c r="F20" s="287"/>
      <c r="G20" s="287"/>
      <c r="H20" s="287"/>
    </row>
    <row r="21" spans="1:14" ht="26.25" customHeight="1" x14ac:dyDescent="0.4">
      <c r="A21" s="284" t="s">
        <v>36</v>
      </c>
      <c r="B21" s="520" t="s">
        <v>11</v>
      </c>
      <c r="C21" s="520"/>
      <c r="D21" s="520"/>
      <c r="E21" s="520"/>
      <c r="F21" s="520"/>
      <c r="G21" s="520"/>
      <c r="H21" s="520"/>
      <c r="I21" s="289"/>
    </row>
    <row r="22" spans="1:14" ht="26.25" customHeight="1" x14ac:dyDescent="0.4">
      <c r="A22" s="284" t="s">
        <v>37</v>
      </c>
      <c r="B22" s="290">
        <v>43083</v>
      </c>
      <c r="C22" s="287"/>
      <c r="D22" s="287"/>
      <c r="E22" s="287"/>
      <c r="F22" s="287"/>
      <c r="G22" s="287"/>
      <c r="H22" s="287"/>
    </row>
    <row r="23" spans="1:14" ht="26.25" customHeight="1" x14ac:dyDescent="0.4">
      <c r="A23" s="284" t="s">
        <v>38</v>
      </c>
      <c r="B23" s="290">
        <v>43110</v>
      </c>
      <c r="C23" s="287"/>
      <c r="D23" s="287"/>
      <c r="E23" s="287"/>
      <c r="F23" s="287"/>
      <c r="G23" s="287"/>
      <c r="H23" s="287"/>
    </row>
    <row r="24" spans="1:14" ht="18.75" x14ac:dyDescent="0.3">
      <c r="A24" s="284"/>
      <c r="B24" s="291"/>
    </row>
    <row r="25" spans="1:14" ht="18.75" x14ac:dyDescent="0.3">
      <c r="A25" s="292" t="s">
        <v>1</v>
      </c>
      <c r="B25" s="291"/>
    </row>
    <row r="26" spans="1:14" ht="26.25" customHeight="1" x14ac:dyDescent="0.4">
      <c r="A26" s="293" t="s">
        <v>4</v>
      </c>
      <c r="B26" s="521" t="s">
        <v>167</v>
      </c>
      <c r="C26" s="521"/>
    </row>
    <row r="27" spans="1:14" ht="26.25" customHeight="1" x14ac:dyDescent="0.4">
      <c r="A27" s="294" t="s">
        <v>48</v>
      </c>
      <c r="B27" s="522" t="s">
        <v>168</v>
      </c>
      <c r="C27" s="522"/>
    </row>
    <row r="28" spans="1:14" ht="27" customHeight="1" thickBot="1" x14ac:dyDescent="0.45">
      <c r="A28" s="294" t="s">
        <v>6</v>
      </c>
      <c r="B28" s="295">
        <v>92.86</v>
      </c>
    </row>
    <row r="29" spans="1:14" s="297" customFormat="1" ht="27" customHeight="1" thickBot="1" x14ac:dyDescent="0.45">
      <c r="A29" s="294" t="s">
        <v>49</v>
      </c>
      <c r="B29" s="296">
        <v>0</v>
      </c>
      <c r="C29" s="494" t="s">
        <v>106</v>
      </c>
      <c r="D29" s="495"/>
      <c r="E29" s="495"/>
      <c r="F29" s="495"/>
      <c r="G29" s="496"/>
      <c r="I29" s="298"/>
      <c r="J29" s="298"/>
      <c r="K29" s="298"/>
      <c r="L29" s="298"/>
    </row>
    <row r="30" spans="1:14" s="297" customFormat="1" ht="19.5" customHeight="1" thickBot="1" x14ac:dyDescent="0.35">
      <c r="A30" s="294" t="s">
        <v>51</v>
      </c>
      <c r="B30" s="299">
        <f>B28-B29</f>
        <v>92.86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297" customFormat="1" ht="27" customHeight="1" thickBot="1" x14ac:dyDescent="0.45">
      <c r="A31" s="294" t="s">
        <v>52</v>
      </c>
      <c r="B31" s="302">
        <v>425</v>
      </c>
      <c r="C31" s="497" t="s">
        <v>53</v>
      </c>
      <c r="D31" s="498"/>
      <c r="E31" s="498"/>
      <c r="F31" s="498"/>
      <c r="G31" s="498"/>
      <c r="H31" s="499"/>
      <c r="I31" s="298"/>
      <c r="J31" s="298"/>
      <c r="K31" s="298"/>
      <c r="L31" s="298"/>
    </row>
    <row r="32" spans="1:14" s="297" customFormat="1" ht="27" customHeight="1" thickBot="1" x14ac:dyDescent="0.45">
      <c r="A32" s="294" t="s">
        <v>54</v>
      </c>
      <c r="B32" s="302">
        <v>505</v>
      </c>
      <c r="C32" s="497" t="s">
        <v>55</v>
      </c>
      <c r="D32" s="498"/>
      <c r="E32" s="498"/>
      <c r="F32" s="498"/>
      <c r="G32" s="498"/>
      <c r="H32" s="499"/>
      <c r="I32" s="298"/>
      <c r="J32" s="298"/>
      <c r="K32" s="298"/>
      <c r="L32" s="303"/>
      <c r="M32" s="303"/>
      <c r="N32" s="304"/>
    </row>
    <row r="33" spans="1:14" s="297" customFormat="1" ht="17.25" customHeight="1" x14ac:dyDescent="0.3">
      <c r="A33" s="294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297" customFormat="1" ht="18.75" x14ac:dyDescent="0.3">
      <c r="A34" s="294" t="s">
        <v>56</v>
      </c>
      <c r="B34" s="307">
        <f>B31/B32</f>
        <v>0.84158415841584155</v>
      </c>
      <c r="C34" s="282" t="s">
        <v>57</v>
      </c>
      <c r="D34" s="282"/>
      <c r="E34" s="282"/>
      <c r="F34" s="282"/>
      <c r="G34" s="282"/>
      <c r="I34" s="298"/>
      <c r="J34" s="298"/>
      <c r="K34" s="298"/>
      <c r="L34" s="303"/>
      <c r="M34" s="303"/>
      <c r="N34" s="304"/>
    </row>
    <row r="35" spans="1:14" s="297" customFormat="1" ht="19.5" customHeight="1" thickBot="1" x14ac:dyDescent="0.35">
      <c r="A35" s="294"/>
      <c r="B35" s="299"/>
      <c r="G35" s="282"/>
      <c r="I35" s="298"/>
      <c r="J35" s="298"/>
      <c r="K35" s="298"/>
      <c r="L35" s="303"/>
      <c r="M35" s="303"/>
      <c r="N35" s="304"/>
    </row>
    <row r="36" spans="1:14" s="297" customFormat="1" ht="27" customHeight="1" thickBot="1" x14ac:dyDescent="0.45">
      <c r="A36" s="308" t="s">
        <v>124</v>
      </c>
      <c r="B36" s="309">
        <v>25</v>
      </c>
      <c r="C36" s="282"/>
      <c r="D36" s="500" t="s">
        <v>59</v>
      </c>
      <c r="E36" s="502"/>
      <c r="F36" s="500" t="s">
        <v>60</v>
      </c>
      <c r="G36" s="501"/>
      <c r="J36" s="298"/>
      <c r="K36" s="298"/>
      <c r="L36" s="303"/>
      <c r="M36" s="303"/>
      <c r="N36" s="304"/>
    </row>
    <row r="37" spans="1:14" s="297" customFormat="1" ht="27" customHeight="1" thickBot="1" x14ac:dyDescent="0.45">
      <c r="A37" s="310" t="s">
        <v>125</v>
      </c>
      <c r="B37" s="311">
        <v>1</v>
      </c>
      <c r="C37" s="312" t="s">
        <v>62</v>
      </c>
      <c r="D37" s="313" t="s">
        <v>63</v>
      </c>
      <c r="E37" s="314" t="s">
        <v>64</v>
      </c>
      <c r="F37" s="313" t="s">
        <v>63</v>
      </c>
      <c r="G37" s="315" t="s">
        <v>64</v>
      </c>
      <c r="I37" s="316" t="s">
        <v>126</v>
      </c>
      <c r="J37" s="298"/>
      <c r="K37" s="298"/>
      <c r="L37" s="303"/>
      <c r="M37" s="303"/>
      <c r="N37" s="304"/>
    </row>
    <row r="38" spans="1:14" s="297" customFormat="1" ht="26.25" customHeight="1" x14ac:dyDescent="0.4">
      <c r="A38" s="310" t="s">
        <v>127</v>
      </c>
      <c r="B38" s="311">
        <v>1</v>
      </c>
      <c r="C38" s="317">
        <v>1</v>
      </c>
      <c r="D38" s="318">
        <v>61856210</v>
      </c>
      <c r="E38" s="319">
        <f>IF(ISBLANK(D38),"-",$D$48/$D$45*D38)</f>
        <v>62798414.783105738</v>
      </c>
      <c r="F38" s="318">
        <v>61594099</v>
      </c>
      <c r="G38" s="320">
        <f>IF(ISBLANK(F38),"-",$D$48/$F$45*F38)</f>
        <v>63684328.631496742</v>
      </c>
      <c r="I38" s="321"/>
      <c r="J38" s="298"/>
      <c r="K38" s="298"/>
      <c r="L38" s="303"/>
      <c r="M38" s="303"/>
      <c r="N38" s="304"/>
    </row>
    <row r="39" spans="1:14" s="297" customFormat="1" ht="26.25" customHeight="1" x14ac:dyDescent="0.4">
      <c r="A39" s="310" t="s">
        <v>128</v>
      </c>
      <c r="B39" s="311">
        <v>1</v>
      </c>
      <c r="C39" s="322">
        <v>2</v>
      </c>
      <c r="D39" s="323">
        <v>62532809</v>
      </c>
      <c r="E39" s="324">
        <f>IF(ISBLANK(D39),"-",$D$48/$D$45*D39)</f>
        <v>63485319.85931126</v>
      </c>
      <c r="F39" s="323">
        <v>61464970</v>
      </c>
      <c r="G39" s="325">
        <f>IF(ISBLANK(F39),"-",$D$48/$F$45*F39)</f>
        <v>63550817.567849942</v>
      </c>
      <c r="I39" s="482">
        <f>ABS((F43/D43*D42)-F42)/D42</f>
        <v>5.3995347766216681E-3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129</v>
      </c>
      <c r="B40" s="311">
        <v>1</v>
      </c>
      <c r="C40" s="322">
        <v>3</v>
      </c>
      <c r="D40" s="323">
        <v>62171686</v>
      </c>
      <c r="E40" s="324">
        <f>IF(ISBLANK(D40),"-",$D$48/$D$45*D40)</f>
        <v>63118696.169600561</v>
      </c>
      <c r="F40" s="323">
        <v>61134188</v>
      </c>
      <c r="G40" s="325">
        <f>IF(ISBLANK(F40),"-",$D$48/$F$45*F40)</f>
        <v>63208810.298722036</v>
      </c>
      <c r="I40" s="482"/>
      <c r="L40" s="303"/>
      <c r="M40" s="303"/>
      <c r="N40" s="282"/>
    </row>
    <row r="41" spans="1:14" ht="27" customHeight="1" thickBot="1" x14ac:dyDescent="0.45">
      <c r="A41" s="310" t="s">
        <v>130</v>
      </c>
      <c r="B41" s="311">
        <v>1</v>
      </c>
      <c r="C41" s="326">
        <v>4</v>
      </c>
      <c r="D41" s="327"/>
      <c r="E41" s="328" t="str">
        <f>IF(ISBLANK(D41),"-",$D$48/$D$45*D41)</f>
        <v>-</v>
      </c>
      <c r="F41" s="327"/>
      <c r="G41" s="329" t="str">
        <f>IF(ISBLANK(F41),"-",$D$48/$F$45*F41)</f>
        <v>-</v>
      </c>
      <c r="I41" s="330"/>
      <c r="L41" s="303"/>
      <c r="M41" s="303"/>
      <c r="N41" s="282"/>
    </row>
    <row r="42" spans="1:14" ht="27" customHeight="1" thickBot="1" x14ac:dyDescent="0.45">
      <c r="A42" s="310" t="s">
        <v>131</v>
      </c>
      <c r="B42" s="311">
        <v>1</v>
      </c>
      <c r="C42" s="331" t="s">
        <v>70</v>
      </c>
      <c r="D42" s="332">
        <f>AVERAGE(D38:D41)</f>
        <v>62186901.666666664</v>
      </c>
      <c r="E42" s="333">
        <f>AVERAGE(E38:E41)</f>
        <v>63134143.604005851</v>
      </c>
      <c r="F42" s="332">
        <f>AVERAGE(F38:F41)</f>
        <v>61397752.333333336</v>
      </c>
      <c r="G42" s="334">
        <f>AVERAGE(G38:G41)</f>
        <v>63481318.832689576</v>
      </c>
      <c r="H42" s="335"/>
    </row>
    <row r="43" spans="1:14" ht="26.25" customHeight="1" x14ac:dyDescent="0.4">
      <c r="A43" s="310" t="s">
        <v>132</v>
      </c>
      <c r="B43" s="311">
        <v>1</v>
      </c>
      <c r="C43" s="336" t="s">
        <v>133</v>
      </c>
      <c r="D43" s="337">
        <v>31.51</v>
      </c>
      <c r="E43" s="282"/>
      <c r="F43" s="337">
        <v>30.94</v>
      </c>
      <c r="H43" s="335"/>
    </row>
    <row r="44" spans="1:14" ht="26.25" customHeight="1" x14ac:dyDescent="0.4">
      <c r="A44" s="310" t="s">
        <v>134</v>
      </c>
      <c r="B44" s="311">
        <v>1</v>
      </c>
      <c r="C44" s="338" t="s">
        <v>135</v>
      </c>
      <c r="D44" s="339">
        <f>D43*$B$34</f>
        <v>26.518316831683169</v>
      </c>
      <c r="E44" s="340"/>
      <c r="F44" s="339">
        <f>F43*$B$34</f>
        <v>26.038613861386139</v>
      </c>
      <c r="H44" s="335"/>
    </row>
    <row r="45" spans="1:14" ht="19.5" customHeight="1" thickBot="1" x14ac:dyDescent="0.35">
      <c r="A45" s="310" t="s">
        <v>75</v>
      </c>
      <c r="B45" s="322">
        <f>(B44/B43)*(B42/B41)*(B40/B39)*(B38/B37)*B36</f>
        <v>25</v>
      </c>
      <c r="C45" s="338" t="s">
        <v>76</v>
      </c>
      <c r="D45" s="341">
        <f>D44*$B$30/100</f>
        <v>24.624909009900989</v>
      </c>
      <c r="E45" s="342"/>
      <c r="F45" s="341">
        <f>F44*$B$30/100</f>
        <v>24.179456831683169</v>
      </c>
      <c r="H45" s="335"/>
    </row>
    <row r="46" spans="1:14" ht="19.5" customHeight="1" thickBot="1" x14ac:dyDescent="0.35">
      <c r="A46" s="483" t="s">
        <v>77</v>
      </c>
      <c r="B46" s="487"/>
      <c r="C46" s="338" t="s">
        <v>78</v>
      </c>
      <c r="D46" s="343">
        <f>D45/$B$45</f>
        <v>0.98499636039603955</v>
      </c>
      <c r="E46" s="344"/>
      <c r="F46" s="345">
        <f>F45/$B$45</f>
        <v>0.96717827326732675</v>
      </c>
      <c r="H46" s="335"/>
    </row>
    <row r="47" spans="1:14" ht="27" customHeight="1" thickBot="1" x14ac:dyDescent="0.45">
      <c r="A47" s="485"/>
      <c r="B47" s="488"/>
      <c r="C47" s="346" t="s">
        <v>136</v>
      </c>
      <c r="D47" s="347">
        <v>1</v>
      </c>
      <c r="E47" s="348"/>
      <c r="F47" s="344"/>
      <c r="H47" s="335"/>
    </row>
    <row r="48" spans="1:14" ht="18.75" x14ac:dyDescent="0.3">
      <c r="C48" s="349" t="s">
        <v>80</v>
      </c>
      <c r="D48" s="341">
        <f>D47*$B$45</f>
        <v>25</v>
      </c>
      <c r="F48" s="350"/>
      <c r="H48" s="335"/>
    </row>
    <row r="49" spans="1:12" ht="19.5" customHeight="1" thickBot="1" x14ac:dyDescent="0.35">
      <c r="C49" s="351" t="s">
        <v>81</v>
      </c>
      <c r="D49" s="352">
        <f>D48/B34</f>
        <v>29.705882352941178</v>
      </c>
      <c r="F49" s="350"/>
      <c r="H49" s="335"/>
    </row>
    <row r="50" spans="1:12" ht="18.75" x14ac:dyDescent="0.3">
      <c r="C50" s="308" t="s">
        <v>82</v>
      </c>
      <c r="D50" s="353">
        <f>AVERAGE(E38:E41,G38:G41)</f>
        <v>63307731.218347706</v>
      </c>
      <c r="F50" s="354"/>
      <c r="H50" s="335"/>
    </row>
    <row r="51" spans="1:12" ht="18.75" x14ac:dyDescent="0.3">
      <c r="C51" s="310" t="s">
        <v>83</v>
      </c>
      <c r="D51" s="355">
        <f>STDEV(E38:E41,G38:G41)/D50</f>
        <v>5.1784267997776528E-3</v>
      </c>
      <c r="F51" s="354"/>
      <c r="H51" s="335"/>
    </row>
    <row r="52" spans="1:12" ht="19.5" customHeight="1" thickBot="1" x14ac:dyDescent="0.35">
      <c r="C52" s="356" t="s">
        <v>20</v>
      </c>
      <c r="D52" s="357">
        <f>COUNT(E38:E41,G38:G41)</f>
        <v>6</v>
      </c>
      <c r="F52" s="354"/>
    </row>
    <row r="54" spans="1:12" ht="18.75" x14ac:dyDescent="0.3">
      <c r="A54" s="358" t="s">
        <v>1</v>
      </c>
      <c r="B54" s="359" t="s">
        <v>84</v>
      </c>
    </row>
    <row r="55" spans="1:12" ht="18.75" x14ac:dyDescent="0.3">
      <c r="A55" s="282" t="s">
        <v>85</v>
      </c>
      <c r="B55" s="360" t="str">
        <f>B21</f>
        <v xml:space="preserve">Each pessary contains: Clindamycin (as clindamycin phosphate) 100 mg </v>
      </c>
    </row>
    <row r="56" spans="1:12" ht="26.25" customHeight="1" x14ac:dyDescent="0.4">
      <c r="A56" s="360" t="s">
        <v>86</v>
      </c>
      <c r="B56" s="361">
        <v>100</v>
      </c>
      <c r="C56" s="282" t="str">
        <f>B20</f>
        <v xml:space="preserve">CLINDAMYCIN PHOSPHATE </v>
      </c>
      <c r="H56" s="340"/>
    </row>
    <row r="57" spans="1:12" ht="18.75" x14ac:dyDescent="0.3">
      <c r="A57" s="360" t="s">
        <v>87</v>
      </c>
      <c r="B57" s="362">
        <f>[1]Uniformity!C46</f>
        <v>2013.6475000000003</v>
      </c>
      <c r="H57" s="340"/>
    </row>
    <row r="58" spans="1:12" ht="19.5" customHeight="1" thickBot="1" x14ac:dyDescent="0.35">
      <c r="H58" s="340"/>
    </row>
    <row r="59" spans="1:12" s="297" customFormat="1" ht="27" customHeight="1" thickBot="1" x14ac:dyDescent="0.45">
      <c r="A59" s="308" t="s">
        <v>137</v>
      </c>
      <c r="B59" s="309">
        <v>100</v>
      </c>
      <c r="C59" s="282"/>
      <c r="D59" s="363" t="s">
        <v>138</v>
      </c>
      <c r="E59" s="364" t="s">
        <v>62</v>
      </c>
      <c r="F59" s="364" t="s">
        <v>63</v>
      </c>
      <c r="G59" s="364" t="s">
        <v>139</v>
      </c>
      <c r="H59" s="312" t="s">
        <v>140</v>
      </c>
      <c r="L59" s="298"/>
    </row>
    <row r="60" spans="1:12" s="297" customFormat="1" ht="26.25" customHeight="1" x14ac:dyDescent="0.4">
      <c r="A60" s="310" t="s">
        <v>141</v>
      </c>
      <c r="B60" s="311">
        <v>1</v>
      </c>
      <c r="C60" s="503" t="s">
        <v>142</v>
      </c>
      <c r="D60" s="506">
        <v>2009.73</v>
      </c>
      <c r="E60" s="365">
        <v>1</v>
      </c>
      <c r="F60" s="366">
        <v>67197464</v>
      </c>
      <c r="G60" s="367">
        <f>IF(ISBLANK(F60),"-",(F60/$D$50*$D$47*$B$68)*($B$57/$D$60))</f>
        <v>106.35107038434579</v>
      </c>
      <c r="H60" s="368">
        <f t="shared" ref="H60:H71" si="0">IF(ISBLANK(F60),"-",(G60/$B$56)*100)</f>
        <v>106.35107038434579</v>
      </c>
      <c r="L60" s="298"/>
    </row>
    <row r="61" spans="1:12" s="297" customFormat="1" ht="26.25" customHeight="1" x14ac:dyDescent="0.4">
      <c r="A61" s="310" t="s">
        <v>143</v>
      </c>
      <c r="B61" s="311">
        <v>1</v>
      </c>
      <c r="C61" s="504"/>
      <c r="D61" s="507"/>
      <c r="E61" s="369">
        <v>2</v>
      </c>
      <c r="F61" s="323">
        <v>66753762</v>
      </c>
      <c r="G61" s="370">
        <f>IF(ISBLANK(F61),"-",(F61/$D$50*$D$47*$B$68)*($B$57/$D$60))</f>
        <v>105.64883878477718</v>
      </c>
      <c r="H61" s="371">
        <f t="shared" si="0"/>
        <v>105.64883878477718</v>
      </c>
      <c r="L61" s="298"/>
    </row>
    <row r="62" spans="1:12" s="297" customFormat="1" ht="26.25" customHeight="1" x14ac:dyDescent="0.4">
      <c r="A62" s="310" t="s">
        <v>144</v>
      </c>
      <c r="B62" s="311">
        <v>1</v>
      </c>
      <c r="C62" s="504"/>
      <c r="D62" s="507"/>
      <c r="E62" s="369">
        <v>3</v>
      </c>
      <c r="F62" s="372">
        <v>67035974</v>
      </c>
      <c r="G62" s="370">
        <f>IF(ISBLANK(F62),"-",(F62/$D$50*$D$47*$B$68)*($B$57/$D$60))</f>
        <v>106.09548582305389</v>
      </c>
      <c r="H62" s="371">
        <f t="shared" si="0"/>
        <v>106.09548582305388</v>
      </c>
      <c r="L62" s="298"/>
    </row>
    <row r="63" spans="1:12" ht="27" customHeight="1" thickBot="1" x14ac:dyDescent="0.45">
      <c r="A63" s="310" t="s">
        <v>145</v>
      </c>
      <c r="B63" s="311">
        <v>1</v>
      </c>
      <c r="C63" s="505"/>
      <c r="D63" s="508"/>
      <c r="E63" s="373">
        <v>4</v>
      </c>
      <c r="F63" s="374"/>
      <c r="G63" s="370" t="str">
        <f>IF(ISBLANK(F63),"-",(F63/$D$50*$D$47*$B$68)*($B$57/$D$60))</f>
        <v>-</v>
      </c>
      <c r="H63" s="371" t="str">
        <f t="shared" si="0"/>
        <v>-</v>
      </c>
    </row>
    <row r="64" spans="1:12" ht="26.25" customHeight="1" x14ac:dyDescent="0.4">
      <c r="A64" s="310" t="s">
        <v>146</v>
      </c>
      <c r="B64" s="311">
        <v>1</v>
      </c>
      <c r="C64" s="503" t="s">
        <v>147</v>
      </c>
      <c r="D64" s="506">
        <v>2016.04</v>
      </c>
      <c r="E64" s="365">
        <v>1</v>
      </c>
      <c r="F64" s="366">
        <v>67971913</v>
      </c>
      <c r="G64" s="367">
        <f>IF(ISBLANK(F64),"-",(F64/$D$50*$D$47*$B$68)*($B$57/$D$64))</f>
        <v>107.24005934438225</v>
      </c>
      <c r="H64" s="368">
        <f t="shared" si="0"/>
        <v>107.24005934438226</v>
      </c>
    </row>
    <row r="65" spans="1:8" ht="26.25" customHeight="1" x14ac:dyDescent="0.4">
      <c r="A65" s="310" t="s">
        <v>148</v>
      </c>
      <c r="B65" s="311">
        <v>1</v>
      </c>
      <c r="C65" s="504"/>
      <c r="D65" s="507"/>
      <c r="E65" s="369">
        <v>2</v>
      </c>
      <c r="F65" s="323">
        <v>67738650</v>
      </c>
      <c r="G65" s="370">
        <f>IF(ISBLANK(F65),"-",(F65/$D$50*$D$47*$B$68)*($B$57/$D$64))</f>
        <v>106.8720376592658</v>
      </c>
      <c r="H65" s="371">
        <f t="shared" si="0"/>
        <v>106.8720376592658</v>
      </c>
    </row>
    <row r="66" spans="1:8" ht="26.25" customHeight="1" x14ac:dyDescent="0.4">
      <c r="A66" s="310" t="s">
        <v>149</v>
      </c>
      <c r="B66" s="311">
        <v>1</v>
      </c>
      <c r="C66" s="504"/>
      <c r="D66" s="507"/>
      <c r="E66" s="369">
        <v>3</v>
      </c>
      <c r="F66" s="323">
        <v>67772676</v>
      </c>
      <c r="G66" s="370">
        <f>IF(ISBLANK(F66),"-",(F66/$D$50*$D$47*$B$68)*($B$57/$D$64))</f>
        <v>106.92572086602287</v>
      </c>
      <c r="H66" s="371">
        <f t="shared" si="0"/>
        <v>106.92572086602287</v>
      </c>
    </row>
    <row r="67" spans="1:8" ht="27" customHeight="1" thickBot="1" x14ac:dyDescent="0.45">
      <c r="A67" s="310" t="s">
        <v>150</v>
      </c>
      <c r="B67" s="311">
        <v>1</v>
      </c>
      <c r="C67" s="505"/>
      <c r="D67" s="508"/>
      <c r="E67" s="373">
        <v>4</v>
      </c>
      <c r="F67" s="374"/>
      <c r="G67" s="375" t="str">
        <f>IF(ISBLANK(F67),"-",(F67/$D$50*$D$47*$B$68)*($B$57/$D$64))</f>
        <v>-</v>
      </c>
      <c r="H67" s="376" t="str">
        <f t="shared" si="0"/>
        <v>-</v>
      </c>
    </row>
    <row r="68" spans="1:8" ht="26.25" customHeight="1" x14ac:dyDescent="0.4">
      <c r="A68" s="310" t="s">
        <v>121</v>
      </c>
      <c r="B68" s="377">
        <f>(B67/B66)*(B65/B64)*(B63/B62)*(B61/B60)*B59</f>
        <v>100</v>
      </c>
      <c r="C68" s="503" t="s">
        <v>151</v>
      </c>
      <c r="D68" s="506">
        <v>2024.02</v>
      </c>
      <c r="E68" s="365">
        <v>1</v>
      </c>
      <c r="F68" s="366">
        <v>67989404</v>
      </c>
      <c r="G68" s="367">
        <f>IF(ISBLANK(F68),"-",(F68/$D$50*$D$47*$B$68)*($B$57/$D$68))</f>
        <v>106.84473640343809</v>
      </c>
      <c r="H68" s="371">
        <f t="shared" si="0"/>
        <v>106.84473640343811</v>
      </c>
    </row>
    <row r="69" spans="1:8" ht="27" customHeight="1" thickBot="1" x14ac:dyDescent="0.45">
      <c r="A69" s="356" t="s">
        <v>152</v>
      </c>
      <c r="B69" s="378">
        <f>(D47*B68)/B56*B57</f>
        <v>2013.6475000000003</v>
      </c>
      <c r="C69" s="504"/>
      <c r="D69" s="507"/>
      <c r="E69" s="369">
        <v>2</v>
      </c>
      <c r="F69" s="323">
        <v>67795149</v>
      </c>
      <c r="G69" s="370">
        <f>IF(ISBLANK(F69),"-",(F69/$D$50*$D$47*$B$68)*($B$57/$D$68))</f>
        <v>106.53946641945572</v>
      </c>
      <c r="H69" s="371">
        <f t="shared" si="0"/>
        <v>106.53946641945574</v>
      </c>
    </row>
    <row r="70" spans="1:8" ht="26.25" customHeight="1" x14ac:dyDescent="0.4">
      <c r="A70" s="510" t="s">
        <v>77</v>
      </c>
      <c r="B70" s="511"/>
      <c r="C70" s="504"/>
      <c r="D70" s="507"/>
      <c r="E70" s="369">
        <v>3</v>
      </c>
      <c r="F70" s="323">
        <v>68002691</v>
      </c>
      <c r="G70" s="370">
        <f>IF(ISBLANK(F70),"-",(F70/$D$50*$D$47*$B$68)*($B$57/$D$68))</f>
        <v>106.86561680433987</v>
      </c>
      <c r="H70" s="371">
        <f t="shared" si="0"/>
        <v>106.86561680433985</v>
      </c>
    </row>
    <row r="71" spans="1:8" ht="27" customHeight="1" thickBot="1" x14ac:dyDescent="0.45">
      <c r="A71" s="512"/>
      <c r="B71" s="513"/>
      <c r="C71" s="509"/>
      <c r="D71" s="508"/>
      <c r="E71" s="373">
        <v>4</v>
      </c>
      <c r="F71" s="374"/>
      <c r="G71" s="375" t="str">
        <f>IF(ISBLANK(F71),"-",(F71/$D$50*$D$47*$B$68)*($B$57/$D$68))</f>
        <v>-</v>
      </c>
      <c r="H71" s="376" t="str">
        <f t="shared" si="0"/>
        <v>-</v>
      </c>
    </row>
    <row r="72" spans="1:8" ht="26.25" customHeight="1" x14ac:dyDescent="0.4">
      <c r="A72" s="340"/>
      <c r="B72" s="340"/>
      <c r="C72" s="340"/>
      <c r="D72" s="340"/>
      <c r="E72" s="340"/>
      <c r="F72" s="379" t="s">
        <v>70</v>
      </c>
      <c r="G72" s="380">
        <f>AVERAGE(G60:G71)</f>
        <v>106.59811472100905</v>
      </c>
      <c r="H72" s="381">
        <f>AVERAGE(H60:H71)</f>
        <v>106.59811472100905</v>
      </c>
    </row>
    <row r="73" spans="1:8" ht="26.25" customHeight="1" x14ac:dyDescent="0.4">
      <c r="C73" s="340"/>
      <c r="D73" s="340"/>
      <c r="E73" s="340"/>
      <c r="F73" s="382" t="s">
        <v>83</v>
      </c>
      <c r="G73" s="383">
        <f>STDEV(G60:G71)/G72</f>
        <v>4.6256454704660856E-3</v>
      </c>
      <c r="H73" s="383">
        <f>STDEV(H60:H71)/H72</f>
        <v>4.6256454704661221E-3</v>
      </c>
    </row>
    <row r="74" spans="1:8" ht="27" customHeight="1" thickBot="1" x14ac:dyDescent="0.45">
      <c r="A74" s="340"/>
      <c r="B74" s="340"/>
      <c r="C74" s="340"/>
      <c r="D74" s="340"/>
      <c r="E74" s="342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3" t="s">
        <v>153</v>
      </c>
      <c r="B76" s="294" t="s">
        <v>96</v>
      </c>
      <c r="C76" s="491" t="str">
        <f>B26</f>
        <v>Clindamycin Phosphate</v>
      </c>
      <c r="D76" s="491"/>
      <c r="E76" s="282" t="s">
        <v>97</v>
      </c>
      <c r="F76" s="282"/>
      <c r="G76" s="386">
        <f>H72</f>
        <v>106.59811472100905</v>
      </c>
      <c r="H76" s="299"/>
    </row>
    <row r="77" spans="1:8" ht="18.75" x14ac:dyDescent="0.3">
      <c r="A77" s="292" t="s">
        <v>104</v>
      </c>
      <c r="B77" s="292" t="s">
        <v>105</v>
      </c>
    </row>
    <row r="78" spans="1:8" ht="18.75" x14ac:dyDescent="0.3">
      <c r="A78" s="292"/>
      <c r="B78" s="292"/>
    </row>
    <row r="79" spans="1:8" ht="26.25" customHeight="1" x14ac:dyDescent="0.4">
      <c r="A79" s="293" t="s">
        <v>4</v>
      </c>
      <c r="B79" s="493"/>
      <c r="C79" s="493"/>
    </row>
    <row r="80" spans="1:8" ht="26.25" customHeight="1" x14ac:dyDescent="0.4">
      <c r="A80" s="294" t="s">
        <v>48</v>
      </c>
      <c r="B80" s="493"/>
      <c r="C80" s="493"/>
    </row>
    <row r="81" spans="1:12" ht="27" customHeight="1" thickBot="1" x14ac:dyDescent="0.45">
      <c r="A81" s="294" t="s">
        <v>6</v>
      </c>
      <c r="B81" s="295"/>
    </row>
    <row r="82" spans="1:12" s="297" customFormat="1" ht="27" customHeight="1" thickBot="1" x14ac:dyDescent="0.45">
      <c r="A82" s="294" t="s">
        <v>49</v>
      </c>
      <c r="B82" s="296">
        <v>0</v>
      </c>
      <c r="C82" s="494" t="s">
        <v>106</v>
      </c>
      <c r="D82" s="495"/>
      <c r="E82" s="495"/>
      <c r="F82" s="495"/>
      <c r="G82" s="496"/>
      <c r="I82" s="298"/>
      <c r="J82" s="298"/>
      <c r="K82" s="298"/>
      <c r="L82" s="298"/>
    </row>
    <row r="83" spans="1:12" s="297" customFormat="1" ht="19.5" customHeight="1" thickBot="1" x14ac:dyDescent="0.35">
      <c r="A83" s="294" t="s">
        <v>51</v>
      </c>
      <c r="B83" s="299">
        <f>B81-B82</f>
        <v>0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297" customFormat="1" ht="27" customHeight="1" thickBot="1" x14ac:dyDescent="0.45">
      <c r="A84" s="294" t="s">
        <v>52</v>
      </c>
      <c r="B84" s="302">
        <v>1</v>
      </c>
      <c r="C84" s="497" t="s">
        <v>154</v>
      </c>
      <c r="D84" s="498"/>
      <c r="E84" s="498"/>
      <c r="F84" s="498"/>
      <c r="G84" s="498"/>
      <c r="H84" s="499"/>
      <c r="I84" s="298"/>
      <c r="J84" s="298"/>
      <c r="K84" s="298"/>
      <c r="L84" s="298"/>
    </row>
    <row r="85" spans="1:12" s="297" customFormat="1" ht="27" customHeight="1" thickBot="1" x14ac:dyDescent="0.45">
      <c r="A85" s="294" t="s">
        <v>54</v>
      </c>
      <c r="B85" s="302">
        <v>1</v>
      </c>
      <c r="C85" s="497" t="s">
        <v>155</v>
      </c>
      <c r="D85" s="498"/>
      <c r="E85" s="498"/>
      <c r="F85" s="498"/>
      <c r="G85" s="498"/>
      <c r="H85" s="499"/>
      <c r="I85" s="298"/>
      <c r="J85" s="298"/>
      <c r="K85" s="298"/>
      <c r="L85" s="298"/>
    </row>
    <row r="86" spans="1:12" s="297" customFormat="1" ht="18.75" x14ac:dyDescent="0.3">
      <c r="A86" s="294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297" customFormat="1" ht="18.75" x14ac:dyDescent="0.3">
      <c r="A87" s="294" t="s">
        <v>56</v>
      </c>
      <c r="B87" s="307">
        <f>B84/B85</f>
        <v>1</v>
      </c>
      <c r="C87" s="282" t="s">
        <v>57</v>
      </c>
      <c r="D87" s="282"/>
      <c r="E87" s="282"/>
      <c r="F87" s="282"/>
      <c r="G87" s="282"/>
      <c r="I87" s="298"/>
      <c r="J87" s="298"/>
      <c r="K87" s="298"/>
      <c r="L87" s="298"/>
    </row>
    <row r="88" spans="1:12" ht="19.5" customHeight="1" thickBot="1" x14ac:dyDescent="0.35">
      <c r="A88" s="292"/>
      <c r="B88" s="292"/>
    </row>
    <row r="89" spans="1:12" ht="27" customHeight="1" thickBot="1" x14ac:dyDescent="0.45">
      <c r="A89" s="308" t="s">
        <v>124</v>
      </c>
      <c r="B89" s="309">
        <v>1</v>
      </c>
      <c r="D89" s="387" t="s">
        <v>59</v>
      </c>
      <c r="E89" s="388"/>
      <c r="F89" s="500" t="s">
        <v>60</v>
      </c>
      <c r="G89" s="501"/>
    </row>
    <row r="90" spans="1:12" ht="27" customHeight="1" thickBot="1" x14ac:dyDescent="0.45">
      <c r="A90" s="310" t="s">
        <v>125</v>
      </c>
      <c r="B90" s="311">
        <v>1</v>
      </c>
      <c r="C90" s="389" t="s">
        <v>62</v>
      </c>
      <c r="D90" s="313" t="s">
        <v>63</v>
      </c>
      <c r="E90" s="314" t="s">
        <v>64</v>
      </c>
      <c r="F90" s="313" t="s">
        <v>63</v>
      </c>
      <c r="G90" s="390" t="s">
        <v>64</v>
      </c>
      <c r="I90" s="316" t="s">
        <v>126</v>
      </c>
    </row>
    <row r="91" spans="1:12" ht="26.25" customHeight="1" x14ac:dyDescent="0.4">
      <c r="A91" s="310" t="s">
        <v>127</v>
      </c>
      <c r="B91" s="311">
        <v>1</v>
      </c>
      <c r="C91" s="391">
        <v>1</v>
      </c>
      <c r="D91" s="318"/>
      <c r="E91" s="319" t="str">
        <f>IF(ISBLANK(D91),"-",$D$101/$D$98*D91)</f>
        <v>-</v>
      </c>
      <c r="F91" s="318"/>
      <c r="G91" s="320" t="str">
        <f>IF(ISBLANK(F91),"-",$D$101/$F$98*F91)</f>
        <v>-</v>
      </c>
      <c r="I91" s="321"/>
    </row>
    <row r="92" spans="1:12" ht="26.25" customHeight="1" x14ac:dyDescent="0.4">
      <c r="A92" s="310" t="s">
        <v>128</v>
      </c>
      <c r="B92" s="311">
        <v>1</v>
      </c>
      <c r="C92" s="340">
        <v>2</v>
      </c>
      <c r="D92" s="323"/>
      <c r="E92" s="324" t="str">
        <f>IF(ISBLANK(D92),"-",$D$101/$D$98*D92)</f>
        <v>-</v>
      </c>
      <c r="F92" s="323"/>
      <c r="G92" s="325" t="str">
        <f>IF(ISBLANK(F92),"-",$D$101/$F$98*F92)</f>
        <v>-</v>
      </c>
      <c r="I92" s="482" t="e">
        <f>ABS((F96/D96*D95)-F95)/D95</f>
        <v>#DIV/0!</v>
      </c>
    </row>
    <row r="93" spans="1:12" ht="26.25" customHeight="1" x14ac:dyDescent="0.4">
      <c r="A93" s="310" t="s">
        <v>129</v>
      </c>
      <c r="B93" s="311">
        <v>1</v>
      </c>
      <c r="C93" s="340">
        <v>3</v>
      </c>
      <c r="D93" s="323"/>
      <c r="E93" s="324" t="str">
        <f>IF(ISBLANK(D93),"-",$D$101/$D$98*D93)</f>
        <v>-</v>
      </c>
      <c r="F93" s="323"/>
      <c r="G93" s="325" t="str">
        <f>IF(ISBLANK(F93),"-",$D$101/$F$98*F93)</f>
        <v>-</v>
      </c>
      <c r="I93" s="482"/>
    </row>
    <row r="94" spans="1:12" ht="27" customHeight="1" thickBot="1" x14ac:dyDescent="0.45">
      <c r="A94" s="310" t="s">
        <v>130</v>
      </c>
      <c r="B94" s="311">
        <v>1</v>
      </c>
      <c r="C94" s="392">
        <v>4</v>
      </c>
      <c r="D94" s="327"/>
      <c r="E94" s="328" t="str">
        <f>IF(ISBLANK(D94),"-",$D$101/$D$98*D94)</f>
        <v>-</v>
      </c>
      <c r="F94" s="393"/>
      <c r="G94" s="329" t="str">
        <f>IF(ISBLANK(F94),"-",$D$101/$F$98*F94)</f>
        <v>-</v>
      </c>
      <c r="I94" s="330"/>
    </row>
    <row r="95" spans="1:12" ht="27" customHeight="1" thickBot="1" x14ac:dyDescent="0.45">
      <c r="A95" s="310" t="s">
        <v>131</v>
      </c>
      <c r="B95" s="311">
        <v>1</v>
      </c>
      <c r="C95" s="294" t="s">
        <v>70</v>
      </c>
      <c r="D95" s="394" t="e">
        <f>AVERAGE(D91:D94)</f>
        <v>#DIV/0!</v>
      </c>
      <c r="E95" s="333" t="e">
        <f>AVERAGE(E91:E94)</f>
        <v>#DIV/0!</v>
      </c>
      <c r="F95" s="395" t="e">
        <f>AVERAGE(F91:F94)</f>
        <v>#DIV/0!</v>
      </c>
      <c r="G95" s="396" t="e">
        <f>AVERAGE(G91:G94)</f>
        <v>#DIV/0!</v>
      </c>
    </row>
    <row r="96" spans="1:12" ht="26.25" customHeight="1" x14ac:dyDescent="0.4">
      <c r="A96" s="310" t="s">
        <v>132</v>
      </c>
      <c r="B96" s="295">
        <v>1</v>
      </c>
      <c r="C96" s="397" t="s">
        <v>72</v>
      </c>
      <c r="D96" s="398"/>
      <c r="E96" s="282"/>
      <c r="F96" s="337"/>
    </row>
    <row r="97" spans="1:10" ht="26.25" customHeight="1" x14ac:dyDescent="0.4">
      <c r="A97" s="310" t="s">
        <v>134</v>
      </c>
      <c r="B97" s="295">
        <v>1</v>
      </c>
      <c r="C97" s="399" t="s">
        <v>74</v>
      </c>
      <c r="D97" s="400">
        <f>D96*$B$87</f>
        <v>0</v>
      </c>
      <c r="E97" s="340"/>
      <c r="F97" s="339">
        <f>F96*$B$87</f>
        <v>0</v>
      </c>
    </row>
    <row r="98" spans="1:10" ht="19.5" customHeight="1" thickBot="1" x14ac:dyDescent="0.35">
      <c r="A98" s="310" t="s">
        <v>75</v>
      </c>
      <c r="B98" s="340">
        <f>(B97/B96)*(B95/B94)*(B93/B92)*(B91/B90)*B89</f>
        <v>1</v>
      </c>
      <c r="C98" s="399" t="s">
        <v>156</v>
      </c>
      <c r="D98" s="401">
        <f>D97*$B$83/100</f>
        <v>0</v>
      </c>
      <c r="E98" s="342"/>
      <c r="F98" s="341">
        <f>F97*$B$83/100</f>
        <v>0</v>
      </c>
    </row>
    <row r="99" spans="1:10" ht="19.5" customHeight="1" thickBot="1" x14ac:dyDescent="0.35">
      <c r="A99" s="483" t="s">
        <v>77</v>
      </c>
      <c r="B99" s="484"/>
      <c r="C99" s="399" t="s">
        <v>157</v>
      </c>
      <c r="D99" s="402">
        <f>D98/$B$98</f>
        <v>0</v>
      </c>
      <c r="E99" s="342"/>
      <c r="F99" s="345">
        <f>F98/$B$98</f>
        <v>0</v>
      </c>
      <c r="H99" s="335"/>
    </row>
    <row r="100" spans="1:10" ht="19.5" customHeight="1" thickBot="1" x14ac:dyDescent="0.35">
      <c r="A100" s="485"/>
      <c r="B100" s="486"/>
      <c r="C100" s="399" t="s">
        <v>136</v>
      </c>
      <c r="D100" s="403">
        <f>$B$56/$B$116</f>
        <v>100</v>
      </c>
      <c r="F100" s="350"/>
      <c r="G100" s="404"/>
      <c r="H100" s="335"/>
    </row>
    <row r="101" spans="1:10" ht="18.75" x14ac:dyDescent="0.3">
      <c r="C101" s="399" t="s">
        <v>80</v>
      </c>
      <c r="D101" s="400">
        <f>D100*$B$98</f>
        <v>100</v>
      </c>
      <c r="F101" s="350"/>
      <c r="H101" s="335"/>
    </row>
    <row r="102" spans="1:10" ht="19.5" customHeight="1" thickBot="1" x14ac:dyDescent="0.35">
      <c r="C102" s="405" t="s">
        <v>81</v>
      </c>
      <c r="D102" s="406">
        <f>D101/B34</f>
        <v>118.82352941176471</v>
      </c>
      <c r="F102" s="354"/>
      <c r="H102" s="335"/>
      <c r="J102" s="407"/>
    </row>
    <row r="103" spans="1:10" ht="18.75" x14ac:dyDescent="0.3">
      <c r="C103" s="408" t="s">
        <v>158</v>
      </c>
      <c r="D103" s="409" t="e">
        <f>AVERAGE(E91:E94,G91:G94)</f>
        <v>#DIV/0!</v>
      </c>
      <c r="F103" s="354"/>
      <c r="G103" s="404"/>
      <c r="H103" s="335"/>
      <c r="J103" s="410"/>
    </row>
    <row r="104" spans="1:10" ht="18.75" x14ac:dyDescent="0.3">
      <c r="C104" s="382" t="s">
        <v>83</v>
      </c>
      <c r="D104" s="411" t="e">
        <f>STDEV(E91:E94,G91:G94)/D103</f>
        <v>#DIV/0!</v>
      </c>
      <c r="F104" s="354"/>
      <c r="H104" s="335"/>
      <c r="J104" s="410"/>
    </row>
    <row r="105" spans="1:10" ht="19.5" customHeight="1" thickBot="1" x14ac:dyDescent="0.35">
      <c r="C105" s="384" t="s">
        <v>20</v>
      </c>
      <c r="D105" s="412">
        <f>COUNT(E91:E94,G91:G94)</f>
        <v>0</v>
      </c>
      <c r="F105" s="354"/>
      <c r="H105" s="335"/>
      <c r="J105" s="410"/>
    </row>
    <row r="106" spans="1:10" ht="19.5" customHeight="1" thickBot="1" x14ac:dyDescent="0.35">
      <c r="A106" s="358"/>
      <c r="B106" s="358"/>
      <c r="C106" s="358"/>
      <c r="D106" s="358"/>
      <c r="E106" s="358"/>
    </row>
    <row r="107" spans="1:10" ht="27" customHeight="1" thickBot="1" x14ac:dyDescent="0.45">
      <c r="A107" s="308" t="s">
        <v>109</v>
      </c>
      <c r="B107" s="309">
        <v>1</v>
      </c>
      <c r="C107" s="364" t="s">
        <v>159</v>
      </c>
      <c r="D107" s="364" t="s">
        <v>63</v>
      </c>
      <c r="E107" s="364" t="s">
        <v>111</v>
      </c>
      <c r="F107" s="413" t="s">
        <v>112</v>
      </c>
    </row>
    <row r="108" spans="1:10" ht="26.25" customHeight="1" x14ac:dyDescent="0.4">
      <c r="A108" s="310" t="s">
        <v>160</v>
      </c>
      <c r="B108" s="311">
        <v>1</v>
      </c>
      <c r="C108" s="365">
        <v>1</v>
      </c>
      <c r="D108" s="414"/>
      <c r="E108" s="415" t="str">
        <f t="shared" ref="E108:E113" si="1">IF(ISBLANK(D108),"-",D108/$D$103*$D$100*$B$116)</f>
        <v>-</v>
      </c>
      <c r="F108" s="416" t="str">
        <f t="shared" ref="F108:F113" si="2">IF(ISBLANK(D108), "-", (E108/$B$56)*100)</f>
        <v>-</v>
      </c>
    </row>
    <row r="109" spans="1:10" ht="26.25" customHeight="1" x14ac:dyDescent="0.4">
      <c r="A109" s="310" t="s">
        <v>143</v>
      </c>
      <c r="B109" s="311">
        <v>1</v>
      </c>
      <c r="C109" s="369">
        <v>2</v>
      </c>
      <c r="D109" s="417"/>
      <c r="E109" s="418" t="str">
        <f t="shared" si="1"/>
        <v>-</v>
      </c>
      <c r="F109" s="419" t="str">
        <f t="shared" si="2"/>
        <v>-</v>
      </c>
    </row>
    <row r="110" spans="1:10" ht="26.25" customHeight="1" x14ac:dyDescent="0.4">
      <c r="A110" s="310" t="s">
        <v>144</v>
      </c>
      <c r="B110" s="311">
        <v>1</v>
      </c>
      <c r="C110" s="369">
        <v>3</v>
      </c>
      <c r="D110" s="417"/>
      <c r="E110" s="418" t="str">
        <f t="shared" si="1"/>
        <v>-</v>
      </c>
      <c r="F110" s="419" t="str">
        <f t="shared" si="2"/>
        <v>-</v>
      </c>
    </row>
    <row r="111" spans="1:10" ht="26.25" customHeight="1" x14ac:dyDescent="0.4">
      <c r="A111" s="310" t="s">
        <v>145</v>
      </c>
      <c r="B111" s="311">
        <v>1</v>
      </c>
      <c r="C111" s="369">
        <v>4</v>
      </c>
      <c r="D111" s="417"/>
      <c r="E111" s="418" t="str">
        <f t="shared" si="1"/>
        <v>-</v>
      </c>
      <c r="F111" s="419" t="str">
        <f t="shared" si="2"/>
        <v>-</v>
      </c>
    </row>
    <row r="112" spans="1:10" ht="26.25" customHeight="1" x14ac:dyDescent="0.4">
      <c r="A112" s="310" t="s">
        <v>146</v>
      </c>
      <c r="B112" s="311">
        <v>1</v>
      </c>
      <c r="C112" s="369">
        <v>5</v>
      </c>
      <c r="D112" s="417"/>
      <c r="E112" s="418" t="str">
        <f t="shared" si="1"/>
        <v>-</v>
      </c>
      <c r="F112" s="419" t="str">
        <f t="shared" si="2"/>
        <v>-</v>
      </c>
    </row>
    <row r="113" spans="1:10" ht="27" customHeight="1" thickBot="1" x14ac:dyDescent="0.45">
      <c r="A113" s="310" t="s">
        <v>148</v>
      </c>
      <c r="B113" s="311">
        <v>1</v>
      </c>
      <c r="C113" s="373">
        <v>6</v>
      </c>
      <c r="D113" s="420"/>
      <c r="E113" s="421" t="str">
        <f t="shared" si="1"/>
        <v>-</v>
      </c>
      <c r="F113" s="422" t="str">
        <f t="shared" si="2"/>
        <v>-</v>
      </c>
    </row>
    <row r="114" spans="1:10" ht="27" customHeight="1" thickBot="1" x14ac:dyDescent="0.45">
      <c r="A114" s="310" t="s">
        <v>149</v>
      </c>
      <c r="B114" s="311">
        <v>1</v>
      </c>
      <c r="C114" s="423"/>
      <c r="D114" s="340"/>
      <c r="E114" s="282"/>
      <c r="F114" s="419"/>
    </row>
    <row r="115" spans="1:10" ht="26.25" customHeight="1" x14ac:dyDescent="0.4">
      <c r="A115" s="310" t="s">
        <v>150</v>
      </c>
      <c r="B115" s="311">
        <v>1</v>
      </c>
      <c r="C115" s="423"/>
      <c r="D115" s="424" t="s">
        <v>70</v>
      </c>
      <c r="E115" s="425" t="e">
        <f>AVERAGE(E108:E113)</f>
        <v>#DIV/0!</v>
      </c>
      <c r="F115" s="426" t="e">
        <f>AVERAGE(F108:F113)</f>
        <v>#DIV/0!</v>
      </c>
    </row>
    <row r="116" spans="1:10" ht="27" customHeight="1" thickBot="1" x14ac:dyDescent="0.45">
      <c r="A116" s="310" t="s">
        <v>121</v>
      </c>
      <c r="B116" s="322">
        <f>(B115/B114)*(B113/B112)*(B111/B110)*(B109/B108)*B107</f>
        <v>1</v>
      </c>
      <c r="C116" s="427"/>
      <c r="D116" s="428" t="s">
        <v>83</v>
      </c>
      <c r="E116" s="383" t="e">
        <f>STDEV(E108:E113)/E115</f>
        <v>#DIV/0!</v>
      </c>
      <c r="F116" s="429" t="e">
        <f>STDEV(F108:F113)/F115</f>
        <v>#DIV/0!</v>
      </c>
      <c r="I116" s="282"/>
    </row>
    <row r="117" spans="1:10" ht="27" customHeight="1" thickBot="1" x14ac:dyDescent="0.45">
      <c r="A117" s="483" t="s">
        <v>77</v>
      </c>
      <c r="B117" s="487"/>
      <c r="C117" s="430"/>
      <c r="D117" s="384" t="s">
        <v>20</v>
      </c>
      <c r="E117" s="431">
        <f>COUNT(E108:E113)</f>
        <v>0</v>
      </c>
      <c r="F117" s="432">
        <f>COUNT(F108:F113)</f>
        <v>0</v>
      </c>
      <c r="I117" s="282"/>
      <c r="J117" s="410"/>
    </row>
    <row r="118" spans="1:10" ht="26.25" customHeight="1" thickBot="1" x14ac:dyDescent="0.35">
      <c r="A118" s="485"/>
      <c r="B118" s="488"/>
      <c r="C118" s="282"/>
      <c r="D118" s="433"/>
      <c r="E118" s="489" t="s">
        <v>161</v>
      </c>
      <c r="F118" s="490"/>
      <c r="G118" s="282"/>
      <c r="H118" s="282"/>
      <c r="I118" s="282"/>
    </row>
    <row r="119" spans="1:10" ht="25.5" customHeight="1" x14ac:dyDescent="0.4">
      <c r="A119" s="434"/>
      <c r="B119" s="306"/>
      <c r="C119" s="282"/>
      <c r="D119" s="428" t="s">
        <v>162</v>
      </c>
      <c r="E119" s="435">
        <f>MIN(E108:E113)</f>
        <v>0</v>
      </c>
      <c r="F119" s="436">
        <f>MIN(F108:F113)</f>
        <v>0</v>
      </c>
      <c r="G119" s="282"/>
      <c r="H119" s="282"/>
      <c r="I119" s="282"/>
    </row>
    <row r="120" spans="1:10" ht="24" customHeight="1" thickBot="1" x14ac:dyDescent="0.45">
      <c r="A120" s="434"/>
      <c r="B120" s="306"/>
      <c r="C120" s="282"/>
      <c r="D120" s="351" t="s">
        <v>163</v>
      </c>
      <c r="E120" s="437">
        <f>MAX(E108:E113)</f>
        <v>0</v>
      </c>
      <c r="F120" s="438">
        <f>MAX(F108:F113)</f>
        <v>0</v>
      </c>
      <c r="G120" s="282"/>
      <c r="H120" s="282"/>
      <c r="I120" s="282"/>
    </row>
    <row r="121" spans="1:10" ht="27" customHeight="1" x14ac:dyDescent="0.3">
      <c r="A121" s="434"/>
      <c r="B121" s="306"/>
      <c r="C121" s="282"/>
      <c r="D121" s="282"/>
      <c r="E121" s="282"/>
      <c r="F121" s="340"/>
      <c r="G121" s="282"/>
      <c r="H121" s="282"/>
      <c r="I121" s="282"/>
    </row>
    <row r="122" spans="1:10" ht="25.5" customHeight="1" x14ac:dyDescent="0.3">
      <c r="A122" s="434"/>
      <c r="B122" s="306"/>
      <c r="C122" s="282"/>
      <c r="D122" s="282"/>
      <c r="E122" s="282"/>
      <c r="F122" s="340"/>
      <c r="G122" s="282"/>
      <c r="H122" s="282"/>
      <c r="I122" s="282"/>
    </row>
    <row r="123" spans="1:10" ht="18.75" x14ac:dyDescent="0.3">
      <c r="A123" s="434"/>
      <c r="B123" s="306"/>
      <c r="C123" s="282"/>
      <c r="D123" s="282"/>
      <c r="E123" s="282"/>
      <c r="F123" s="340"/>
      <c r="G123" s="282"/>
      <c r="H123" s="282"/>
      <c r="I123" s="282"/>
    </row>
    <row r="124" spans="1:10" ht="45.75" customHeight="1" x14ac:dyDescent="0.65">
      <c r="A124" s="293" t="s">
        <v>153</v>
      </c>
      <c r="B124" s="294" t="s">
        <v>122</v>
      </c>
      <c r="C124" s="491" t="str">
        <f>B26</f>
        <v>Clindamycin Phosphate</v>
      </c>
      <c r="D124" s="491"/>
      <c r="E124" s="282" t="s">
        <v>123</v>
      </c>
      <c r="F124" s="282"/>
      <c r="G124" s="439" t="e">
        <f>F115</f>
        <v>#DIV/0!</v>
      </c>
      <c r="H124" s="282"/>
      <c r="I124" s="282"/>
    </row>
    <row r="125" spans="1:10" ht="45.75" customHeight="1" x14ac:dyDescent="0.65">
      <c r="A125" s="293"/>
      <c r="B125" s="294" t="s">
        <v>164</v>
      </c>
      <c r="C125" s="294" t="s">
        <v>165</v>
      </c>
      <c r="D125" s="439">
        <f>MIN(F108:F113)</f>
        <v>0</v>
      </c>
      <c r="E125" s="294" t="s">
        <v>166</v>
      </c>
      <c r="F125" s="439">
        <f>MAX(F108:F113)</f>
        <v>0</v>
      </c>
      <c r="G125" s="440"/>
      <c r="H125" s="282"/>
      <c r="I125" s="282"/>
    </row>
    <row r="126" spans="1:10" ht="19.5" customHeight="1" thickBot="1" x14ac:dyDescent="0.35">
      <c r="A126" s="441"/>
      <c r="B126" s="441"/>
      <c r="C126" s="442"/>
      <c r="D126" s="442"/>
      <c r="E126" s="442"/>
      <c r="F126" s="442"/>
      <c r="G126" s="442"/>
      <c r="H126" s="442"/>
    </row>
    <row r="127" spans="1:10" ht="18.75" x14ac:dyDescent="0.3">
      <c r="B127" s="492" t="s">
        <v>26</v>
      </c>
      <c r="C127" s="492"/>
      <c r="E127" s="389" t="s">
        <v>27</v>
      </c>
      <c r="F127" s="443"/>
      <c r="G127" s="492" t="s">
        <v>28</v>
      </c>
      <c r="H127" s="492"/>
    </row>
    <row r="128" spans="1:10" ht="69.95" customHeight="1" x14ac:dyDescent="0.3">
      <c r="A128" s="293" t="s">
        <v>29</v>
      </c>
      <c r="B128" s="444"/>
      <c r="C128" s="444"/>
      <c r="E128" s="444"/>
      <c r="F128" s="282"/>
      <c r="G128" s="444"/>
      <c r="H128" s="444"/>
    </row>
    <row r="129" spans="1:9" ht="69.95" customHeight="1" x14ac:dyDescent="0.3">
      <c r="A129" s="293" t="s">
        <v>30</v>
      </c>
      <c r="B129" s="445"/>
      <c r="C129" s="445"/>
      <c r="E129" s="445"/>
      <c r="F129" s="282"/>
      <c r="G129" s="446"/>
      <c r="H129" s="446"/>
    </row>
    <row r="130" spans="1:9" ht="18.75" x14ac:dyDescent="0.3">
      <c r="A130" s="340"/>
      <c r="B130" s="340"/>
      <c r="C130" s="340"/>
      <c r="D130" s="340"/>
      <c r="E130" s="340"/>
      <c r="F130" s="342"/>
      <c r="G130" s="340"/>
      <c r="H130" s="340"/>
      <c r="I130" s="282"/>
    </row>
    <row r="131" spans="1:9" ht="18.75" x14ac:dyDescent="0.3">
      <c r="A131" s="340"/>
      <c r="B131" s="340"/>
      <c r="C131" s="340"/>
      <c r="D131" s="340"/>
      <c r="E131" s="340"/>
      <c r="F131" s="342"/>
      <c r="G131" s="340"/>
      <c r="H131" s="340"/>
      <c r="I131" s="282"/>
    </row>
    <row r="132" spans="1:9" ht="18.75" x14ac:dyDescent="0.3">
      <c r="A132" s="340"/>
      <c r="B132" s="340"/>
      <c r="C132" s="340"/>
      <c r="D132" s="340"/>
      <c r="E132" s="340"/>
      <c r="F132" s="342"/>
      <c r="G132" s="340"/>
      <c r="H132" s="340"/>
      <c r="I132" s="282"/>
    </row>
    <row r="133" spans="1:9" ht="18.75" x14ac:dyDescent="0.3">
      <c r="A133" s="340"/>
      <c r="B133" s="340"/>
      <c r="C133" s="340"/>
      <c r="D133" s="340"/>
      <c r="E133" s="340"/>
      <c r="F133" s="342"/>
      <c r="G133" s="340"/>
      <c r="H133" s="340"/>
      <c r="I133" s="282"/>
    </row>
    <row r="134" spans="1:9" ht="18.75" x14ac:dyDescent="0.3">
      <c r="A134" s="340"/>
      <c r="B134" s="340"/>
      <c r="C134" s="340"/>
      <c r="D134" s="340"/>
      <c r="E134" s="340"/>
      <c r="F134" s="342"/>
      <c r="G134" s="340"/>
      <c r="H134" s="340"/>
      <c r="I134" s="282"/>
    </row>
    <row r="135" spans="1:9" ht="18.75" x14ac:dyDescent="0.3">
      <c r="A135" s="340"/>
      <c r="B135" s="340"/>
      <c r="C135" s="340"/>
      <c r="D135" s="340"/>
      <c r="E135" s="340"/>
      <c r="F135" s="342"/>
      <c r="G135" s="340"/>
      <c r="H135" s="340"/>
      <c r="I135" s="282"/>
    </row>
    <row r="136" spans="1:9" ht="18.75" x14ac:dyDescent="0.3">
      <c r="A136" s="340"/>
      <c r="B136" s="340"/>
      <c r="C136" s="340"/>
      <c r="D136" s="340"/>
      <c r="E136" s="340"/>
      <c r="F136" s="342"/>
      <c r="G136" s="340"/>
      <c r="H136" s="340"/>
      <c r="I136" s="282"/>
    </row>
    <row r="137" spans="1:9" ht="18.75" x14ac:dyDescent="0.3">
      <c r="A137" s="340"/>
      <c r="B137" s="340"/>
      <c r="C137" s="340"/>
      <c r="D137" s="340"/>
      <c r="E137" s="340"/>
      <c r="F137" s="342"/>
      <c r="G137" s="340"/>
      <c r="H137" s="340"/>
      <c r="I137" s="282"/>
    </row>
    <row r="138" spans="1:9" ht="18.75" x14ac:dyDescent="0.3">
      <c r="A138" s="340"/>
      <c r="B138" s="340"/>
      <c r="C138" s="340"/>
      <c r="D138" s="340"/>
      <c r="E138" s="340"/>
      <c r="F138" s="342"/>
      <c r="G138" s="340"/>
      <c r="H138" s="340"/>
      <c r="I138" s="282"/>
    </row>
    <row r="250" spans="1:1" x14ac:dyDescent="0.25">
      <c r="A250" s="281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Clindamycin</vt:lpstr>
      <vt:lpstr>Clindamycin1</vt:lpstr>
      <vt:lpstr>Clindamycin1!Print_Area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2018-01-12T12:00:44Z</cp:lastPrinted>
  <dcterms:created xsi:type="dcterms:W3CDTF">2005-07-05T10:19:27Z</dcterms:created>
  <dcterms:modified xsi:type="dcterms:W3CDTF">2018-01-17T06:26:42Z</dcterms:modified>
</cp:coreProperties>
</file>