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" sheetId="1" r:id="rId1"/>
    <sheet name="Uniformity" sheetId="2" r:id="rId2"/>
    <sheet name="Anidulafungin-UC" sheetId="3" r:id="rId3"/>
    <sheet name="Anidulafungin-Assay" sheetId="4" r:id="rId4"/>
  </sheets>
  <definedNames>
    <definedName name="_xlnm.Print_Area" localSheetId="3">'Anidulafungin-Assay'!$A$1:$H$80</definedName>
    <definedName name="_xlnm.Print_Area" localSheetId="2">'Anidulafungin-UC'!$A$1:$G$135</definedName>
    <definedName name="_xlnm.Print_Area" localSheetId="0">SST!$A$15:$G$62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9" i="3" l="1"/>
  <c r="B29" i="4"/>
  <c r="B21" i="1" l="1"/>
  <c r="B57" i="4"/>
  <c r="C76" i="4" l="1"/>
  <c r="H71" i="4"/>
  <c r="G71" i="4"/>
  <c r="B68" i="4"/>
  <c r="B69" i="4" s="1"/>
  <c r="H67" i="4"/>
  <c r="G67" i="4"/>
  <c r="H63" i="4"/>
  <c r="G63" i="4"/>
  <c r="C56" i="4"/>
  <c r="B55" i="4"/>
  <c r="D48" i="4"/>
  <c r="D49" i="4" s="1"/>
  <c r="B45" i="4"/>
  <c r="F42" i="4"/>
  <c r="D42" i="4"/>
  <c r="G41" i="4"/>
  <c r="E41" i="4"/>
  <c r="B34" i="4"/>
  <c r="F44" i="4" s="1"/>
  <c r="B30" i="4"/>
  <c r="C129" i="3"/>
  <c r="B125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D109" i="3"/>
  <c r="B107" i="3"/>
  <c r="F104" i="3"/>
  <c r="D104" i="3"/>
  <c r="G103" i="3"/>
  <c r="E103" i="3"/>
  <c r="G102" i="3"/>
  <c r="E102" i="3"/>
  <c r="G101" i="3"/>
  <c r="E101" i="3"/>
  <c r="G100" i="3"/>
  <c r="E100" i="3"/>
  <c r="B96" i="3"/>
  <c r="F106" i="3" s="1"/>
  <c r="F107" i="3" s="1"/>
  <c r="F108" i="3" s="1"/>
  <c r="B90" i="3"/>
  <c r="B89" i="3"/>
  <c r="B91" i="3" s="1"/>
  <c r="C74" i="3"/>
  <c r="B67" i="3"/>
  <c r="B57" i="3"/>
  <c r="C56" i="3"/>
  <c r="B55" i="3"/>
  <c r="B45" i="3"/>
  <c r="D48" i="3" s="1"/>
  <c r="D49" i="3" s="1"/>
  <c r="F44" i="3"/>
  <c r="F42" i="3"/>
  <c r="D42" i="3"/>
  <c r="G41" i="3"/>
  <c r="E41" i="3"/>
  <c r="B34" i="3"/>
  <c r="D44" i="3" s="1"/>
  <c r="B30" i="3"/>
  <c r="C43" i="2"/>
  <c r="B43" i="2"/>
  <c r="C42" i="2"/>
  <c r="B4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42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4" l="1"/>
  <c r="F124" i="3"/>
  <c r="D110" i="3"/>
  <c r="D111" i="3" s="1"/>
  <c r="G104" i="3"/>
  <c r="D112" i="3"/>
  <c r="D113" i="3" s="1"/>
  <c r="D45" i="3"/>
  <c r="E38" i="3" s="1"/>
  <c r="F45" i="3"/>
  <c r="F46" i="3" s="1"/>
  <c r="D44" i="4"/>
  <c r="D45" i="4" s="1"/>
  <c r="E29" i="2"/>
  <c r="E33" i="2"/>
  <c r="E27" i="2"/>
  <c r="E31" i="2"/>
  <c r="G129" i="3"/>
  <c r="F125" i="3"/>
  <c r="D43" i="2"/>
  <c r="D106" i="3"/>
  <c r="D107" i="3" s="1"/>
  <c r="D108" i="3" s="1"/>
  <c r="D114" i="3"/>
  <c r="F126" i="3"/>
  <c r="E104" i="3"/>
  <c r="E40" i="3" l="1"/>
  <c r="G39" i="3"/>
  <c r="D46" i="3"/>
  <c r="E39" i="3"/>
  <c r="G38" i="3"/>
  <c r="G40" i="3"/>
  <c r="D46" i="4"/>
  <c r="E39" i="4"/>
  <c r="E38" i="4"/>
  <c r="E40" i="4"/>
  <c r="F46" i="4"/>
  <c r="G40" i="4"/>
  <c r="G39" i="4"/>
  <c r="G38" i="4"/>
  <c r="D47" i="2"/>
  <c r="E24" i="2"/>
  <c r="D48" i="2"/>
  <c r="B47" i="2"/>
  <c r="C47" i="2"/>
  <c r="E40" i="2"/>
  <c r="E36" i="2"/>
  <c r="E32" i="2"/>
  <c r="E28" i="2"/>
  <c r="E22" i="2"/>
  <c r="C48" i="2"/>
  <c r="E38" i="2"/>
  <c r="E34" i="2"/>
  <c r="E30" i="2"/>
  <c r="E26" i="2"/>
  <c r="E39" i="2"/>
  <c r="E23" i="2"/>
  <c r="E25" i="2"/>
  <c r="E21" i="2"/>
  <c r="E35" i="2"/>
  <c r="E37" i="2"/>
  <c r="E42" i="3" l="1"/>
  <c r="D50" i="3"/>
  <c r="D51" i="3" s="1"/>
  <c r="G42" i="3"/>
  <c r="D52" i="3"/>
  <c r="G42" i="4"/>
  <c r="D50" i="4"/>
  <c r="E42" i="4"/>
  <c r="D52" i="4"/>
  <c r="E65" i="3" l="1"/>
  <c r="G65" i="3" s="1"/>
  <c r="E62" i="3"/>
  <c r="G62" i="3" s="1"/>
  <c r="E61" i="3"/>
  <c r="G61" i="3" s="1"/>
  <c r="E64" i="3"/>
  <c r="G64" i="3" s="1"/>
  <c r="E63" i="3"/>
  <c r="G63" i="3" s="1"/>
  <c r="E60" i="3"/>
  <c r="G60" i="3" s="1"/>
  <c r="C81" i="3" s="1"/>
  <c r="E67" i="3"/>
  <c r="G67" i="3" s="1"/>
  <c r="E66" i="3"/>
  <c r="G66" i="3" s="1"/>
  <c r="E59" i="3"/>
  <c r="G59" i="3" s="1"/>
  <c r="E68" i="3"/>
  <c r="G68" i="3" s="1"/>
  <c r="D51" i="4"/>
  <c r="G69" i="4"/>
  <c r="H69" i="4" s="1"/>
  <c r="G60" i="4"/>
  <c r="H60" i="4" s="1"/>
  <c r="G68" i="4"/>
  <c r="H68" i="4" s="1"/>
  <c r="G66" i="4"/>
  <c r="H66" i="4" s="1"/>
  <c r="G65" i="4"/>
  <c r="H65" i="4" s="1"/>
  <c r="G62" i="4"/>
  <c r="H62" i="4" s="1"/>
  <c r="G70" i="4"/>
  <c r="H70" i="4" s="1"/>
  <c r="G64" i="4"/>
  <c r="H64" i="4" s="1"/>
  <c r="G61" i="4"/>
  <c r="H61" i="4" s="1"/>
  <c r="E70" i="3" l="1"/>
  <c r="F65" i="3" s="1"/>
  <c r="G70" i="3"/>
  <c r="G71" i="3" s="1"/>
  <c r="G72" i="3"/>
  <c r="E72" i="3"/>
  <c r="E71" i="3"/>
  <c r="H74" i="4"/>
  <c r="H72" i="4"/>
  <c r="G76" i="4" s="1"/>
  <c r="F61" i="3" l="1"/>
  <c r="F62" i="3"/>
  <c r="F63" i="3"/>
  <c r="F64" i="3"/>
  <c r="F67" i="3"/>
  <c r="G74" i="3"/>
  <c r="C79" i="3"/>
  <c r="F60" i="3"/>
  <c r="C82" i="3"/>
  <c r="C83" i="3" s="1"/>
  <c r="F68" i="3"/>
  <c r="F59" i="3"/>
  <c r="F66" i="3"/>
  <c r="H73" i="4"/>
  <c r="F70" i="3" l="1"/>
  <c r="F71" i="3" s="1"/>
  <c r="F72" i="3"/>
</calcChain>
</file>

<file path=xl/sharedStrings.xml><?xml version="1.0" encoding="utf-8"?>
<sst xmlns="http://schemas.openxmlformats.org/spreadsheetml/2006/main" count="330" uniqueCount="144">
  <si>
    <t>HPLC System Suitability Report</t>
  </si>
  <si>
    <t>Analysis Data</t>
  </si>
  <si>
    <t>Assay</t>
  </si>
  <si>
    <t>Sample(s)</t>
  </si>
  <si>
    <t>Reference Substance:</t>
  </si>
  <si>
    <t>ECALTA 100 mg</t>
  </si>
  <si>
    <t>% age Purity:</t>
  </si>
  <si>
    <t>NDQD201801293</t>
  </si>
  <si>
    <t>Weight (mg):</t>
  </si>
  <si>
    <t>Anidulafungin 100 mg,fructose 118mg, mannitol 500 mg,polysorbate 80 250 mg, tartaric acid 11.5mg</t>
  </si>
  <si>
    <t>Standard Conc (mg/mL):</t>
  </si>
  <si>
    <t>Each vials of powder contains anidulafungin 100 mg, fructose 118 mg, mannitol 500 mg, polysorbate 80 250 mg, tartaric acid 11.5 mg</t>
  </si>
  <si>
    <t>2018-01-18 15:21:33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</si>
  <si>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</si>
  <si>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</si>
  <si>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</si>
  <si>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</si>
  <si>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</si>
  <si>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</si>
  <si>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</si>
  <si>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</si>
  <si>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</si>
  <si>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</si>
  <si>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</si>
  <si>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</si>
  <si>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</si>
  <si>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</si>
  <si>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</si>
  <si>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</si>
  <si>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</si>
  <si>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</si>
  <si>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</si>
  <si>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</si>
  <si>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</si>
  <si>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</si>
  <si>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</si>
  <si>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</si>
  <si>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</si>
  <si>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</si>
  <si>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2018-03-05 11:25:13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</si>
  <si>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</si>
  <si>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</si>
  <si>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</si>
  <si>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</si>
  <si>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</si>
  <si>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</si>
  <si>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</si>
  <si>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</si>
  <si>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</si>
  <si>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</si>
  <si>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</si>
  <si>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</si>
  <si>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</si>
  <si>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</si>
  <si>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</si>
  <si>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</si>
  <si>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</si>
  <si>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</si>
  <si>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</si>
  <si>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</si>
  <si>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</si>
  <si>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</si>
  <si>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</si>
  <si>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</si>
  <si>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</si>
  <si>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</si>
  <si>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</si>
  <si>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</si>
  <si>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</si>
  <si>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</si>
  <si>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</si>
  <si>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</si>
  <si>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</si>
  <si>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</si>
  <si>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</si>
  <si>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</si>
  <si>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</si>
  <si>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</si>
  <si>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</si>
  <si>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</si>
  <si>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</si>
  <si>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</si>
  <si>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</si>
  <si>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</si>
  <si>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</si>
  <si>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</si>
  <si>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</si>
  <si>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</si>
  <si>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</si>
  <si>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</si>
  <si>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</si>
  <si>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</si>
  <si>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</si>
  <si>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</si>
  <si>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</si>
  <si>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</si>
  <si>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</si>
  <si>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</si>
  <si>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</si>
  <si>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</si>
  <si>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</si>
  <si>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</si>
  <si>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</si>
  <si>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</si>
  <si>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</si>
  <si>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</si>
  <si>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</si>
  <si>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</si>
  <si>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</si>
  <si>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</si>
  <si>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</si>
  <si>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</si>
  <si>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</si>
  <si>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</si>
  <si>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</si>
  <si>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</si>
  <si>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</si>
  <si>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</si>
  <si>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</si>
  <si>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</si>
  <si>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</si>
  <si>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</si>
  <si>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</si>
  <si>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</si>
  <si>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</si>
  <si>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</si>
  <si>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</si>
  <si>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   Standard dilution (mL):</t>
  </si>
  <si>
    <t>Each Vial contains</t>
  </si>
  <si>
    <t>Average Vial Content Weight (mg):</t>
  </si>
  <si>
    <t>Sample Weight (mg)</t>
  </si>
  <si>
    <t>Determined Amt (mg)</t>
  </si>
  <si>
    <t>% Assay</t>
  </si>
  <si>
    <t>Assay Smp A</t>
  </si>
  <si>
    <t>Assay Smp B</t>
  </si>
  <si>
    <t>Assay Smp C</t>
  </si>
  <si>
    <t>Desired Sample Weight (mg):</t>
  </si>
  <si>
    <t>Comment:</t>
  </si>
  <si>
    <t xml:space="preserve">Anidulafungin </t>
  </si>
  <si>
    <t>A77-1</t>
  </si>
  <si>
    <t>Anidulafungin</t>
  </si>
  <si>
    <t>RUTTO   KENNEDY</t>
  </si>
  <si>
    <r>
      <t xml:space="preserve">The Assymetry of all peaks should be </t>
    </r>
    <r>
      <rPr>
        <b/>
        <sz val="12"/>
        <color rgb="FF000000"/>
        <rFont val="Book Antiqua"/>
        <family val="1"/>
      </rPr>
      <t>NMT 1.5</t>
    </r>
  </si>
  <si>
    <t>RUTTO KENNEDY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</si>
</sst>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%&quot;"/>
    <numFmt numFmtId="173" formatCode="0\ &quot;mg&quot;"/>
    <numFmt numFmtId="174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b/>
      <u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23" fillId="2" borderId="0"/>
  </cellStyleXfs>
  <cellXfs count="46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5" fillId="2" borderId="0" xfId="0" applyFont="1" applyFill="1"/>
    <xf numFmtId="0" fontId="12" fillId="2" borderId="0" xfId="0" applyFont="1" applyFill="1" applyAlignment="1">
      <alignment horizontal="center"/>
    </xf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4" fillId="3" borderId="42" xfId="0" applyFont="1" applyFill="1" applyBorder="1" applyAlignment="1" applyProtection="1">
      <alignment horizontal="center"/>
      <protection locked="0"/>
    </xf>
    <xf numFmtId="171" fontId="11" fillId="2" borderId="39" xfId="0" applyNumberFormat="1" applyFont="1" applyFill="1" applyBorder="1" applyAlignment="1">
      <alignment horizontal="center"/>
    </xf>
    <xf numFmtId="171" fontId="11" fillId="2" borderId="40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4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3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2" fillId="7" borderId="54" xfId="0" applyFont="1" applyFill="1" applyBorder="1" applyAlignment="1">
      <alignment horizontal="center" wrapText="1"/>
    </xf>
    <xf numFmtId="0" fontId="12" fillId="7" borderId="37" xfId="0" applyFont="1" applyFill="1" applyBorder="1" applyAlignment="1">
      <alignment horizontal="center" wrapText="1"/>
    </xf>
    <xf numFmtId="0" fontId="11" fillId="2" borderId="42" xfId="0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2" fontId="11" fillId="2" borderId="48" xfId="0" applyNumberFormat="1" applyFont="1" applyFill="1" applyBorder="1" applyAlignment="1">
      <alignment horizontal="center"/>
    </xf>
    <xf numFmtId="2" fontId="11" fillId="2" borderId="55" xfId="0" applyNumberFormat="1" applyFont="1" applyFill="1" applyBorder="1" applyAlignment="1">
      <alignment horizontal="center"/>
    </xf>
    <xf numFmtId="2" fontId="11" fillId="2" borderId="5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3" xfId="0" applyFont="1" applyFill="1" applyBorder="1"/>
    <xf numFmtId="0" fontId="11" fillId="2" borderId="35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57" xfId="0" applyNumberFormat="1" applyFont="1" applyFill="1" applyBorder="1" applyAlignment="1">
      <alignment horizontal="center"/>
    </xf>
    <xf numFmtId="2" fontId="14" fillId="5" borderId="57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0" fontId="14" fillId="6" borderId="5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4" fillId="5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2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6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6" fillId="2" borderId="0" xfId="0" applyFont="1" applyFill="1"/>
    <xf numFmtId="0" fontId="18" fillId="2" borderId="0" xfId="0" applyFont="1" applyFill="1"/>
    <xf numFmtId="0" fontId="14" fillId="3" borderId="37" xfId="0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71" fontId="11" fillId="2" borderId="4" xfId="0" applyNumberFormat="1" applyFont="1" applyFill="1" applyBorder="1" applyAlignment="1">
      <alignment horizontal="center"/>
    </xf>
    <xf numFmtId="0" fontId="14" fillId="3" borderId="58" xfId="0" applyFont="1" applyFill="1" applyBorder="1" applyAlignment="1" applyProtection="1">
      <alignment horizontal="center"/>
      <protection locked="0"/>
    </xf>
    <xf numFmtId="171" fontId="11" fillId="2" borderId="3" xfId="0" applyNumberFormat="1" applyFont="1" applyFill="1" applyBorder="1" applyAlignment="1">
      <alignment horizontal="center"/>
    </xf>
    <xf numFmtId="171" fontId="14" fillId="3" borderId="0" xfId="0" applyNumberFormat="1" applyFont="1" applyFill="1" applyAlignment="1" applyProtection="1">
      <alignment horizontal="center"/>
      <protection locked="0"/>
    </xf>
    <xf numFmtId="171" fontId="11" fillId="2" borderId="5" xfId="0" applyNumberFormat="1" applyFont="1" applyFill="1" applyBorder="1" applyAlignment="1">
      <alignment horizontal="center"/>
    </xf>
    <xf numFmtId="171" fontId="14" fillId="3" borderId="7" xfId="0" applyNumberFormat="1" applyFont="1" applyFill="1" applyBorder="1" applyAlignment="1" applyProtection="1">
      <alignment horizontal="center"/>
      <protection locked="0"/>
    </xf>
    <xf numFmtId="171" fontId="12" fillId="6" borderId="59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2" fontId="11" fillId="6" borderId="57" xfId="0" applyNumberFormat="1" applyFont="1" applyFill="1" applyBorder="1" applyAlignment="1">
      <alignment horizontal="center"/>
    </xf>
    <xf numFmtId="2" fontId="11" fillId="7" borderId="5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38" xfId="0" applyFont="1" applyFill="1" applyBorder="1" applyAlignment="1">
      <alignment horizontal="right"/>
    </xf>
    <xf numFmtId="166" fontId="11" fillId="7" borderId="5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60" xfId="0" applyFont="1" applyFill="1" applyBorder="1" applyAlignment="1">
      <alignment horizontal="right"/>
    </xf>
    <xf numFmtId="2" fontId="11" fillId="7" borderId="40" xfId="0" applyNumberFormat="1" applyFont="1" applyFill="1" applyBorder="1" applyAlignment="1">
      <alignment horizontal="center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2" fillId="6" borderId="17" xfId="0" applyNumberFormat="1" applyFont="1" applyFill="1" applyBorder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4" xfId="0" applyFont="1" applyFill="1" applyBorder="1"/>
    <xf numFmtId="0" fontId="12" fillId="2" borderId="37" xfId="0" applyFont="1" applyFill="1" applyBorder="1" applyAlignment="1">
      <alignment horizontal="center" wrapText="1"/>
    </xf>
    <xf numFmtId="171" fontId="14" fillId="3" borderId="44" xfId="0" applyNumberFormat="1" applyFont="1" applyFill="1" applyBorder="1" applyAlignment="1" applyProtection="1">
      <alignment horizontal="center"/>
      <protection locked="0"/>
    </xf>
    <xf numFmtId="2" fontId="11" fillId="2" borderId="39" xfId="0" applyNumberFormat="1" applyFont="1" applyFill="1" applyBorder="1" applyAlignment="1">
      <alignment horizontal="center"/>
    </xf>
    <xf numFmtId="10" fontId="11" fillId="2" borderId="40" xfId="0" applyNumberFormat="1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71" fontId="14" fillId="3" borderId="46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10" fontId="11" fillId="2" borderId="4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4" fillId="7" borderId="57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center"/>
    </xf>
    <xf numFmtId="0" fontId="11" fillId="2" borderId="35" xfId="0" applyFont="1" applyFill="1" applyBorder="1"/>
    <xf numFmtId="0" fontId="11" fillId="2" borderId="6" xfId="0" applyFont="1" applyFill="1" applyBorder="1"/>
    <xf numFmtId="0" fontId="11" fillId="2" borderId="52" xfId="0" applyFont="1" applyFill="1" applyBorder="1"/>
    <xf numFmtId="0" fontId="11" fillId="2" borderId="61" xfId="0" applyFont="1" applyFill="1" applyBorder="1" applyAlignment="1">
      <alignment horizontal="center"/>
    </xf>
    <xf numFmtId="0" fontId="11" fillId="2" borderId="62" xfId="0" applyFont="1" applyFill="1" applyBorder="1" applyAlignment="1">
      <alignment horizontal="right"/>
    </xf>
    <xf numFmtId="0" fontId="14" fillId="7" borderId="1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55" xfId="0" applyFont="1" applyFill="1" applyBorder="1" applyAlignment="1" applyProtection="1">
      <alignment horizontal="center" wrapText="1"/>
      <protection locked="0"/>
    </xf>
    <xf numFmtId="0" fontId="23" fillId="2" borderId="0" xfId="1" applyFill="1"/>
    <xf numFmtId="0" fontId="11" fillId="2" borderId="0" xfId="1" applyFont="1" applyFill="1"/>
    <xf numFmtId="0" fontId="3" fillId="2" borderId="0" xfId="1" applyFont="1" applyFill="1"/>
    <xf numFmtId="0" fontId="12" fillId="2" borderId="0" xfId="1" applyFont="1" applyFill="1"/>
    <xf numFmtId="0" fontId="13" fillId="3" borderId="0" xfId="1" applyFont="1" applyFill="1" applyAlignment="1" applyProtection="1">
      <alignment horizontal="left"/>
      <protection locked="0"/>
    </xf>
    <xf numFmtId="170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center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8" fillId="2" borderId="0" xfId="1" applyFont="1" applyFill="1"/>
    <xf numFmtId="2" fontId="14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center"/>
    </xf>
    <xf numFmtId="0" fontId="17" fillId="2" borderId="0" xfId="1" applyFont="1" applyFill="1" applyAlignment="1">
      <alignment horizontal="left" vertical="center" wrapText="1"/>
    </xf>
    <xf numFmtId="169" fontId="12" fillId="2" borderId="0" xfId="1" applyNumberFormat="1" applyFont="1" applyFill="1" applyAlignment="1">
      <alignment horizontal="center"/>
    </xf>
    <xf numFmtId="0" fontId="15" fillId="2" borderId="0" xfId="1" applyFont="1" applyFill="1"/>
    <xf numFmtId="0" fontId="11" fillId="2" borderId="33" xfId="1" applyFont="1" applyFill="1" applyBorder="1" applyAlignment="1">
      <alignment horizontal="right"/>
    </xf>
    <xf numFmtId="0" fontId="14" fillId="3" borderId="37" xfId="1" applyFont="1" applyFill="1" applyBorder="1" applyAlignment="1" applyProtection="1">
      <alignment horizontal="center"/>
      <protection locked="0"/>
    </xf>
    <xf numFmtId="0" fontId="11" fillId="2" borderId="35" xfId="1" applyFont="1" applyFill="1" applyBorder="1" applyAlignment="1">
      <alignment horizontal="right"/>
    </xf>
    <xf numFmtId="0" fontId="14" fillId="3" borderId="43" xfId="1" applyFont="1" applyFill="1" applyBorder="1" applyAlignment="1" applyProtection="1">
      <alignment horizontal="center"/>
      <protection locked="0"/>
    </xf>
    <xf numFmtId="0" fontId="12" fillId="2" borderId="37" xfId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/>
    </xf>
    <xf numFmtId="0" fontId="12" fillId="2" borderId="39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1" fillId="2" borderId="41" xfId="1" applyFont="1" applyFill="1" applyBorder="1" applyAlignment="1">
      <alignment horizontal="center"/>
    </xf>
    <xf numFmtId="171" fontId="11" fillId="2" borderId="39" xfId="1" applyNumberFormat="1" applyFont="1" applyFill="1" applyBorder="1" applyAlignment="1">
      <alignment horizontal="center"/>
    </xf>
    <xf numFmtId="171" fontId="11" fillId="2" borderId="40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center"/>
    </xf>
    <xf numFmtId="0" fontId="14" fillId="3" borderId="35" xfId="1" applyFont="1" applyFill="1" applyBorder="1" applyAlignment="1" applyProtection="1">
      <alignment horizontal="center"/>
      <protection locked="0"/>
    </xf>
    <xf numFmtId="171" fontId="11" fillId="2" borderId="44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 applyAlignment="1">
      <alignment horizontal="center"/>
    </xf>
    <xf numFmtId="0" fontId="14" fillId="3" borderId="45" xfId="1" applyFont="1" applyFill="1" applyBorder="1" applyAlignment="1" applyProtection="1">
      <alignment horizontal="center"/>
      <protection locked="0"/>
    </xf>
    <xf numFmtId="171" fontId="11" fillId="2" borderId="46" xfId="1" applyNumberFormat="1" applyFont="1" applyFill="1" applyBorder="1" applyAlignment="1">
      <alignment horizontal="center"/>
    </xf>
    <xf numFmtId="171" fontId="11" fillId="2" borderId="47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1" fontId="12" fillId="6" borderId="25" xfId="1" applyNumberFormat="1" applyFont="1" applyFill="1" applyBorder="1" applyAlignment="1">
      <alignment horizontal="center"/>
    </xf>
    <xf numFmtId="171" fontId="12" fillId="6" borderId="48" xfId="1" applyNumberFormat="1" applyFont="1" applyFill="1" applyBorder="1" applyAlignment="1">
      <alignment horizontal="center"/>
    </xf>
    <xf numFmtId="171" fontId="12" fillId="6" borderId="4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50" xfId="1" applyFont="1" applyFill="1" applyBorder="1" applyAlignment="1">
      <alignment horizontal="right"/>
    </xf>
    <xf numFmtId="0" fontId="14" fillId="3" borderId="28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17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17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2" fontId="11" fillId="6" borderId="18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4" fillId="3" borderId="17" xfId="1" applyFont="1" applyFill="1" applyBorder="1" applyAlignment="1" applyProtection="1">
      <alignment horizontal="center"/>
      <protection locked="0"/>
    </xf>
    <xf numFmtId="1" fontId="11" fillId="2" borderId="0" xfId="1" applyNumberFormat="1" applyFont="1" applyFill="1" applyAlignment="1">
      <alignment horizontal="center"/>
    </xf>
    <xf numFmtId="0" fontId="11" fillId="2" borderId="42" xfId="1" applyFont="1" applyFill="1" applyBorder="1" applyAlignment="1">
      <alignment horizontal="right"/>
    </xf>
    <xf numFmtId="2" fontId="11" fillId="6" borderId="32" xfId="1" applyNumberFormat="1" applyFont="1" applyFill="1" applyBorder="1" applyAlignment="1">
      <alignment horizontal="center"/>
    </xf>
    <xf numFmtId="171" fontId="12" fillId="7" borderId="31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17" xfId="1" applyNumberFormat="1" applyFont="1" applyFill="1" applyBorder="1" applyAlignment="1">
      <alignment horizontal="center"/>
    </xf>
    <xf numFmtId="0" fontId="11" fillId="2" borderId="52" xfId="1" applyFont="1" applyFill="1" applyBorder="1" applyAlignment="1">
      <alignment horizontal="right"/>
    </xf>
    <xf numFmtId="0" fontId="11" fillId="7" borderId="32" xfId="1" applyFont="1" applyFill="1" applyBorder="1" applyAlignment="1">
      <alignment horizontal="center"/>
    </xf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3" fontId="14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31" xfId="1" applyNumberFormat="1" applyFont="1" applyFill="1" applyBorder="1" applyAlignment="1">
      <alignment horizontal="center"/>
    </xf>
    <xf numFmtId="0" fontId="12" fillId="2" borderId="31" xfId="1" applyFont="1" applyFill="1" applyBorder="1" applyAlignment="1">
      <alignment horizontal="center"/>
    </xf>
    <xf numFmtId="0" fontId="11" fillId="2" borderId="31" xfId="1" applyFont="1" applyFill="1" applyBorder="1" applyAlignment="1">
      <alignment horizontal="center"/>
    </xf>
    <xf numFmtId="0" fontId="14" fillId="3" borderId="33" xfId="1" applyFont="1" applyFill="1" applyBorder="1" applyAlignment="1" applyProtection="1">
      <alignment horizontal="center"/>
      <protection locked="0"/>
    </xf>
    <xf numFmtId="2" fontId="11" fillId="2" borderId="33" xfId="1" applyNumberFormat="1" applyFont="1" applyFill="1" applyBorder="1" applyAlignment="1">
      <alignment horizontal="center"/>
    </xf>
    <xf numFmtId="10" fontId="11" fillId="2" borderId="31" xfId="1" applyNumberFormat="1" applyFont="1" applyFill="1" applyBorder="1" applyAlignment="1">
      <alignment horizontal="center" vertical="center"/>
    </xf>
    <xf numFmtId="0" fontId="11" fillId="2" borderId="65" xfId="1" applyFont="1" applyFill="1" applyBorder="1" applyAlignment="1">
      <alignment horizontal="center"/>
    </xf>
    <xf numFmtId="2" fontId="11" fillId="2" borderId="35" xfId="1" applyNumberFormat="1" applyFont="1" applyFill="1" applyBorder="1" applyAlignment="1">
      <alignment horizontal="center"/>
    </xf>
    <xf numFmtId="10" fontId="11" fillId="2" borderId="65" xfId="1" applyNumberFormat="1" applyFont="1" applyFill="1" applyBorder="1" applyAlignment="1">
      <alignment horizontal="center" vertical="center"/>
    </xf>
    <xf numFmtId="0" fontId="11" fillId="2" borderId="32" xfId="1" applyFont="1" applyFill="1" applyBorder="1" applyAlignment="1">
      <alignment horizontal="center"/>
    </xf>
    <xf numFmtId="0" fontId="14" fillId="3" borderId="52" xfId="1" applyFont="1" applyFill="1" applyBorder="1" applyAlignment="1" applyProtection="1">
      <alignment horizontal="center"/>
      <protection locked="0"/>
    </xf>
    <xf numFmtId="2" fontId="11" fillId="2" borderId="31" xfId="1" applyNumberFormat="1" applyFont="1" applyFill="1" applyBorder="1" applyAlignment="1">
      <alignment horizontal="center"/>
    </xf>
    <xf numFmtId="10" fontId="11" fillId="2" borderId="37" xfId="1" applyNumberFormat="1" applyFont="1" applyFill="1" applyBorder="1" applyAlignment="1">
      <alignment horizontal="center" vertical="center"/>
    </xf>
    <xf numFmtId="2" fontId="11" fillId="2" borderId="65" xfId="1" applyNumberFormat="1" applyFont="1" applyFill="1" applyBorder="1" applyAlignment="1">
      <alignment horizontal="center"/>
    </xf>
    <xf numFmtId="10" fontId="11" fillId="2" borderId="43" xfId="1" applyNumberFormat="1" applyFont="1" applyFill="1" applyBorder="1" applyAlignment="1">
      <alignment horizontal="center" vertical="center"/>
    </xf>
    <xf numFmtId="2" fontId="11" fillId="2" borderId="32" xfId="1" applyNumberFormat="1" applyFont="1" applyFill="1" applyBorder="1" applyAlignment="1">
      <alignment horizontal="center"/>
    </xf>
    <xf numFmtId="10" fontId="11" fillId="2" borderId="56" xfId="1" applyNumberFormat="1" applyFont="1" applyFill="1" applyBorder="1" applyAlignment="1">
      <alignment horizontal="center" vertical="center"/>
    </xf>
    <xf numFmtId="0" fontId="13" fillId="2" borderId="56" xfId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right"/>
    </xf>
    <xf numFmtId="10" fontId="14" fillId="7" borderId="15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10" fontId="14" fillId="6" borderId="16" xfId="1" applyNumberFormat="1" applyFont="1" applyFill="1" applyBorder="1" applyAlignment="1">
      <alignment horizontal="center"/>
    </xf>
    <xf numFmtId="0" fontId="11" fillId="2" borderId="18" xfId="1" applyFont="1" applyFill="1" applyBorder="1" applyAlignment="1">
      <alignment horizontal="right"/>
    </xf>
    <xf numFmtId="0" fontId="14" fillId="7" borderId="19" xfId="1" applyFont="1" applyFill="1" applyBorder="1" applyAlignment="1">
      <alignment horizontal="center"/>
    </xf>
    <xf numFmtId="165" fontId="14" fillId="2" borderId="0" xfId="1" applyNumberFormat="1" applyFont="1" applyFill="1" applyAlignment="1">
      <alignment horizontal="center"/>
    </xf>
    <xf numFmtId="0" fontId="17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 applyProtection="1">
      <protection locked="0"/>
    </xf>
    <xf numFmtId="0" fontId="11" fillId="2" borderId="7" xfId="1" applyFont="1" applyFill="1" applyBorder="1"/>
    <xf numFmtId="0" fontId="12" fillId="2" borderId="11" xfId="1" applyFont="1" applyFill="1" applyBorder="1" applyProtection="1">
      <protection locked="0"/>
    </xf>
    <xf numFmtId="0" fontId="12" fillId="2" borderId="11" xfId="1" applyFont="1" applyFill="1" applyBorder="1"/>
    <xf numFmtId="0" fontId="11" fillId="2" borderId="11" xfId="1" applyFont="1" applyFill="1" applyBorder="1"/>
    <xf numFmtId="174" fontId="7" fillId="3" borderId="3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7" fillId="2" borderId="6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6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7" xfId="0" applyFont="1" applyFill="1" applyBorder="1" applyAlignment="1">
      <alignment horizontal="left" vertical="center" wrapText="1"/>
    </xf>
    <xf numFmtId="0" fontId="17" fillId="2" borderId="52" xfId="0" applyFont="1" applyFill="1" applyBorder="1" applyAlignment="1">
      <alignment horizontal="left" vertical="center" wrapText="1"/>
    </xf>
    <xf numFmtId="0" fontId="17" fillId="2" borderId="56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2" borderId="10" xfId="0" applyFont="1" applyFill="1" applyBorder="1" applyAlignment="1">
      <alignment horizontal="left" vertical="center" wrapText="1"/>
    </xf>
    <xf numFmtId="0" fontId="17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63" xfId="0" applyFont="1" applyFill="1" applyBorder="1" applyAlignment="1">
      <alignment horizontal="center"/>
    </xf>
    <xf numFmtId="0" fontId="17" fillId="2" borderId="6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0" xfId="1" applyFont="1" applyFill="1" applyAlignment="1">
      <alignment horizontal="center" vertical="center"/>
    </xf>
    <xf numFmtId="0" fontId="20" fillId="2" borderId="0" xfId="1" applyFont="1" applyFill="1" applyAlignment="1">
      <alignment horizontal="center" vertical="center"/>
    </xf>
    <xf numFmtId="0" fontId="17" fillId="2" borderId="64" xfId="1" applyFont="1" applyFill="1" applyBorder="1" applyAlignment="1">
      <alignment horizontal="center"/>
    </xf>
    <xf numFmtId="0" fontId="17" fillId="2" borderId="30" xfId="1" applyFont="1" applyFill="1" applyBorder="1" applyAlignment="1">
      <alignment horizontal="center"/>
    </xf>
    <xf numFmtId="0" fontId="17" fillId="2" borderId="13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7" fillId="2" borderId="64" xfId="1" applyFont="1" applyFill="1" applyBorder="1" applyAlignment="1">
      <alignment horizontal="justify" vertical="center" wrapText="1"/>
    </xf>
    <xf numFmtId="0" fontId="17" fillId="2" borderId="30" xfId="1" applyFont="1" applyFill="1" applyBorder="1" applyAlignment="1">
      <alignment horizontal="justify" vertical="center" wrapText="1"/>
    </xf>
    <xf numFmtId="0" fontId="17" fillId="2" borderId="13" xfId="1" applyFont="1" applyFill="1" applyBorder="1" applyAlignment="1">
      <alignment horizontal="justify" vertical="center" wrapText="1"/>
    </xf>
    <xf numFmtId="0" fontId="17" fillId="2" borderId="64" xfId="1" applyFont="1" applyFill="1" applyBorder="1" applyAlignment="1">
      <alignment horizontal="left" vertical="center" wrapText="1"/>
    </xf>
    <xf numFmtId="0" fontId="17" fillId="2" borderId="30" xfId="1" applyFont="1" applyFill="1" applyBorder="1" applyAlignment="1">
      <alignment horizontal="left" vertical="center" wrapText="1"/>
    </xf>
    <xf numFmtId="0" fontId="17" fillId="2" borderId="13" xfId="1" applyFont="1" applyFill="1" applyBorder="1" applyAlignment="1">
      <alignment horizontal="left" vertical="center" wrapText="1"/>
    </xf>
    <xf numFmtId="0" fontId="12" fillId="2" borderId="20" xfId="1" applyFont="1" applyFill="1" applyBorder="1" applyAlignment="1">
      <alignment horizontal="center"/>
    </xf>
    <xf numFmtId="0" fontId="12" fillId="2" borderId="50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7" fillId="2" borderId="33" xfId="1" applyFont="1" applyFill="1" applyBorder="1" applyAlignment="1">
      <alignment horizontal="left" vertical="center" wrapText="1"/>
    </xf>
    <xf numFmtId="0" fontId="17" fillId="2" borderId="37" xfId="1" applyFont="1" applyFill="1" applyBorder="1" applyAlignment="1">
      <alignment horizontal="left" vertical="center" wrapText="1"/>
    </xf>
    <xf numFmtId="0" fontId="17" fillId="2" borderId="52" xfId="1" applyFont="1" applyFill="1" applyBorder="1" applyAlignment="1">
      <alignment horizontal="left" vertical="center" wrapText="1"/>
    </xf>
    <xf numFmtId="0" fontId="17" fillId="2" borderId="56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4" fillId="3" borderId="31" xfId="1" applyNumberFormat="1" applyFont="1" applyFill="1" applyBorder="1" applyAlignment="1" applyProtection="1">
      <alignment horizontal="center" vertical="center"/>
      <protection locked="0"/>
    </xf>
    <xf numFmtId="2" fontId="14" fillId="3" borderId="65" xfId="1" applyNumberFormat="1" applyFont="1" applyFill="1" applyBorder="1" applyAlignment="1" applyProtection="1">
      <alignment horizontal="center" vertical="center"/>
      <protection locked="0"/>
    </xf>
    <xf numFmtId="2" fontId="14" fillId="3" borderId="32" xfId="1" applyNumberFormat="1" applyFont="1" applyFill="1" applyBorder="1" applyAlignment="1" applyProtection="1">
      <alignment horizontal="center" vertical="center"/>
      <protection locked="0"/>
    </xf>
    <xf numFmtId="0" fontId="12" fillId="2" borderId="5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5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03" t="s">
        <v>0</v>
      </c>
      <c r="B15" s="403"/>
      <c r="C15" s="403"/>
      <c r="D15" s="403"/>
      <c r="E15" s="40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138</v>
      </c>
      <c r="C18" s="10"/>
      <c r="D18" s="10"/>
      <c r="E18" s="10"/>
    </row>
    <row r="19" spans="1:6" ht="16.5" customHeight="1" x14ac:dyDescent="0.3">
      <c r="A19" s="11" t="s">
        <v>6</v>
      </c>
      <c r="B19" s="12">
        <v>82.7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24.86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0.49719999999999998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47976058</v>
      </c>
      <c r="C24" s="18">
        <v>8786.6</v>
      </c>
      <c r="D24" s="19">
        <v>1</v>
      </c>
      <c r="E24" s="20">
        <v>10</v>
      </c>
    </row>
    <row r="25" spans="1:6" ht="16.5" customHeight="1" x14ac:dyDescent="0.3">
      <c r="A25" s="17">
        <v>2</v>
      </c>
      <c r="B25" s="18">
        <v>48567379</v>
      </c>
      <c r="C25" s="18">
        <v>8787.7999999999993</v>
      </c>
      <c r="D25" s="19">
        <v>1</v>
      </c>
      <c r="E25" s="19">
        <v>10</v>
      </c>
    </row>
    <row r="26" spans="1:6" ht="16.5" customHeight="1" x14ac:dyDescent="0.3">
      <c r="A26" s="17">
        <v>3</v>
      </c>
      <c r="B26" s="18">
        <v>48533767</v>
      </c>
      <c r="C26" s="18">
        <v>8771.7999999999993</v>
      </c>
      <c r="D26" s="19">
        <v>1</v>
      </c>
      <c r="E26" s="19">
        <v>10</v>
      </c>
    </row>
    <row r="27" spans="1:6" ht="16.5" customHeight="1" x14ac:dyDescent="0.3">
      <c r="A27" s="17">
        <v>4</v>
      </c>
      <c r="B27" s="18">
        <v>48348992</v>
      </c>
      <c r="C27" s="18">
        <v>8791.9</v>
      </c>
      <c r="D27" s="19">
        <v>1</v>
      </c>
      <c r="E27" s="19">
        <v>10</v>
      </c>
    </row>
    <row r="28" spans="1:6" ht="16.5" customHeight="1" x14ac:dyDescent="0.3">
      <c r="A28" s="17">
        <v>5</v>
      </c>
      <c r="B28" s="18">
        <v>48561145</v>
      </c>
      <c r="C28" s="402">
        <v>8805</v>
      </c>
      <c r="D28" s="19">
        <v>1</v>
      </c>
      <c r="E28" s="19">
        <v>10</v>
      </c>
    </row>
    <row r="29" spans="1:6" ht="16.5" customHeight="1" x14ac:dyDescent="0.3">
      <c r="A29" s="17">
        <v>6</v>
      </c>
      <c r="B29" s="21">
        <v>48530355</v>
      </c>
      <c r="C29" s="21">
        <v>8786.7000000000007</v>
      </c>
      <c r="D29" s="22">
        <v>1</v>
      </c>
      <c r="E29" s="22">
        <v>10</v>
      </c>
    </row>
    <row r="30" spans="1:6" ht="16.5" customHeight="1" x14ac:dyDescent="0.3">
      <c r="A30" s="23" t="s">
        <v>18</v>
      </c>
      <c r="B30" s="24">
        <f>AVERAGE(B24:B29)</f>
        <v>48419616</v>
      </c>
      <c r="C30" s="25">
        <f>AVERAGE(C24:C29)</f>
        <v>8788.3000000000011</v>
      </c>
      <c r="D30" s="26">
        <f>AVERAGE(D24:D29)</f>
        <v>1</v>
      </c>
      <c r="E30" s="26">
        <f>AVERAGE(E24:E29)</f>
        <v>10</v>
      </c>
    </row>
    <row r="31" spans="1:6" ht="16.5" customHeight="1" x14ac:dyDescent="0.3">
      <c r="A31" s="27" t="s">
        <v>19</v>
      </c>
      <c r="B31" s="28">
        <f>(STDEV(B24:B29)/B30)</f>
        <v>4.7893931424544019E-3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142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04" t="s">
        <v>26</v>
      </c>
      <c r="C59" s="40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143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workbookViewId="0">
      <selection activeCell="B25" sqref="B2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407" t="s">
        <v>31</v>
      </c>
      <c r="B8" s="407"/>
      <c r="C8" s="407"/>
      <c r="D8" s="407"/>
      <c r="E8" s="407"/>
      <c r="F8" s="407"/>
      <c r="G8" s="407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408" t="s">
        <v>32</v>
      </c>
      <c r="B10" s="408"/>
      <c r="C10" s="408"/>
      <c r="D10" s="408"/>
      <c r="E10" s="408"/>
      <c r="F10" s="408"/>
      <c r="G10" s="408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405" t="s">
        <v>33</v>
      </c>
      <c r="B11" s="405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405" t="s">
        <v>34</v>
      </c>
      <c r="B12" s="405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405" t="s">
        <v>35</v>
      </c>
      <c r="B13" s="405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405" t="s">
        <v>36</v>
      </c>
      <c r="B14" s="405"/>
      <c r="C14" s="406" t="s">
        <v>11</v>
      </c>
      <c r="D14" s="406"/>
      <c r="E14" s="406"/>
      <c r="F14" s="406"/>
      <c r="G14" s="406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405" t="s">
        <v>37</v>
      </c>
      <c r="B15" s="405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405" t="s">
        <v>38</v>
      </c>
      <c r="B16" s="405"/>
      <c r="C16" s="74" t="s">
        <v>39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409" t="s">
        <v>1</v>
      </c>
      <c r="B18" s="409"/>
      <c r="C18" s="75" t="s">
        <v>40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41</v>
      </c>
      <c r="B20" s="78" t="s">
        <v>42</v>
      </c>
      <c r="C20" s="79" t="s">
        <v>43</v>
      </c>
      <c r="D20" s="77" t="s">
        <v>44</v>
      </c>
      <c r="E20" s="80" t="s">
        <v>45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24437.26</v>
      </c>
      <c r="C21" s="83">
        <v>23437.21</v>
      </c>
      <c r="D21" s="84">
        <f t="shared" ref="D21:D40" si="0">B21-C21</f>
        <v>1000.0499999999993</v>
      </c>
      <c r="E21" s="85">
        <f t="shared" ref="E21:E40" si="1">(D21-$D$43)/$D$43</f>
        <v>-3.5179041442126298E-3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24310.95</v>
      </c>
      <c r="C22" s="88">
        <v>23308.51</v>
      </c>
      <c r="D22" s="89">
        <f t="shared" si="0"/>
        <v>1002.4400000000023</v>
      </c>
      <c r="E22" s="85">
        <f t="shared" si="1"/>
        <v>-1.1364310087710232E-3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24484.07</v>
      </c>
      <c r="C23" s="88">
        <v>23478.97</v>
      </c>
      <c r="D23" s="89">
        <f t="shared" si="0"/>
        <v>1005.0999999999985</v>
      </c>
      <c r="E23" s="85">
        <f t="shared" si="1"/>
        <v>1.5140788407091289E-3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24309.89</v>
      </c>
      <c r="C24" s="88">
        <v>23309.39</v>
      </c>
      <c r="D24" s="89">
        <f t="shared" si="0"/>
        <v>1000.5</v>
      </c>
      <c r="E24" s="85">
        <f t="shared" si="1"/>
        <v>-3.0695096208029704E-3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24582.06</v>
      </c>
      <c r="C25" s="88">
        <v>23573.5</v>
      </c>
      <c r="D25" s="89">
        <f t="shared" si="0"/>
        <v>1008.5600000000013</v>
      </c>
      <c r="E25" s="85">
        <f t="shared" si="1"/>
        <v>4.9617345095894667E-3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24383.34</v>
      </c>
      <c r="C26" s="88">
        <v>23385.29</v>
      </c>
      <c r="D26" s="89">
        <f t="shared" si="0"/>
        <v>998.04999999999927</v>
      </c>
      <c r="E26" s="85">
        <f t="shared" si="1"/>
        <v>-5.510768692696782E-3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24384.31</v>
      </c>
      <c r="C27" s="88">
        <v>23377.52</v>
      </c>
      <c r="D27" s="89">
        <f t="shared" si="0"/>
        <v>1006.7900000000009</v>
      </c>
      <c r="E27" s="85">
        <f t="shared" si="1"/>
        <v>3.1980493841805573E-3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24366.34</v>
      </c>
      <c r="C28" s="88">
        <v>23358.31</v>
      </c>
      <c r="D28" s="89">
        <f t="shared" si="0"/>
        <v>1008.0299999999988</v>
      </c>
      <c r="E28" s="85">
        <f t="shared" si="1"/>
        <v>4.4336254042387016E-3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24342.11</v>
      </c>
      <c r="C29" s="88">
        <v>23337.43</v>
      </c>
      <c r="D29" s="89">
        <f t="shared" si="0"/>
        <v>1004.6800000000003</v>
      </c>
      <c r="E29" s="85">
        <f t="shared" si="1"/>
        <v>1.095577285529197E-3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24337.86</v>
      </c>
      <c r="C30" s="88">
        <v>23335.8</v>
      </c>
      <c r="D30" s="89">
        <f t="shared" si="0"/>
        <v>1002.0600000000013</v>
      </c>
      <c r="E30" s="85">
        <f t="shared" si="1"/>
        <v>-1.5150752729840272E-3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24281.18</v>
      </c>
      <c r="C31" s="88">
        <v>23282.12</v>
      </c>
      <c r="D31" s="89">
        <f t="shared" si="0"/>
        <v>999.06000000000131</v>
      </c>
      <c r="E31" s="85">
        <f t="shared" si="1"/>
        <v>-4.5043720957102552E-3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24233.77</v>
      </c>
      <c r="C32" s="88">
        <v>23225.16</v>
      </c>
      <c r="D32" s="89">
        <f t="shared" si="0"/>
        <v>1008.6100000000006</v>
      </c>
      <c r="E32" s="85">
        <f t="shared" si="1"/>
        <v>5.0115561233008456E-3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24407.08</v>
      </c>
      <c r="C33" s="88">
        <v>23401.4</v>
      </c>
      <c r="D33" s="89">
        <f t="shared" si="0"/>
        <v>1005.6800000000003</v>
      </c>
      <c r="E33" s="85">
        <f t="shared" si="1"/>
        <v>2.0920095597712729E-3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24353.22</v>
      </c>
      <c r="C34" s="88">
        <v>23349.61</v>
      </c>
      <c r="D34" s="89">
        <f t="shared" si="0"/>
        <v>1003.6100000000006</v>
      </c>
      <c r="E34" s="85">
        <f t="shared" si="1"/>
        <v>2.9394752090465681E-5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24309.68</v>
      </c>
      <c r="C35" s="88">
        <v>23303.599999999999</v>
      </c>
      <c r="D35" s="89">
        <f t="shared" si="0"/>
        <v>1006.0800000000017</v>
      </c>
      <c r="E35" s="85">
        <f t="shared" si="1"/>
        <v>2.4905824694695534E-3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24297.61</v>
      </c>
      <c r="C36" s="88">
        <v>23301.35</v>
      </c>
      <c r="D36" s="89">
        <f t="shared" si="0"/>
        <v>996.26000000000204</v>
      </c>
      <c r="E36" s="85">
        <f t="shared" si="1"/>
        <v>-7.2943824635873433E-3</v>
      </c>
      <c r="G36" s="66"/>
      <c r="H36" s="66"/>
    </row>
    <row r="37" spans="1:15" ht="15" x14ac:dyDescent="0.3">
      <c r="A37" s="86">
        <v>17</v>
      </c>
      <c r="B37" s="90">
        <v>24446.09</v>
      </c>
      <c r="C37" s="88">
        <v>23444.93</v>
      </c>
      <c r="D37" s="89">
        <f t="shared" si="0"/>
        <v>1001.1599999999999</v>
      </c>
      <c r="E37" s="85">
        <f t="shared" si="1"/>
        <v>-2.4118643198033454E-3</v>
      </c>
    </row>
    <row r="38" spans="1:15" ht="15" x14ac:dyDescent="0.3">
      <c r="A38" s="86">
        <v>18</v>
      </c>
      <c r="B38" s="90">
        <v>24432.23</v>
      </c>
      <c r="C38" s="88">
        <v>23426.04</v>
      </c>
      <c r="D38" s="89">
        <f t="shared" si="0"/>
        <v>1006.1899999999987</v>
      </c>
      <c r="E38" s="85">
        <f t="shared" si="1"/>
        <v>2.6001900196331367E-3</v>
      </c>
    </row>
    <row r="39" spans="1:15" ht="15" x14ac:dyDescent="0.3">
      <c r="A39" s="86">
        <v>19</v>
      </c>
      <c r="B39" s="90">
        <v>24272.86</v>
      </c>
      <c r="C39" s="88">
        <v>23271.13</v>
      </c>
      <c r="D39" s="89">
        <f t="shared" si="0"/>
        <v>1001.7299999999996</v>
      </c>
      <c r="E39" s="85">
        <f t="shared" si="1"/>
        <v>-1.8438979234856523E-3</v>
      </c>
    </row>
    <row r="40" spans="1:15" ht="14.25" customHeight="1" x14ac:dyDescent="0.3">
      <c r="A40" s="91">
        <v>20</v>
      </c>
      <c r="B40" s="92">
        <v>24303.78</v>
      </c>
      <c r="C40" s="93">
        <v>23296.81</v>
      </c>
      <c r="D40" s="94">
        <f t="shared" si="0"/>
        <v>1006.9699999999975</v>
      </c>
      <c r="E40" s="95">
        <f t="shared" si="1"/>
        <v>3.377407193540796E-3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46</v>
      </c>
      <c r="B42" s="97">
        <f>SUM(B21:B40)</f>
        <v>487275.69000000006</v>
      </c>
      <c r="C42" s="98">
        <f>SUM(C21:C40)</f>
        <v>467204.0799999999</v>
      </c>
      <c r="D42" s="99">
        <f>SUM(D21:D40)</f>
        <v>20071.610000000004</v>
      </c>
    </row>
    <row r="43" spans="1:15" ht="15.75" customHeight="1" x14ac:dyDescent="0.3">
      <c r="A43" s="100" t="s">
        <v>47</v>
      </c>
      <c r="B43" s="101">
        <f>AVERAGE(B21:B40)</f>
        <v>24363.784500000002</v>
      </c>
      <c r="C43" s="102">
        <f>AVERAGE(C21:C40)</f>
        <v>23360.203999999994</v>
      </c>
      <c r="D43" s="103">
        <f>AVERAGE(D21:D40)</f>
        <v>1003.5805000000003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47</v>
      </c>
      <c r="C46" s="106" t="s">
        <v>48</v>
      </c>
    </row>
    <row r="47" spans="1:15" ht="15.75" customHeight="1" x14ac:dyDescent="0.3">
      <c r="B47" s="410">
        <f>D43</f>
        <v>1003.5805000000003</v>
      </c>
      <c r="C47" s="107">
        <f>-(IF(D43&gt;300, 7.5%, 10%))</f>
        <v>-7.4999999999999997E-2</v>
      </c>
      <c r="D47" s="108">
        <f>IF(D43&lt;300, D43*0.9, D43*0.925)</f>
        <v>928.31196250000028</v>
      </c>
    </row>
    <row r="48" spans="1:15" ht="15.75" customHeight="1" x14ac:dyDescent="0.3">
      <c r="B48" s="411"/>
      <c r="C48" s="109">
        <f>+(IF(D43&gt;300, 7.5%, 10%))</f>
        <v>7.4999999999999997E-2</v>
      </c>
      <c r="D48" s="108">
        <f>IF(D43&lt;300, D43*1.1, D43*1.075)</f>
        <v>1078.8490375000001</v>
      </c>
    </row>
    <row r="49" spans="1:7" ht="14.25" customHeight="1" x14ac:dyDescent="0.3">
      <c r="A49" s="110"/>
      <c r="D49" s="111"/>
    </row>
    <row r="50" spans="1:7" ht="15" customHeight="1" x14ac:dyDescent="0.3">
      <c r="B50" s="404" t="s">
        <v>26</v>
      </c>
      <c r="C50" s="404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4" priority="1" operator="notBetween">
      <formula>IF(+$D$43&lt;300, -10.5%, -7.5%)</formula>
      <formula>IF(+$D$43&lt;300, 10.5%, 7.5%)</formula>
    </cfRule>
  </conditionalFormatting>
  <conditionalFormatting sqref="E22">
    <cfRule type="cellIs" dxfId="23" priority="2" operator="notBetween">
      <formula>IF(+$D$43&lt;300, -10.5%, -7.5%)</formula>
      <formula>IF(+$D$43&lt;300, 10.5%, 7.5%)</formula>
    </cfRule>
  </conditionalFormatting>
  <conditionalFormatting sqref="E23">
    <cfRule type="cellIs" dxfId="22" priority="3" operator="notBetween">
      <formula>IF(+$D$43&lt;300, -10.5%, -7.5%)</formula>
      <formula>IF(+$D$43&lt;300, 10.5%, 7.5%)</formula>
    </cfRule>
  </conditionalFormatting>
  <conditionalFormatting sqref="E24">
    <cfRule type="cellIs" dxfId="21" priority="4" operator="notBetween">
      <formula>IF(+$D$43&lt;300, -10.5%, -7.5%)</formula>
      <formula>IF(+$D$43&lt;300, 10.5%, 7.5%)</formula>
    </cfRule>
  </conditionalFormatting>
  <conditionalFormatting sqref="E25">
    <cfRule type="cellIs" dxfId="20" priority="5" operator="notBetween">
      <formula>IF(+$D$43&lt;300, -10.5%, -7.5%)</formula>
      <formula>IF(+$D$43&lt;300, 10.5%, 7.5%)</formula>
    </cfRule>
  </conditionalFormatting>
  <conditionalFormatting sqref="E26">
    <cfRule type="cellIs" dxfId="19" priority="6" operator="notBetween">
      <formula>IF(+$D$43&lt;300, -10.5%, -7.5%)</formula>
      <formula>IF(+$D$43&lt;300, 10.5%, 7.5%)</formula>
    </cfRule>
  </conditionalFormatting>
  <conditionalFormatting sqref="E27">
    <cfRule type="cellIs" dxfId="18" priority="7" operator="notBetween">
      <formula>IF(+$D$43&lt;300, -10.5%, -7.5%)</formula>
      <formula>IF(+$D$43&lt;300, 10.5%, 7.5%)</formula>
    </cfRule>
  </conditionalFormatting>
  <conditionalFormatting sqref="E28">
    <cfRule type="cellIs" dxfId="17" priority="8" operator="notBetween">
      <formula>IF(+$D$43&lt;300, -10.5%, -7.5%)</formula>
      <formula>IF(+$D$43&lt;300, 10.5%, 7.5%)</formula>
    </cfRule>
  </conditionalFormatting>
  <conditionalFormatting sqref="E29">
    <cfRule type="cellIs" dxfId="16" priority="9" operator="notBetween">
      <formula>IF(+$D$43&lt;300, -10.5%, -7.5%)</formula>
      <formula>IF(+$D$43&lt;300, 10.5%, 7.5%)</formula>
    </cfRule>
  </conditionalFormatting>
  <conditionalFormatting sqref="E30">
    <cfRule type="cellIs" dxfId="15" priority="10" operator="notBetween">
      <formula>IF(+$D$43&lt;300, -10.5%, -7.5%)</formula>
      <formula>IF(+$D$43&lt;300, 10.5%, 7.5%)</formula>
    </cfRule>
  </conditionalFormatting>
  <conditionalFormatting sqref="E31">
    <cfRule type="cellIs" dxfId="14" priority="11" operator="notBetween">
      <formula>IF(+$D$43&lt;300, -10.5%, -7.5%)</formula>
      <formula>IF(+$D$43&lt;300, 10.5%, 7.5%)</formula>
    </cfRule>
  </conditionalFormatting>
  <conditionalFormatting sqref="E32">
    <cfRule type="cellIs" dxfId="13" priority="12" operator="notBetween">
      <formula>IF(+$D$43&lt;300, -10.5%, -7.5%)</formula>
      <formula>IF(+$D$43&lt;300, 10.5%, 7.5%)</formula>
    </cfRule>
  </conditionalFormatting>
  <conditionalFormatting sqref="E33">
    <cfRule type="cellIs" dxfId="12" priority="13" operator="notBetween">
      <formula>IF(+$D$43&lt;300, -10.5%, -7.5%)</formula>
      <formula>IF(+$D$43&lt;300, 10.5%, 7.5%)</formula>
    </cfRule>
  </conditionalFormatting>
  <conditionalFormatting sqref="E34">
    <cfRule type="cellIs" dxfId="11" priority="14" operator="notBetween">
      <formula>IF(+$D$43&lt;300, -10.5%, -7.5%)</formula>
      <formula>IF(+$D$43&lt;300, 10.5%, 7.5%)</formula>
    </cfRule>
  </conditionalFormatting>
  <conditionalFormatting sqref="E35">
    <cfRule type="cellIs" dxfId="10" priority="15" operator="notBetween">
      <formula>IF(+$D$43&lt;300, -10.5%, -7.5%)</formula>
      <formula>IF(+$D$43&lt;300, 10.5%, 7.5%)</formula>
    </cfRule>
  </conditionalFormatting>
  <conditionalFormatting sqref="E36">
    <cfRule type="cellIs" dxfId="9" priority="16" operator="notBetween">
      <formula>IF(+$D$43&lt;300, -10.5%, -7.5%)</formula>
      <formula>IF(+$D$43&lt;300, 10.5%, 7.5%)</formula>
    </cfRule>
  </conditionalFormatting>
  <conditionalFormatting sqref="E37">
    <cfRule type="cellIs" dxfId="8" priority="17" operator="notBetween">
      <formula>IF(+$D$43&lt;300, -10.5%, -7.5%)</formula>
      <formula>IF(+$D$43&lt;300, 10.5%, 7.5%)</formula>
    </cfRule>
  </conditionalFormatting>
  <conditionalFormatting sqref="E38">
    <cfRule type="cellIs" dxfId="7" priority="18" operator="notBetween">
      <formula>IF(+$D$43&lt;300, -10.5%, -7.5%)</formula>
      <formula>IF(+$D$43&lt;300, 10.5%, 7.5%)</formula>
    </cfRule>
  </conditionalFormatting>
  <conditionalFormatting sqref="E39">
    <cfRule type="cellIs" dxfId="6" priority="19" operator="notBetween">
      <formula>IF(+$D$43&lt;300, -10.5%, -7.5%)</formula>
      <formula>IF(+$D$43&lt;300, 10.5%, 7.5%)</formula>
    </cfRule>
  </conditionalFormatting>
  <conditionalFormatting sqref="E40">
    <cfRule type="cellIs" dxfId="5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7" zoomScale="60" zoomScaleNormal="70" workbookViewId="0">
      <selection activeCell="B132" sqref="B132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26" t="s">
        <v>49</v>
      </c>
      <c r="B1" s="426"/>
      <c r="C1" s="426"/>
      <c r="D1" s="426"/>
      <c r="E1" s="426"/>
      <c r="F1" s="426"/>
      <c r="G1" s="426"/>
    </row>
    <row r="2" spans="1:7" x14ac:dyDescent="0.2">
      <c r="A2" s="426"/>
      <c r="B2" s="426"/>
      <c r="C2" s="426"/>
      <c r="D2" s="426"/>
      <c r="E2" s="426"/>
      <c r="F2" s="426"/>
      <c r="G2" s="426"/>
    </row>
    <row r="3" spans="1:7" x14ac:dyDescent="0.2">
      <c r="A3" s="426"/>
      <c r="B3" s="426"/>
      <c r="C3" s="426"/>
      <c r="D3" s="426"/>
      <c r="E3" s="426"/>
      <c r="F3" s="426"/>
      <c r="G3" s="426"/>
    </row>
    <row r="4" spans="1:7" x14ac:dyDescent="0.2">
      <c r="A4" s="426"/>
      <c r="B4" s="426"/>
      <c r="C4" s="426"/>
      <c r="D4" s="426"/>
      <c r="E4" s="426"/>
      <c r="F4" s="426"/>
      <c r="G4" s="426"/>
    </row>
    <row r="5" spans="1:7" x14ac:dyDescent="0.2">
      <c r="A5" s="426"/>
      <c r="B5" s="426"/>
      <c r="C5" s="426"/>
      <c r="D5" s="426"/>
      <c r="E5" s="426"/>
      <c r="F5" s="426"/>
      <c r="G5" s="426"/>
    </row>
    <row r="6" spans="1:7" x14ac:dyDescent="0.2">
      <c r="A6" s="426"/>
      <c r="B6" s="426"/>
      <c r="C6" s="426"/>
      <c r="D6" s="426"/>
      <c r="E6" s="426"/>
      <c r="F6" s="426"/>
      <c r="G6" s="426"/>
    </row>
    <row r="7" spans="1:7" x14ac:dyDescent="0.2">
      <c r="A7" s="426"/>
      <c r="B7" s="426"/>
      <c r="C7" s="426"/>
      <c r="D7" s="426"/>
      <c r="E7" s="426"/>
      <c r="F7" s="426"/>
      <c r="G7" s="426"/>
    </row>
    <row r="8" spans="1:7" x14ac:dyDescent="0.2">
      <c r="A8" s="427" t="s">
        <v>50</v>
      </c>
      <c r="B8" s="427"/>
      <c r="C8" s="427"/>
      <c r="D8" s="427"/>
      <c r="E8" s="427"/>
      <c r="F8" s="427"/>
      <c r="G8" s="427"/>
    </row>
    <row r="9" spans="1:7" x14ac:dyDescent="0.2">
      <c r="A9" s="427"/>
      <c r="B9" s="427"/>
      <c r="C9" s="427"/>
      <c r="D9" s="427"/>
      <c r="E9" s="427"/>
      <c r="F9" s="427"/>
      <c r="G9" s="427"/>
    </row>
    <row r="10" spans="1:7" x14ac:dyDescent="0.2">
      <c r="A10" s="427"/>
      <c r="B10" s="427"/>
      <c r="C10" s="427"/>
      <c r="D10" s="427"/>
      <c r="E10" s="427"/>
      <c r="F10" s="427"/>
      <c r="G10" s="427"/>
    </row>
    <row r="11" spans="1:7" x14ac:dyDescent="0.2">
      <c r="A11" s="427"/>
      <c r="B11" s="427"/>
      <c r="C11" s="427"/>
      <c r="D11" s="427"/>
      <c r="E11" s="427"/>
      <c r="F11" s="427"/>
      <c r="G11" s="427"/>
    </row>
    <row r="12" spans="1:7" x14ac:dyDescent="0.2">
      <c r="A12" s="427"/>
      <c r="B12" s="427"/>
      <c r="C12" s="427"/>
      <c r="D12" s="427"/>
      <c r="E12" s="427"/>
      <c r="F12" s="427"/>
      <c r="G12" s="427"/>
    </row>
    <row r="13" spans="1:7" x14ac:dyDescent="0.2">
      <c r="A13" s="427"/>
      <c r="B13" s="427"/>
      <c r="C13" s="427"/>
      <c r="D13" s="427"/>
      <c r="E13" s="427"/>
      <c r="F13" s="427"/>
      <c r="G13" s="427"/>
    </row>
    <row r="14" spans="1:7" x14ac:dyDescent="0.2">
      <c r="A14" s="427"/>
      <c r="B14" s="427"/>
      <c r="C14" s="427"/>
      <c r="D14" s="427"/>
      <c r="E14" s="427"/>
      <c r="F14" s="427"/>
      <c r="G14" s="427"/>
    </row>
    <row r="15" spans="1:7" ht="19.5" customHeight="1" x14ac:dyDescent="0.3">
      <c r="A15" s="119"/>
      <c r="B15" s="119"/>
      <c r="C15" s="119"/>
      <c r="D15" s="119"/>
      <c r="E15" s="119"/>
      <c r="F15" s="119"/>
      <c r="G15" s="119"/>
    </row>
    <row r="16" spans="1:7" ht="19.5" customHeight="1" x14ac:dyDescent="0.3">
      <c r="A16" s="412" t="s">
        <v>31</v>
      </c>
      <c r="B16" s="413"/>
      <c r="C16" s="413"/>
      <c r="D16" s="413"/>
      <c r="E16" s="413"/>
      <c r="F16" s="413"/>
      <c r="G16" s="413"/>
    </row>
    <row r="17" spans="1:7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</row>
    <row r="18" spans="1:7" ht="26.25" customHeight="1" x14ac:dyDescent="0.4">
      <c r="A18" s="121" t="s">
        <v>33</v>
      </c>
      <c r="B18" s="414" t="s">
        <v>5</v>
      </c>
      <c r="C18" s="414"/>
      <c r="D18" s="122"/>
      <c r="E18" s="122"/>
      <c r="F18" s="119"/>
      <c r="G18" s="119"/>
    </row>
    <row r="19" spans="1:7" ht="26.25" customHeight="1" x14ac:dyDescent="0.4">
      <c r="A19" s="121" t="s">
        <v>34</v>
      </c>
      <c r="B19" s="296" t="s">
        <v>7</v>
      </c>
      <c r="C19" s="119">
        <v>36</v>
      </c>
      <c r="E19" s="119"/>
      <c r="F19" s="119"/>
      <c r="G19" s="119"/>
    </row>
    <row r="20" spans="1:7" ht="26.25" customHeight="1" x14ac:dyDescent="0.4">
      <c r="A20" s="121" t="s">
        <v>35</v>
      </c>
      <c r="B20" s="415" t="s">
        <v>138</v>
      </c>
      <c r="C20" s="415"/>
      <c r="D20" s="119"/>
      <c r="E20" s="119"/>
      <c r="F20" s="119"/>
      <c r="G20" s="119"/>
    </row>
    <row r="21" spans="1:7" ht="26.25" customHeight="1" x14ac:dyDescent="0.4">
      <c r="A21" s="121" t="s">
        <v>36</v>
      </c>
      <c r="B21" s="123" t="s">
        <v>11</v>
      </c>
      <c r="C21" s="123"/>
      <c r="D21" s="124"/>
      <c r="E21" s="124"/>
      <c r="F21" s="124"/>
      <c r="G21" s="124"/>
    </row>
    <row r="22" spans="1:7" ht="26.25" customHeight="1" x14ac:dyDescent="0.4">
      <c r="A22" s="121" t="s">
        <v>37</v>
      </c>
      <c r="B22" s="125">
        <v>43134</v>
      </c>
      <c r="C22" s="126"/>
      <c r="D22" s="119"/>
      <c r="E22" s="119"/>
      <c r="F22" s="119"/>
      <c r="G22" s="119"/>
    </row>
    <row r="23" spans="1:7" ht="26.25" customHeight="1" x14ac:dyDescent="0.4">
      <c r="A23" s="121" t="s">
        <v>38</v>
      </c>
      <c r="B23" s="125">
        <v>43277</v>
      </c>
      <c r="C23" s="126"/>
      <c r="D23" s="119"/>
      <c r="E23" s="119"/>
      <c r="F23" s="119"/>
      <c r="G23" s="119"/>
    </row>
    <row r="24" spans="1:7" ht="18.75" customHeight="1" x14ac:dyDescent="0.3">
      <c r="A24" s="121"/>
      <c r="B24" s="127"/>
      <c r="C24" s="119"/>
      <c r="D24" s="119"/>
      <c r="E24" s="119"/>
      <c r="F24" s="119"/>
      <c r="G24" s="119"/>
    </row>
    <row r="25" spans="1:7" ht="18.75" customHeight="1" x14ac:dyDescent="0.3">
      <c r="A25" s="128" t="s">
        <v>1</v>
      </c>
      <c r="B25" s="127"/>
      <c r="C25" s="119"/>
      <c r="D25" s="119"/>
      <c r="E25" s="119"/>
      <c r="F25" s="119"/>
      <c r="G25" s="119"/>
    </row>
    <row r="26" spans="1:7" ht="26.25" customHeight="1" x14ac:dyDescent="0.4">
      <c r="A26" s="129" t="s">
        <v>4</v>
      </c>
      <c r="B26" s="415" t="s">
        <v>138</v>
      </c>
      <c r="C26" s="415"/>
      <c r="D26" s="119"/>
      <c r="E26" s="119"/>
      <c r="F26" s="119"/>
      <c r="G26" s="119"/>
    </row>
    <row r="27" spans="1:7" ht="26.25" customHeight="1" x14ac:dyDescent="0.4">
      <c r="A27" s="130" t="s">
        <v>52</v>
      </c>
      <c r="B27" s="415" t="s">
        <v>139</v>
      </c>
      <c r="C27" s="415"/>
      <c r="D27" s="119"/>
      <c r="E27" s="119"/>
      <c r="F27" s="119"/>
      <c r="G27" s="119"/>
    </row>
    <row r="28" spans="1:7" ht="27" customHeight="1" x14ac:dyDescent="0.4">
      <c r="A28" s="130" t="s">
        <v>6</v>
      </c>
      <c r="B28" s="131">
        <v>99.1</v>
      </c>
      <c r="C28" s="119"/>
      <c r="D28" s="119"/>
      <c r="E28" s="119"/>
      <c r="F28" s="119"/>
      <c r="G28" s="119"/>
    </row>
    <row r="29" spans="1:7" ht="27" customHeight="1" x14ac:dyDescent="0.4">
      <c r="A29" s="130" t="s">
        <v>53</v>
      </c>
      <c r="B29" s="132">
        <f>12.3+4.1</f>
        <v>16.399999999999999</v>
      </c>
      <c r="C29" s="416" t="s">
        <v>54</v>
      </c>
      <c r="D29" s="417"/>
      <c r="E29" s="417"/>
      <c r="F29" s="417"/>
      <c r="G29" s="418"/>
    </row>
    <row r="30" spans="1:7" ht="19.5" customHeight="1" x14ac:dyDescent="0.3">
      <c r="A30" s="130" t="s">
        <v>55</v>
      </c>
      <c r="B30" s="134">
        <f>B28-B29</f>
        <v>82.699999999999989</v>
      </c>
      <c r="C30" s="135"/>
      <c r="D30" s="135"/>
      <c r="E30" s="135"/>
      <c r="F30" s="135"/>
      <c r="G30" s="135"/>
    </row>
    <row r="31" spans="1:7" ht="27" customHeight="1" x14ac:dyDescent="0.4">
      <c r="A31" s="130" t="s">
        <v>56</v>
      </c>
      <c r="B31" s="136">
        <v>1</v>
      </c>
      <c r="C31" s="416" t="s">
        <v>57</v>
      </c>
      <c r="D31" s="417"/>
      <c r="E31" s="417"/>
      <c r="F31" s="417"/>
      <c r="G31" s="418"/>
    </row>
    <row r="32" spans="1:7" ht="27" customHeight="1" x14ac:dyDescent="0.4">
      <c r="A32" s="130" t="s">
        <v>58</v>
      </c>
      <c r="B32" s="136">
        <v>1</v>
      </c>
      <c r="C32" s="416" t="s">
        <v>59</v>
      </c>
      <c r="D32" s="417"/>
      <c r="E32" s="417"/>
      <c r="F32" s="417"/>
      <c r="G32" s="418"/>
    </row>
    <row r="33" spans="1:7" ht="18.75" customHeight="1" x14ac:dyDescent="0.3">
      <c r="A33" s="130"/>
      <c r="B33" s="137"/>
      <c r="C33" s="138"/>
      <c r="D33" s="138"/>
      <c r="E33" s="138"/>
      <c r="F33" s="138"/>
      <c r="G33" s="138"/>
    </row>
    <row r="34" spans="1:7" ht="18.75" customHeight="1" x14ac:dyDescent="0.3">
      <c r="A34" s="130" t="s">
        <v>60</v>
      </c>
      <c r="B34" s="139">
        <f>B31/B32</f>
        <v>1</v>
      </c>
      <c r="C34" s="119" t="s">
        <v>61</v>
      </c>
      <c r="D34" s="119"/>
      <c r="E34" s="119"/>
      <c r="F34" s="119"/>
      <c r="G34" s="119"/>
    </row>
    <row r="35" spans="1:7" ht="19.5" customHeight="1" x14ac:dyDescent="0.3">
      <c r="A35" s="130"/>
      <c r="B35" s="134"/>
      <c r="C35" s="133"/>
      <c r="D35" s="133"/>
      <c r="E35" s="133"/>
      <c r="F35" s="133"/>
      <c r="G35" s="119"/>
    </row>
    <row r="36" spans="1:7" ht="27" customHeight="1" x14ac:dyDescent="0.4">
      <c r="A36" s="140" t="s">
        <v>62</v>
      </c>
      <c r="B36" s="141">
        <v>50</v>
      </c>
      <c r="C36" s="119"/>
      <c r="D36" s="419" t="s">
        <v>63</v>
      </c>
      <c r="E36" s="420"/>
      <c r="F36" s="419" t="s">
        <v>64</v>
      </c>
      <c r="G36" s="421"/>
    </row>
    <row r="37" spans="1:7" ht="26.25" customHeight="1" x14ac:dyDescent="0.4">
      <c r="A37" s="142" t="s">
        <v>65</v>
      </c>
      <c r="B37" s="143">
        <v>1</v>
      </c>
      <c r="C37" s="144" t="s">
        <v>66</v>
      </c>
      <c r="D37" s="145" t="s">
        <v>67</v>
      </c>
      <c r="E37" s="146" t="s">
        <v>68</v>
      </c>
      <c r="F37" s="145" t="s">
        <v>67</v>
      </c>
      <c r="G37" s="147" t="s">
        <v>68</v>
      </c>
    </row>
    <row r="38" spans="1:7" ht="26.25" customHeight="1" x14ac:dyDescent="0.4">
      <c r="A38" s="142" t="s">
        <v>69</v>
      </c>
      <c r="B38" s="143">
        <v>1</v>
      </c>
      <c r="C38" s="148">
        <v>1</v>
      </c>
      <c r="D38" s="149">
        <v>48301352</v>
      </c>
      <c r="E38" s="150">
        <f>IF(ISBLANK(D38),"-",$D$48/$D$45*D38)</f>
        <v>58734416.967180677</v>
      </c>
      <c r="F38" s="149">
        <v>48883258</v>
      </c>
      <c r="G38" s="151">
        <f>IF(ISBLANK(F38),"-",$D$48/$F$45*F38)</f>
        <v>58779971.218011066</v>
      </c>
    </row>
    <row r="39" spans="1:7" ht="26.25" customHeight="1" x14ac:dyDescent="0.4">
      <c r="A39" s="142" t="s">
        <v>70</v>
      </c>
      <c r="B39" s="143">
        <v>1</v>
      </c>
      <c r="C39" s="152">
        <v>2</v>
      </c>
      <c r="D39" s="153">
        <v>48625721</v>
      </c>
      <c r="E39" s="154">
        <f>IF(ISBLANK(D39),"-",$D$48/$D$45*D39)</f>
        <v>59128849.489426166</v>
      </c>
      <c r="F39" s="153">
        <v>49019284</v>
      </c>
      <c r="G39" s="155">
        <f>IF(ISBLANK(F39),"-",$D$48/$F$45*F39)</f>
        <v>58943536.50993374</v>
      </c>
    </row>
    <row r="40" spans="1:7" ht="26.25" customHeight="1" x14ac:dyDescent="0.4">
      <c r="A40" s="142" t="s">
        <v>71</v>
      </c>
      <c r="B40" s="143">
        <v>1</v>
      </c>
      <c r="C40" s="152">
        <v>3</v>
      </c>
      <c r="D40" s="153">
        <v>48459188</v>
      </c>
      <c r="E40" s="154">
        <f>IF(ISBLANK(D40),"-",$D$48/$D$45*D40)</f>
        <v>58926345.454740025</v>
      </c>
      <c r="F40" s="153">
        <v>48916923</v>
      </c>
      <c r="G40" s="155">
        <f>IF(ISBLANK(F40),"-",$D$48/$F$45*F40)</f>
        <v>58820451.902237445</v>
      </c>
    </row>
    <row r="41" spans="1:7" ht="26.25" customHeight="1" x14ac:dyDescent="0.4">
      <c r="A41" s="142" t="s">
        <v>72</v>
      </c>
      <c r="B41" s="143">
        <v>1</v>
      </c>
      <c r="C41" s="156">
        <v>4</v>
      </c>
      <c r="D41" s="157"/>
      <c r="E41" s="158" t="str">
        <f>IF(ISBLANK(D41),"-",$D$48/$D$45*D41)</f>
        <v>-</v>
      </c>
      <c r="F41" s="157"/>
      <c r="G41" s="159" t="str">
        <f>IF(ISBLANK(F41),"-",$D$48/$F$45*F41)</f>
        <v>-</v>
      </c>
    </row>
    <row r="42" spans="1:7" ht="27" customHeight="1" x14ac:dyDescent="0.4">
      <c r="A42" s="142" t="s">
        <v>73</v>
      </c>
      <c r="B42" s="143">
        <v>1</v>
      </c>
      <c r="C42" s="160" t="s">
        <v>74</v>
      </c>
      <c r="D42" s="161">
        <f>AVERAGE(D38:D41)</f>
        <v>48462087</v>
      </c>
      <c r="E42" s="162">
        <f>AVERAGE(E38:E41)</f>
        <v>58929870.63711562</v>
      </c>
      <c r="F42" s="161">
        <f>AVERAGE(F38:F41)</f>
        <v>48939821.666666664</v>
      </c>
      <c r="G42" s="163">
        <f>AVERAGE(G38:G41)</f>
        <v>58847986.543394089</v>
      </c>
    </row>
    <row r="43" spans="1:7" ht="26.25" customHeight="1" x14ac:dyDescent="0.4">
      <c r="A43" s="142" t="s">
        <v>75</v>
      </c>
      <c r="B43" s="143">
        <v>1</v>
      </c>
      <c r="C43" s="164" t="s">
        <v>76</v>
      </c>
      <c r="D43" s="165">
        <v>24.86</v>
      </c>
      <c r="E43" s="166"/>
      <c r="F43" s="165">
        <v>25.14</v>
      </c>
      <c r="G43" s="119"/>
    </row>
    <row r="44" spans="1:7" ht="26.25" customHeight="1" x14ac:dyDescent="0.4">
      <c r="A44" s="142" t="s">
        <v>77</v>
      </c>
      <c r="B44" s="143">
        <v>1</v>
      </c>
      <c r="C44" s="167" t="s">
        <v>78</v>
      </c>
      <c r="D44" s="168">
        <f>D43*$B$34</f>
        <v>24.86</v>
      </c>
      <c r="E44" s="169"/>
      <c r="F44" s="168">
        <f>F43*$B$34</f>
        <v>25.14</v>
      </c>
      <c r="G44" s="119"/>
    </row>
    <row r="45" spans="1:7" ht="19.5" customHeight="1" x14ac:dyDescent="0.3">
      <c r="A45" s="142" t="s">
        <v>79</v>
      </c>
      <c r="B45" s="170">
        <f>(B44/B43)*(B42/B41)*(B40/B39)*(B38/B37)*B36</f>
        <v>50</v>
      </c>
      <c r="C45" s="167" t="s">
        <v>80</v>
      </c>
      <c r="D45" s="171">
        <f>D44*$B$30/100</f>
        <v>20.559219999999996</v>
      </c>
      <c r="E45" s="172"/>
      <c r="F45" s="171">
        <f>F44*$B$30/100</f>
        <v>20.790779999999998</v>
      </c>
      <c r="G45" s="119"/>
    </row>
    <row r="46" spans="1:7" ht="19.5" customHeight="1" x14ac:dyDescent="0.3">
      <c r="A46" s="422" t="s">
        <v>81</v>
      </c>
      <c r="B46" s="423"/>
      <c r="C46" s="167" t="s">
        <v>82</v>
      </c>
      <c r="D46" s="168">
        <f>D45/$B$45</f>
        <v>0.41118439999999995</v>
      </c>
      <c r="E46" s="172"/>
      <c r="F46" s="173">
        <f>F45/$B$45</f>
        <v>0.41581559999999995</v>
      </c>
      <c r="G46" s="119"/>
    </row>
    <row r="47" spans="1:7" ht="27" customHeight="1" x14ac:dyDescent="0.4">
      <c r="A47" s="424"/>
      <c r="B47" s="425"/>
      <c r="C47" s="174" t="s">
        <v>83</v>
      </c>
      <c r="D47" s="175">
        <v>0.5</v>
      </c>
      <c r="E47" s="119"/>
      <c r="F47" s="176"/>
      <c r="G47" s="119"/>
    </row>
    <row r="48" spans="1:7" ht="18.75" customHeight="1" x14ac:dyDescent="0.3">
      <c r="A48" s="119"/>
      <c r="B48" s="119"/>
      <c r="C48" s="177" t="s">
        <v>84</v>
      </c>
      <c r="D48" s="171">
        <f>D47*$B$45</f>
        <v>25</v>
      </c>
      <c r="E48" s="119"/>
      <c r="F48" s="176"/>
      <c r="G48" s="119"/>
    </row>
    <row r="49" spans="1:7" ht="19.5" customHeight="1" x14ac:dyDescent="0.3">
      <c r="A49" s="119"/>
      <c r="B49" s="119"/>
      <c r="C49" s="178" t="s">
        <v>85</v>
      </c>
      <c r="D49" s="179">
        <f>D48/B34</f>
        <v>25</v>
      </c>
      <c r="E49" s="119"/>
      <c r="F49" s="176"/>
      <c r="G49" s="119"/>
    </row>
    <row r="50" spans="1:7" ht="18.75" customHeight="1" x14ac:dyDescent="0.3">
      <c r="A50" s="119"/>
      <c r="B50" s="119"/>
      <c r="C50" s="140" t="s">
        <v>86</v>
      </c>
      <c r="D50" s="180">
        <f>AVERAGE(E38:E41,G38:G41)</f>
        <v>58888928.590254843</v>
      </c>
      <c r="E50" s="119"/>
      <c r="F50" s="181"/>
      <c r="G50" s="119"/>
    </row>
    <row r="51" spans="1:7" ht="18.75" customHeight="1" x14ac:dyDescent="0.3">
      <c r="A51" s="119"/>
      <c r="B51" s="119"/>
      <c r="C51" s="142" t="s">
        <v>87</v>
      </c>
      <c r="D51" s="182">
        <f>STDEV(E38:E41,G38:G41)/D50</f>
        <v>2.4298873106641016E-3</v>
      </c>
      <c r="E51" s="119"/>
      <c r="F51" s="181"/>
      <c r="G51" s="119"/>
    </row>
    <row r="52" spans="1:7" ht="19.5" customHeight="1" x14ac:dyDescent="0.3">
      <c r="A52" s="119"/>
      <c r="B52" s="119"/>
      <c r="C52" s="183" t="s">
        <v>20</v>
      </c>
      <c r="D52" s="184">
        <f>COUNT(E38:E41,G38:G41)</f>
        <v>6</v>
      </c>
      <c r="E52" s="119"/>
      <c r="F52" s="181"/>
      <c r="G52" s="119"/>
    </row>
    <row r="53" spans="1:7" ht="18.75" customHeight="1" x14ac:dyDescent="0.3">
      <c r="A53" s="119"/>
      <c r="B53" s="119"/>
      <c r="C53" s="119"/>
      <c r="D53" s="119"/>
      <c r="E53" s="119"/>
      <c r="F53" s="119"/>
      <c r="G53" s="119"/>
    </row>
    <row r="54" spans="1:7" ht="18.75" customHeight="1" x14ac:dyDescent="0.3">
      <c r="A54" s="120" t="s">
        <v>1</v>
      </c>
      <c r="B54" s="185" t="s">
        <v>88</v>
      </c>
      <c r="C54" s="119"/>
      <c r="D54" s="119"/>
      <c r="E54" s="119"/>
      <c r="F54" s="119"/>
      <c r="G54" s="119"/>
    </row>
    <row r="55" spans="1:7" ht="18.75" customHeight="1" x14ac:dyDescent="0.3">
      <c r="A55" s="119" t="s">
        <v>89</v>
      </c>
      <c r="B55" s="186" t="str">
        <f>B21</f>
        <v>Each vials of powder contains anidulafungin 100 mg, fructose 118 mg, mannitol 500 mg, polysorbate 80 250 mg, tartaric acid 11.5 mg</v>
      </c>
      <c r="C55" s="119"/>
      <c r="D55" s="119"/>
      <c r="E55" s="119"/>
      <c r="F55" s="119"/>
      <c r="G55" s="119"/>
    </row>
    <row r="56" spans="1:7" ht="26.25" customHeight="1" x14ac:dyDescent="0.4">
      <c r="A56" s="187" t="s">
        <v>90</v>
      </c>
      <c r="B56" s="188">
        <v>100</v>
      </c>
      <c r="C56" s="119" t="str">
        <f>B20</f>
        <v xml:space="preserve">Anidulafungin </v>
      </c>
      <c r="D56" s="119"/>
      <c r="E56" s="119"/>
      <c r="F56" s="119"/>
      <c r="G56" s="119"/>
    </row>
    <row r="57" spans="1:7" ht="17.25" customHeight="1" x14ac:dyDescent="0.3">
      <c r="A57" s="189"/>
      <c r="B57" s="189" t="str">
        <f>Uniformity!C46</f>
        <v>% Deviation from mean</v>
      </c>
      <c r="C57" s="189"/>
      <c r="D57" s="190"/>
      <c r="E57" s="190"/>
      <c r="F57" s="190"/>
      <c r="G57" s="190"/>
    </row>
    <row r="58" spans="1:7" ht="57.75" customHeight="1" x14ac:dyDescent="0.4">
      <c r="A58" s="140" t="s">
        <v>91</v>
      </c>
      <c r="B58" s="141">
        <v>50</v>
      </c>
      <c r="C58" s="191" t="s">
        <v>92</v>
      </c>
      <c r="D58" s="192" t="s">
        <v>93</v>
      </c>
      <c r="E58" s="193" t="s">
        <v>94</v>
      </c>
      <c r="F58" s="194" t="s">
        <v>95</v>
      </c>
      <c r="G58" s="195" t="s">
        <v>96</v>
      </c>
    </row>
    <row r="59" spans="1:7" ht="26.25" customHeight="1" x14ac:dyDescent="0.4">
      <c r="A59" s="142" t="s">
        <v>65</v>
      </c>
      <c r="B59" s="143">
        <v>5</v>
      </c>
      <c r="C59" s="196">
        <v>1</v>
      </c>
      <c r="D59" s="299">
        <v>59999327</v>
      </c>
      <c r="E59" s="197">
        <f t="shared" ref="E59:E68" si="0">IF(ISBLANK(D59),"-",D59/$D$50*$D$47*$B$67)</f>
        <v>101.88558093401771</v>
      </c>
      <c r="F59" s="198">
        <f t="shared" ref="F59:F68" si="1">IF(ISBLANK(D59),"-",E59/$E$70*100)</f>
        <v>101.50282367951422</v>
      </c>
      <c r="G59" s="199">
        <f t="shared" ref="G59:G68" si="2">IF(ISBLANK(D59),"-",E59/$B$56*100)</f>
        <v>101.88558093401771</v>
      </c>
    </row>
    <row r="60" spans="1:7" ht="26.25" customHeight="1" x14ac:dyDescent="0.4">
      <c r="A60" s="142" t="s">
        <v>69</v>
      </c>
      <c r="B60" s="143">
        <v>20</v>
      </c>
      <c r="C60" s="200">
        <v>2</v>
      </c>
      <c r="D60" s="300">
        <v>59951749</v>
      </c>
      <c r="E60" s="201">
        <f t="shared" si="0"/>
        <v>101.80478815829743</v>
      </c>
      <c r="F60" s="202">
        <f t="shared" si="1"/>
        <v>101.42233442094263</v>
      </c>
      <c r="G60" s="203">
        <f t="shared" si="2"/>
        <v>101.80478815829743</v>
      </c>
    </row>
    <row r="61" spans="1:7" ht="26.25" customHeight="1" x14ac:dyDescent="0.4">
      <c r="A61" s="142" t="s">
        <v>70</v>
      </c>
      <c r="B61" s="143">
        <v>1</v>
      </c>
      <c r="C61" s="200">
        <v>3</v>
      </c>
      <c r="D61" s="300">
        <v>59358627</v>
      </c>
      <c r="E61" s="201">
        <f t="shared" si="0"/>
        <v>100.7976005354305</v>
      </c>
      <c r="F61" s="202">
        <f t="shared" si="1"/>
        <v>100.41893053632174</v>
      </c>
      <c r="G61" s="203">
        <f t="shared" si="2"/>
        <v>100.7976005354305</v>
      </c>
    </row>
    <row r="62" spans="1:7" ht="26.25" customHeight="1" x14ac:dyDescent="0.4">
      <c r="A62" s="142" t="s">
        <v>71</v>
      </c>
      <c r="B62" s="143">
        <v>1</v>
      </c>
      <c r="C62" s="200">
        <v>4</v>
      </c>
      <c r="D62" s="300">
        <v>59562025</v>
      </c>
      <c r="E62" s="201">
        <f t="shared" si="0"/>
        <v>101.14299313276443</v>
      </c>
      <c r="F62" s="202">
        <f t="shared" si="1"/>
        <v>100.76302558476731</v>
      </c>
      <c r="G62" s="203">
        <f t="shared" si="2"/>
        <v>101.14299313276443</v>
      </c>
    </row>
    <row r="63" spans="1:7" ht="26.25" customHeight="1" x14ac:dyDescent="0.4">
      <c r="A63" s="142" t="s">
        <v>72</v>
      </c>
      <c r="B63" s="143">
        <v>1</v>
      </c>
      <c r="C63" s="200">
        <v>5</v>
      </c>
      <c r="D63" s="300">
        <v>59856885</v>
      </c>
      <c r="E63" s="201">
        <f t="shared" si="0"/>
        <v>101.64369845557918</v>
      </c>
      <c r="F63" s="202">
        <f t="shared" si="1"/>
        <v>101.26184988974893</v>
      </c>
      <c r="G63" s="203">
        <f t="shared" si="2"/>
        <v>101.64369845557918</v>
      </c>
    </row>
    <row r="64" spans="1:7" ht="26.25" customHeight="1" x14ac:dyDescent="0.4">
      <c r="A64" s="142" t="s">
        <v>73</v>
      </c>
      <c r="B64" s="143">
        <v>1</v>
      </c>
      <c r="C64" s="200">
        <v>6</v>
      </c>
      <c r="D64" s="300">
        <v>58360548</v>
      </c>
      <c r="E64" s="201">
        <f t="shared" si="0"/>
        <v>99.102750545979063</v>
      </c>
      <c r="F64" s="202">
        <f t="shared" si="1"/>
        <v>98.730447651251623</v>
      </c>
      <c r="G64" s="203">
        <f t="shared" si="2"/>
        <v>99.102750545979063</v>
      </c>
    </row>
    <row r="65" spans="1:7" ht="26.25" customHeight="1" x14ac:dyDescent="0.4">
      <c r="A65" s="142" t="s">
        <v>75</v>
      </c>
      <c r="B65" s="143">
        <v>1</v>
      </c>
      <c r="C65" s="200">
        <v>7</v>
      </c>
      <c r="D65" s="300">
        <v>58428057</v>
      </c>
      <c r="E65" s="201">
        <f t="shared" si="0"/>
        <v>99.217388393221484</v>
      </c>
      <c r="F65" s="202">
        <f t="shared" si="1"/>
        <v>98.844654834338513</v>
      </c>
      <c r="G65" s="203">
        <f t="shared" si="2"/>
        <v>99.217388393221484</v>
      </c>
    </row>
    <row r="66" spans="1:7" ht="26.25" customHeight="1" x14ac:dyDescent="0.4">
      <c r="A66" s="142" t="s">
        <v>77</v>
      </c>
      <c r="B66" s="143">
        <v>1</v>
      </c>
      <c r="C66" s="200">
        <v>8</v>
      </c>
      <c r="D66" s="300">
        <v>58716573</v>
      </c>
      <c r="E66" s="201">
        <f t="shared" si="0"/>
        <v>99.707320893110349</v>
      </c>
      <c r="F66" s="202">
        <f t="shared" si="1"/>
        <v>99.332746787048563</v>
      </c>
      <c r="G66" s="203">
        <f t="shared" si="2"/>
        <v>99.707320893110349</v>
      </c>
    </row>
    <row r="67" spans="1:7" ht="27" customHeight="1" x14ac:dyDescent="0.4">
      <c r="A67" s="142" t="s">
        <v>79</v>
      </c>
      <c r="B67" s="170">
        <f>(B66/B65)*(B64/B63)*(B62/B61)*(B60/B59)*B58</f>
        <v>200</v>
      </c>
      <c r="C67" s="200">
        <v>9</v>
      </c>
      <c r="D67" s="300">
        <v>58176991</v>
      </c>
      <c r="E67" s="201">
        <f t="shared" si="0"/>
        <v>98.791050190081648</v>
      </c>
      <c r="F67" s="202">
        <f t="shared" si="1"/>
        <v>98.419918271378066</v>
      </c>
      <c r="G67" s="203">
        <f t="shared" si="2"/>
        <v>98.791050190081648</v>
      </c>
    </row>
    <row r="68" spans="1:7" ht="27" customHeight="1" x14ac:dyDescent="0.4">
      <c r="A68" s="422" t="s">
        <v>81</v>
      </c>
      <c r="B68" s="430"/>
      <c r="C68" s="204">
        <v>10</v>
      </c>
      <c r="D68" s="301">
        <v>58699148</v>
      </c>
      <c r="E68" s="205">
        <f t="shared" si="0"/>
        <v>99.677731290417384</v>
      </c>
      <c r="F68" s="206">
        <f t="shared" si="1"/>
        <v>99.303268344688448</v>
      </c>
      <c r="G68" s="207">
        <f t="shared" si="2"/>
        <v>99.677731290417384</v>
      </c>
    </row>
    <row r="69" spans="1:7" ht="19.5" customHeight="1" x14ac:dyDescent="0.3">
      <c r="A69" s="424"/>
      <c r="B69" s="431"/>
      <c r="C69" s="200"/>
      <c r="D69" s="172"/>
      <c r="E69" s="208"/>
      <c r="F69" s="190"/>
      <c r="G69" s="209"/>
    </row>
    <row r="70" spans="1:7" ht="26.25" customHeight="1" x14ac:dyDescent="0.4">
      <c r="A70" s="190"/>
      <c r="B70" s="190"/>
      <c r="C70" s="210" t="s">
        <v>97</v>
      </c>
      <c r="D70" s="211"/>
      <c r="E70" s="212">
        <f>AVERAGE(E59:E68)</f>
        <v>100.37709025288991</v>
      </c>
      <c r="F70" s="212">
        <f>AVERAGE(F59:F68)</f>
        <v>100</v>
      </c>
      <c r="G70" s="213">
        <f>AVERAGE(G59:G68)</f>
        <v>100.37709025288991</v>
      </c>
    </row>
    <row r="71" spans="1:7" ht="26.25" customHeight="1" x14ac:dyDescent="0.4">
      <c r="A71" s="190"/>
      <c r="B71" s="190"/>
      <c r="C71" s="210"/>
      <c r="D71" s="211"/>
      <c r="E71" s="214">
        <f>STDEV(E59:E68)/E70</f>
        <v>1.202099826465736E-2</v>
      </c>
      <c r="F71" s="214">
        <f>STDEV(F59:F68)/F70</f>
        <v>1.2020998264657343E-2</v>
      </c>
      <c r="G71" s="215">
        <f>STDEV(G59:G68)/G70</f>
        <v>1.202099826465736E-2</v>
      </c>
    </row>
    <row r="72" spans="1:7" ht="27" customHeight="1" x14ac:dyDescent="0.4">
      <c r="A72" s="190"/>
      <c r="B72" s="190"/>
      <c r="C72" s="216"/>
      <c r="D72" s="217"/>
      <c r="E72" s="218">
        <f>COUNT(E59:E68)</f>
        <v>10</v>
      </c>
      <c r="F72" s="218">
        <f>COUNT(F59:F68)</f>
        <v>10</v>
      </c>
      <c r="G72" s="219">
        <f>COUNT(G59:G68)</f>
        <v>10</v>
      </c>
    </row>
    <row r="73" spans="1:7" ht="18.75" customHeight="1" x14ac:dyDescent="0.3">
      <c r="A73" s="190"/>
      <c r="B73" s="220"/>
      <c r="C73" s="220"/>
      <c r="D73" s="169"/>
      <c r="E73" s="211"/>
      <c r="F73" s="166"/>
      <c r="G73" s="221"/>
    </row>
    <row r="74" spans="1:7" ht="18.75" customHeight="1" x14ac:dyDescent="0.3">
      <c r="A74" s="129" t="s">
        <v>98</v>
      </c>
      <c r="B74" s="222" t="s">
        <v>99</v>
      </c>
      <c r="C74" s="429" t="str">
        <f>B20</f>
        <v xml:space="preserve">Anidulafungin </v>
      </c>
      <c r="D74" s="429"/>
      <c r="E74" s="223" t="s">
        <v>100</v>
      </c>
      <c r="F74" s="223"/>
      <c r="G74" s="224">
        <f>G70</f>
        <v>100.37709025288991</v>
      </c>
    </row>
    <row r="75" spans="1:7" ht="18.75" customHeight="1" x14ac:dyDescent="0.3">
      <c r="A75" s="129"/>
      <c r="B75" s="222"/>
      <c r="C75" s="225"/>
      <c r="D75" s="225"/>
      <c r="E75" s="223"/>
      <c r="F75" s="223"/>
      <c r="G75" s="226"/>
    </row>
    <row r="76" spans="1:7" ht="18.75" customHeight="1" x14ac:dyDescent="0.3">
      <c r="A76" s="120" t="s">
        <v>1</v>
      </c>
      <c r="B76" s="227" t="s">
        <v>101</v>
      </c>
      <c r="C76" s="119"/>
      <c r="D76" s="119"/>
      <c r="E76" s="119"/>
      <c r="F76" s="119"/>
      <c r="G76" s="190"/>
    </row>
    <row r="77" spans="1:7" ht="18.75" customHeight="1" x14ac:dyDescent="0.3">
      <c r="A77" s="120"/>
      <c r="B77" s="185"/>
      <c r="C77" s="119"/>
      <c r="D77" s="119"/>
      <c r="E77" s="119"/>
      <c r="F77" s="119"/>
      <c r="G77" s="190"/>
    </row>
    <row r="78" spans="1:7" ht="18.75" customHeight="1" x14ac:dyDescent="0.3">
      <c r="A78" s="190"/>
      <c r="B78" s="432" t="s">
        <v>102</v>
      </c>
      <c r="C78" s="433"/>
      <c r="D78" s="119"/>
      <c r="E78" s="190"/>
      <c r="F78" s="190"/>
      <c r="G78" s="190"/>
    </row>
    <row r="79" spans="1:7" ht="18.75" customHeight="1" x14ac:dyDescent="0.3">
      <c r="A79" s="190"/>
      <c r="B79" s="228" t="s">
        <v>47</v>
      </c>
      <c r="C79" s="229">
        <f>G70</f>
        <v>100.37709025288991</v>
      </c>
      <c r="D79" s="119"/>
      <c r="E79" s="190"/>
      <c r="F79" s="190"/>
      <c r="G79" s="190"/>
    </row>
    <row r="80" spans="1:7" ht="26.25" customHeight="1" x14ac:dyDescent="0.4">
      <c r="A80" s="190"/>
      <c r="B80" s="228" t="s">
        <v>103</v>
      </c>
      <c r="C80" s="230">
        <v>2.4</v>
      </c>
      <c r="D80" s="119"/>
      <c r="E80" s="190"/>
      <c r="F80" s="190"/>
      <c r="G80" s="190"/>
    </row>
    <row r="81" spans="1:7" ht="18.75" customHeight="1" x14ac:dyDescent="0.3">
      <c r="A81" s="190"/>
      <c r="B81" s="228" t="s">
        <v>104</v>
      </c>
      <c r="C81" s="229">
        <f>STDEV(G59:G68)</f>
        <v>1.2066328277413449</v>
      </c>
      <c r="D81" s="119"/>
      <c r="E81" s="190"/>
      <c r="F81" s="190"/>
      <c r="G81" s="190"/>
    </row>
    <row r="82" spans="1:7" ht="18.75" customHeight="1" x14ac:dyDescent="0.3">
      <c r="A82" s="190"/>
      <c r="B82" s="228" t="s">
        <v>105</v>
      </c>
      <c r="C82" s="229">
        <f>IF(OR(G70&lt;98.5,G70&gt;101.5),(IF(98.5&gt;G70,98.5,101.5)),C79)</f>
        <v>100.37709025288991</v>
      </c>
      <c r="D82" s="119"/>
      <c r="E82" s="190"/>
      <c r="F82" s="190"/>
      <c r="G82" s="190"/>
    </row>
    <row r="83" spans="1:7" ht="18.75" customHeight="1" x14ac:dyDescent="0.3">
      <c r="A83" s="190"/>
      <c r="B83" s="228" t="s">
        <v>106</v>
      </c>
      <c r="C83" s="231">
        <f>ABS(C82-C79)+(C80*C81)</f>
        <v>2.895918786579228</v>
      </c>
      <c r="D83" s="119"/>
      <c r="E83" s="190"/>
      <c r="F83" s="190"/>
      <c r="G83" s="190"/>
    </row>
    <row r="84" spans="1:7" ht="18.75" customHeight="1" x14ac:dyDescent="0.3">
      <c r="A84" s="187"/>
      <c r="B84" s="232"/>
      <c r="C84" s="119"/>
      <c r="D84" s="119"/>
      <c r="E84" s="119"/>
      <c r="F84" s="119"/>
      <c r="G84" s="119"/>
    </row>
    <row r="85" spans="1:7" ht="18.75" customHeight="1" x14ac:dyDescent="0.3">
      <c r="A85" s="128" t="s">
        <v>107</v>
      </c>
      <c r="B85" s="128" t="s">
        <v>108</v>
      </c>
      <c r="C85" s="119"/>
      <c r="D85" s="119"/>
      <c r="E85" s="119"/>
      <c r="F85" s="119"/>
      <c r="G85" s="119"/>
    </row>
    <row r="86" spans="1:7" ht="18.75" customHeight="1" x14ac:dyDescent="0.3">
      <c r="A86" s="128"/>
      <c r="B86" s="128"/>
      <c r="C86" s="119"/>
      <c r="D86" s="119"/>
      <c r="E86" s="119"/>
      <c r="F86" s="119"/>
      <c r="G86" s="119"/>
    </row>
    <row r="87" spans="1:7" ht="26.25" customHeight="1" x14ac:dyDescent="0.4">
      <c r="A87" s="129" t="s">
        <v>4</v>
      </c>
      <c r="B87" s="414"/>
      <c r="C87" s="414"/>
      <c r="D87" s="119"/>
      <c r="E87" s="119"/>
      <c r="F87" s="119"/>
      <c r="G87" s="119"/>
    </row>
    <row r="88" spans="1:7" ht="26.25" customHeight="1" x14ac:dyDescent="0.4">
      <c r="A88" s="130" t="s">
        <v>52</v>
      </c>
      <c r="B88" s="415"/>
      <c r="C88" s="415"/>
      <c r="D88" s="119"/>
      <c r="E88" s="119"/>
      <c r="F88" s="119"/>
      <c r="G88" s="119"/>
    </row>
    <row r="89" spans="1:7" ht="27" customHeight="1" x14ac:dyDescent="0.4">
      <c r="A89" s="130" t="s">
        <v>6</v>
      </c>
      <c r="B89" s="131">
        <f>B32</f>
        <v>1</v>
      </c>
      <c r="C89" s="119"/>
      <c r="D89" s="119"/>
      <c r="E89" s="119"/>
      <c r="F89" s="119"/>
      <c r="G89" s="119"/>
    </row>
    <row r="90" spans="1:7" ht="27" customHeight="1" x14ac:dyDescent="0.4">
      <c r="A90" s="130" t="s">
        <v>53</v>
      </c>
      <c r="B90" s="131">
        <f>B33</f>
        <v>0</v>
      </c>
      <c r="C90" s="434" t="s">
        <v>109</v>
      </c>
      <c r="D90" s="435"/>
      <c r="E90" s="435"/>
      <c r="F90" s="435"/>
      <c r="G90" s="436"/>
    </row>
    <row r="91" spans="1:7" ht="18.75" customHeight="1" x14ac:dyDescent="0.3">
      <c r="A91" s="130" t="s">
        <v>55</v>
      </c>
      <c r="B91" s="134">
        <f>B89-B90</f>
        <v>1</v>
      </c>
      <c r="C91" s="233"/>
      <c r="D91" s="233"/>
      <c r="E91" s="233"/>
      <c r="F91" s="233"/>
      <c r="G91" s="234"/>
    </row>
    <row r="92" spans="1:7" ht="19.5" customHeight="1" x14ac:dyDescent="0.3">
      <c r="A92" s="130"/>
      <c r="B92" s="134"/>
      <c r="C92" s="233"/>
      <c r="D92" s="233"/>
      <c r="E92" s="233"/>
      <c r="F92" s="233"/>
      <c r="G92" s="234"/>
    </row>
    <row r="93" spans="1:7" ht="27" customHeight="1" x14ac:dyDescent="0.4">
      <c r="A93" s="130" t="s">
        <v>56</v>
      </c>
      <c r="B93" s="136">
        <v>1</v>
      </c>
      <c r="C93" s="416" t="s">
        <v>110</v>
      </c>
      <c r="D93" s="417"/>
      <c r="E93" s="417"/>
      <c r="F93" s="417"/>
      <c r="G93" s="417"/>
    </row>
    <row r="94" spans="1:7" ht="27" customHeight="1" x14ac:dyDescent="0.4">
      <c r="A94" s="130" t="s">
        <v>58</v>
      </c>
      <c r="B94" s="136">
        <v>1</v>
      </c>
      <c r="C94" s="416" t="s">
        <v>111</v>
      </c>
      <c r="D94" s="417"/>
      <c r="E94" s="417"/>
      <c r="F94" s="417"/>
      <c r="G94" s="417"/>
    </row>
    <row r="95" spans="1:7" ht="18.75" customHeight="1" x14ac:dyDescent="0.3">
      <c r="A95" s="130"/>
      <c r="B95" s="137"/>
      <c r="C95" s="138"/>
      <c r="D95" s="138"/>
      <c r="E95" s="138"/>
      <c r="F95" s="138"/>
      <c r="G95" s="138"/>
    </row>
    <row r="96" spans="1:7" ht="18.75" customHeight="1" x14ac:dyDescent="0.3">
      <c r="A96" s="130" t="s">
        <v>60</v>
      </c>
      <c r="B96" s="139">
        <f>B93/B94</f>
        <v>1</v>
      </c>
      <c r="C96" s="119" t="s">
        <v>61</v>
      </c>
      <c r="D96" s="119"/>
      <c r="E96" s="119"/>
      <c r="F96" s="119"/>
      <c r="G96" s="119"/>
    </row>
    <row r="97" spans="1:7" ht="19.5" customHeight="1" x14ac:dyDescent="0.3">
      <c r="A97" s="128"/>
      <c r="B97" s="128"/>
      <c r="C97" s="119"/>
      <c r="D97" s="119"/>
      <c r="E97" s="119"/>
      <c r="F97" s="119"/>
      <c r="G97" s="119"/>
    </row>
    <row r="98" spans="1:7" ht="27" customHeight="1" x14ac:dyDescent="0.4">
      <c r="A98" s="140" t="s">
        <v>62</v>
      </c>
      <c r="B98" s="235">
        <v>1</v>
      </c>
      <c r="C98" s="119"/>
      <c r="D98" s="236" t="s">
        <v>63</v>
      </c>
      <c r="E98" s="237"/>
      <c r="F98" s="419" t="s">
        <v>64</v>
      </c>
      <c r="G98" s="421"/>
    </row>
    <row r="99" spans="1:7" ht="26.25" customHeight="1" x14ac:dyDescent="0.4">
      <c r="A99" s="142" t="s">
        <v>65</v>
      </c>
      <c r="B99" s="238">
        <v>1</v>
      </c>
      <c r="C99" s="144" t="s">
        <v>66</v>
      </c>
      <c r="D99" s="145" t="s">
        <v>67</v>
      </c>
      <c r="E99" s="146" t="s">
        <v>68</v>
      </c>
      <c r="F99" s="145" t="s">
        <v>67</v>
      </c>
      <c r="G99" s="147" t="s">
        <v>68</v>
      </c>
    </row>
    <row r="100" spans="1:7" ht="26.25" customHeight="1" x14ac:dyDescent="0.4">
      <c r="A100" s="142" t="s">
        <v>69</v>
      </c>
      <c r="B100" s="238">
        <v>1</v>
      </c>
      <c r="C100" s="148">
        <v>1</v>
      </c>
      <c r="D100" s="149"/>
      <c r="E100" s="239" t="str">
        <f>IF(ISBLANK(D100),"-",$D$110/$D$107*D100)</f>
        <v>-</v>
      </c>
      <c r="F100" s="240"/>
      <c r="G100" s="151" t="str">
        <f>IF(ISBLANK(F100),"-",$D$110/$F$107*F100)</f>
        <v>-</v>
      </c>
    </row>
    <row r="101" spans="1:7" ht="26.25" customHeight="1" x14ac:dyDescent="0.4">
      <c r="A101" s="142" t="s">
        <v>70</v>
      </c>
      <c r="B101" s="238">
        <v>1</v>
      </c>
      <c r="C101" s="152">
        <v>2</v>
      </c>
      <c r="D101" s="153"/>
      <c r="E101" s="241" t="str">
        <f>IF(ISBLANK(D101),"-",$D$110/$D$107*D101)</f>
        <v>-</v>
      </c>
      <c r="F101" s="131"/>
      <c r="G101" s="155" t="str">
        <f>IF(ISBLANK(F101),"-",$D$110/$F$107*F101)</f>
        <v>-</v>
      </c>
    </row>
    <row r="102" spans="1:7" ht="26.25" customHeight="1" x14ac:dyDescent="0.4">
      <c r="A102" s="142" t="s">
        <v>71</v>
      </c>
      <c r="B102" s="238">
        <v>1</v>
      </c>
      <c r="C102" s="152">
        <v>3</v>
      </c>
      <c r="D102" s="153"/>
      <c r="E102" s="241" t="str">
        <f>IF(ISBLANK(D102),"-",$D$110/$D$107*D102)</f>
        <v>-</v>
      </c>
      <c r="F102" s="242"/>
      <c r="G102" s="155" t="str">
        <f>IF(ISBLANK(F102),"-",$D$110/$F$107*F102)</f>
        <v>-</v>
      </c>
    </row>
    <row r="103" spans="1:7" ht="26.25" customHeight="1" x14ac:dyDescent="0.4">
      <c r="A103" s="142" t="s">
        <v>72</v>
      </c>
      <c r="B103" s="238">
        <v>1</v>
      </c>
      <c r="C103" s="156">
        <v>4</v>
      </c>
      <c r="D103" s="157"/>
      <c r="E103" s="243" t="str">
        <f>IF(ISBLANK(D103),"-",$D$110/$D$107*D103)</f>
        <v>-</v>
      </c>
      <c r="F103" s="244"/>
      <c r="G103" s="159" t="str">
        <f>IF(ISBLANK(F103),"-",$D$110/$F$107*F103)</f>
        <v>-</v>
      </c>
    </row>
    <row r="104" spans="1:7" ht="27" customHeight="1" x14ac:dyDescent="0.4">
      <c r="A104" s="142" t="s">
        <v>73</v>
      </c>
      <c r="B104" s="238">
        <v>1</v>
      </c>
      <c r="C104" s="160" t="s">
        <v>74</v>
      </c>
      <c r="D104" s="245" t="e">
        <f>AVERAGE(D100:D103)</f>
        <v>#DIV/0!</v>
      </c>
      <c r="E104" s="162" t="e">
        <f>AVERAGE(E100:E103)</f>
        <v>#DIV/0!</v>
      </c>
      <c r="F104" s="245" t="e">
        <f>AVERAGE(F100:F103)</f>
        <v>#DIV/0!</v>
      </c>
      <c r="G104" s="246" t="e">
        <f>AVERAGE(G100:G103)</f>
        <v>#DIV/0!</v>
      </c>
    </row>
    <row r="105" spans="1:7" ht="26.25" customHeight="1" x14ac:dyDescent="0.4">
      <c r="A105" s="142" t="s">
        <v>75</v>
      </c>
      <c r="B105" s="238">
        <v>1</v>
      </c>
      <c r="C105" s="164" t="s">
        <v>76</v>
      </c>
      <c r="D105" s="247"/>
      <c r="E105" s="166"/>
      <c r="F105" s="165"/>
      <c r="G105" s="119"/>
    </row>
    <row r="106" spans="1:7" ht="26.25" customHeight="1" x14ac:dyDescent="0.4">
      <c r="A106" s="142" t="s">
        <v>77</v>
      </c>
      <c r="B106" s="238">
        <v>1</v>
      </c>
      <c r="C106" s="167" t="s">
        <v>78</v>
      </c>
      <c r="D106" s="248">
        <f>D105*$B$96</f>
        <v>0</v>
      </c>
      <c r="E106" s="169"/>
      <c r="F106" s="168">
        <f>F105*$B$96</f>
        <v>0</v>
      </c>
      <c r="G106" s="119"/>
    </row>
    <row r="107" spans="1:7" ht="19.5" customHeight="1" x14ac:dyDescent="0.3">
      <c r="A107" s="142" t="s">
        <v>79</v>
      </c>
      <c r="B107" s="280">
        <f>(B106/B105)*(B104/B103)*(B102/B101)*(B100/B99)*B98</f>
        <v>1</v>
      </c>
      <c r="C107" s="167" t="s">
        <v>80</v>
      </c>
      <c r="D107" s="249">
        <f>D106*$B$91/100</f>
        <v>0</v>
      </c>
      <c r="E107" s="172"/>
      <c r="F107" s="171">
        <f>F106*$B$91/100</f>
        <v>0</v>
      </c>
      <c r="G107" s="119"/>
    </row>
    <row r="108" spans="1:7" ht="19.5" customHeight="1" x14ac:dyDescent="0.3">
      <c r="A108" s="422" t="s">
        <v>81</v>
      </c>
      <c r="B108" s="423"/>
      <c r="C108" s="167" t="s">
        <v>82</v>
      </c>
      <c r="D108" s="248">
        <f>D107/$B$107</f>
        <v>0</v>
      </c>
      <c r="E108" s="172"/>
      <c r="F108" s="173">
        <f>F107/$B$107</f>
        <v>0</v>
      </c>
      <c r="G108" s="250"/>
    </row>
    <row r="109" spans="1:7" ht="19.5" customHeight="1" x14ac:dyDescent="0.3">
      <c r="A109" s="424"/>
      <c r="B109" s="425"/>
      <c r="C109" s="298" t="s">
        <v>83</v>
      </c>
      <c r="D109" s="252">
        <f>$B$56/$B$125</f>
        <v>100</v>
      </c>
      <c r="E109" s="119"/>
      <c r="F109" s="176"/>
      <c r="G109" s="253"/>
    </row>
    <row r="110" spans="1:7" ht="18.75" customHeight="1" x14ac:dyDescent="0.3">
      <c r="A110" s="119"/>
      <c r="B110" s="119"/>
      <c r="C110" s="251" t="s">
        <v>84</v>
      </c>
      <c r="D110" s="248">
        <f>D109*$B$107</f>
        <v>100</v>
      </c>
      <c r="E110" s="119"/>
      <c r="F110" s="176"/>
      <c r="G110" s="250"/>
    </row>
    <row r="111" spans="1:7" ht="19.5" customHeight="1" x14ac:dyDescent="0.3">
      <c r="A111" s="119"/>
      <c r="B111" s="119"/>
      <c r="C111" s="254" t="s">
        <v>85</v>
      </c>
      <c r="D111" s="255">
        <f>D110/B96</f>
        <v>100</v>
      </c>
      <c r="E111" s="119"/>
      <c r="F111" s="181"/>
      <c r="G111" s="250"/>
    </row>
    <row r="112" spans="1:7" ht="18.75" customHeight="1" x14ac:dyDescent="0.3">
      <c r="A112" s="119"/>
      <c r="B112" s="119"/>
      <c r="C112" s="256" t="s">
        <v>86</v>
      </c>
      <c r="D112" s="257" t="e">
        <f>AVERAGE(E100:E103,G100:G103)</f>
        <v>#DIV/0!</v>
      </c>
      <c r="E112" s="119"/>
      <c r="F112" s="181"/>
      <c r="G112" s="258"/>
    </row>
    <row r="113" spans="1:7" ht="18.75" customHeight="1" x14ac:dyDescent="0.3">
      <c r="A113" s="119"/>
      <c r="B113" s="119"/>
      <c r="C113" s="259" t="s">
        <v>87</v>
      </c>
      <c r="D113" s="260" t="e">
        <f>STDEV(E100:E103,G100:G103)/D112</f>
        <v>#DIV/0!</v>
      </c>
      <c r="E113" s="119"/>
      <c r="F113" s="181"/>
      <c r="G113" s="250"/>
    </row>
    <row r="114" spans="1:7" ht="19.5" customHeight="1" x14ac:dyDescent="0.3">
      <c r="A114" s="119"/>
      <c r="B114" s="119"/>
      <c r="C114" s="261" t="s">
        <v>20</v>
      </c>
      <c r="D114" s="262">
        <f>COUNT(E100:E103,G100:G103)</f>
        <v>0</v>
      </c>
      <c r="E114" s="119"/>
      <c r="F114" s="181"/>
      <c r="G114" s="250"/>
    </row>
    <row r="115" spans="1:7" ht="19.5" customHeight="1" x14ac:dyDescent="0.3">
      <c r="A115" s="120"/>
      <c r="B115" s="120"/>
      <c r="C115" s="120"/>
      <c r="D115" s="120"/>
      <c r="E115" s="120"/>
      <c r="F115" s="119"/>
      <c r="G115" s="119"/>
    </row>
    <row r="116" spans="1:7" ht="26.25" customHeight="1" x14ac:dyDescent="0.4">
      <c r="A116" s="140" t="s">
        <v>112</v>
      </c>
      <c r="B116" s="235">
        <v>1</v>
      </c>
      <c r="C116" s="263" t="s">
        <v>113</v>
      </c>
      <c r="D116" s="264" t="s">
        <v>67</v>
      </c>
      <c r="E116" s="265" t="s">
        <v>114</v>
      </c>
      <c r="F116" s="266" t="s">
        <v>115</v>
      </c>
      <c r="G116" s="119"/>
    </row>
    <row r="117" spans="1:7" ht="26.25" customHeight="1" x14ac:dyDescent="0.4">
      <c r="A117" s="142" t="s">
        <v>116</v>
      </c>
      <c r="B117" s="238">
        <v>1</v>
      </c>
      <c r="C117" s="200">
        <v>1</v>
      </c>
      <c r="D117" s="267"/>
      <c r="E117" s="268" t="str">
        <f t="shared" ref="E117:E122" si="3">IF(ISBLANK(D117),"-",D117/$D$112*$D$109*$B$125)</f>
        <v>-</v>
      </c>
      <c r="F117" s="269" t="str">
        <f t="shared" ref="F117:F122" si="4">IF(ISBLANK(D117), "-", E117/$B$56)</f>
        <v>-</v>
      </c>
      <c r="G117" s="119"/>
    </row>
    <row r="118" spans="1:7" ht="26.25" customHeight="1" x14ac:dyDescent="0.4">
      <c r="A118" s="142" t="s">
        <v>117</v>
      </c>
      <c r="B118" s="238">
        <v>1</v>
      </c>
      <c r="C118" s="200">
        <v>2</v>
      </c>
      <c r="D118" s="267"/>
      <c r="E118" s="270" t="str">
        <f t="shared" si="3"/>
        <v>-</v>
      </c>
      <c r="F118" s="271" t="str">
        <f t="shared" si="4"/>
        <v>-</v>
      </c>
      <c r="G118" s="119"/>
    </row>
    <row r="119" spans="1:7" ht="26.25" customHeight="1" x14ac:dyDescent="0.4">
      <c r="A119" s="142" t="s">
        <v>118</v>
      </c>
      <c r="B119" s="238">
        <v>1</v>
      </c>
      <c r="C119" s="200">
        <v>3</v>
      </c>
      <c r="D119" s="267"/>
      <c r="E119" s="270" t="str">
        <f t="shared" si="3"/>
        <v>-</v>
      </c>
      <c r="F119" s="271" t="str">
        <f t="shared" si="4"/>
        <v>-</v>
      </c>
      <c r="G119" s="119"/>
    </row>
    <row r="120" spans="1:7" ht="26.25" customHeight="1" x14ac:dyDescent="0.4">
      <c r="A120" s="142" t="s">
        <v>119</v>
      </c>
      <c r="B120" s="238">
        <v>1</v>
      </c>
      <c r="C120" s="200">
        <v>4</v>
      </c>
      <c r="D120" s="267"/>
      <c r="E120" s="270" t="str">
        <f t="shared" si="3"/>
        <v>-</v>
      </c>
      <c r="F120" s="271" t="str">
        <f t="shared" si="4"/>
        <v>-</v>
      </c>
      <c r="G120" s="119"/>
    </row>
    <row r="121" spans="1:7" ht="26.25" customHeight="1" x14ac:dyDescent="0.4">
      <c r="A121" s="142" t="s">
        <v>120</v>
      </c>
      <c r="B121" s="238">
        <v>1</v>
      </c>
      <c r="C121" s="200">
        <v>5</v>
      </c>
      <c r="D121" s="267"/>
      <c r="E121" s="270" t="str">
        <f t="shared" si="3"/>
        <v>-</v>
      </c>
      <c r="F121" s="271" t="str">
        <f t="shared" si="4"/>
        <v>-</v>
      </c>
      <c r="G121" s="119"/>
    </row>
    <row r="122" spans="1:7" ht="26.25" customHeight="1" x14ac:dyDescent="0.4">
      <c r="A122" s="142" t="s">
        <v>121</v>
      </c>
      <c r="B122" s="238">
        <v>1</v>
      </c>
      <c r="C122" s="272">
        <v>6</v>
      </c>
      <c r="D122" s="273"/>
      <c r="E122" s="274" t="str">
        <f t="shared" si="3"/>
        <v>-</v>
      </c>
      <c r="F122" s="275" t="str">
        <f t="shared" si="4"/>
        <v>-</v>
      </c>
      <c r="G122" s="119"/>
    </row>
    <row r="123" spans="1:7" ht="26.25" customHeight="1" x14ac:dyDescent="0.4">
      <c r="A123" s="142" t="s">
        <v>122</v>
      </c>
      <c r="B123" s="238">
        <v>1</v>
      </c>
      <c r="C123" s="200"/>
      <c r="D123" s="276"/>
      <c r="E123" s="220"/>
      <c r="F123" s="203"/>
      <c r="G123" s="119"/>
    </row>
    <row r="124" spans="1:7" ht="26.25" customHeight="1" x14ac:dyDescent="0.4">
      <c r="A124" s="142" t="s">
        <v>123</v>
      </c>
      <c r="B124" s="238">
        <v>1</v>
      </c>
      <c r="C124" s="200"/>
      <c r="D124" s="277"/>
      <c r="E124" s="278" t="s">
        <v>74</v>
      </c>
      <c r="F124" s="279" t="e">
        <f>AVERAGE(F117:F122)</f>
        <v>#DIV/0!</v>
      </c>
      <c r="G124" s="119"/>
    </row>
    <row r="125" spans="1:7" ht="27" customHeight="1" x14ac:dyDescent="0.4">
      <c r="A125" s="142" t="s">
        <v>124</v>
      </c>
      <c r="B125" s="280">
        <f>(B124/B123)*(B122/B121)*(B120/B119)*(B118/B117)*B116</f>
        <v>1</v>
      </c>
      <c r="C125" s="281"/>
      <c r="D125" s="282"/>
      <c r="E125" s="178" t="s">
        <v>87</v>
      </c>
      <c r="F125" s="215" t="e">
        <f>STDEV(F117:F122)/F124</f>
        <v>#DIV/0!</v>
      </c>
      <c r="G125" s="119"/>
    </row>
    <row r="126" spans="1:7" ht="27" customHeight="1" x14ac:dyDescent="0.4">
      <c r="A126" s="422" t="s">
        <v>81</v>
      </c>
      <c r="B126" s="423"/>
      <c r="C126" s="283"/>
      <c r="D126" s="284"/>
      <c r="E126" s="285" t="s">
        <v>20</v>
      </c>
      <c r="F126" s="286">
        <f>COUNT(F117:F122)</f>
        <v>0</v>
      </c>
      <c r="G126" s="119"/>
    </row>
    <row r="127" spans="1:7" ht="19.5" customHeight="1" x14ac:dyDescent="0.3">
      <c r="A127" s="424"/>
      <c r="B127" s="425"/>
      <c r="C127" s="220"/>
      <c r="D127" s="220"/>
      <c r="E127" s="220"/>
      <c r="F127" s="276"/>
      <c r="G127" s="220"/>
    </row>
    <row r="128" spans="1:7" ht="18.75" customHeight="1" x14ac:dyDescent="0.3">
      <c r="A128" s="138"/>
      <c r="B128" s="138"/>
      <c r="C128" s="220"/>
      <c r="D128" s="220"/>
      <c r="E128" s="220"/>
      <c r="F128" s="276"/>
      <c r="G128" s="220"/>
    </row>
    <row r="129" spans="1:7" ht="18.75" customHeight="1" x14ac:dyDescent="0.3">
      <c r="A129" s="129" t="s">
        <v>98</v>
      </c>
      <c r="B129" s="222" t="s">
        <v>125</v>
      </c>
      <c r="C129" s="429" t="str">
        <f>B20</f>
        <v xml:space="preserve">Anidulafungin </v>
      </c>
      <c r="D129" s="429"/>
      <c r="E129" s="223" t="s">
        <v>126</v>
      </c>
      <c r="F129" s="223"/>
      <c r="G129" s="226" t="e">
        <f>F124</f>
        <v>#DIV/0!</v>
      </c>
    </row>
    <row r="130" spans="1:7" ht="19.5" customHeight="1" x14ac:dyDescent="0.3">
      <c r="A130" s="287"/>
      <c r="B130" s="287"/>
      <c r="C130" s="288"/>
      <c r="D130" s="288"/>
      <c r="E130" s="288"/>
      <c r="F130" s="288"/>
      <c r="G130" s="288"/>
    </row>
    <row r="131" spans="1:7" ht="18.75" customHeight="1" x14ac:dyDescent="0.3">
      <c r="A131" s="119"/>
      <c r="B131" s="428" t="s">
        <v>26</v>
      </c>
      <c r="C131" s="428"/>
      <c r="D131" s="119"/>
      <c r="E131" s="289" t="s">
        <v>27</v>
      </c>
      <c r="F131" s="290"/>
      <c r="G131" s="297" t="s">
        <v>28</v>
      </c>
    </row>
    <row r="132" spans="1:7" ht="60" customHeight="1" x14ac:dyDescent="0.3">
      <c r="A132" s="291" t="s">
        <v>29</v>
      </c>
      <c r="B132" s="292"/>
      <c r="C132" s="292"/>
      <c r="D132" s="119"/>
      <c r="E132" s="292"/>
      <c r="F132" s="220"/>
      <c r="G132" s="293"/>
    </row>
    <row r="133" spans="1:7" ht="60" customHeight="1" x14ac:dyDescent="0.3">
      <c r="A133" s="291" t="s">
        <v>30</v>
      </c>
      <c r="B133" s="294"/>
      <c r="C133" s="294"/>
      <c r="D133" s="119"/>
      <c r="E133" s="294"/>
      <c r="F133" s="220"/>
      <c r="G133" s="295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4" priority="1" operator="greaterThan">
      <formula>0.02</formula>
    </cfRule>
  </conditionalFormatting>
  <conditionalFormatting sqref="C83">
    <cfRule type="cellIs" dxfId="3" priority="2" operator="greaterThan">
      <formula>15</formula>
    </cfRule>
  </conditionalFormatting>
  <conditionalFormatting sqref="D113">
    <cfRule type="cellIs" dxfId="2" priority="3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2&amp;CPage &amp;P of &amp;N&amp;R&amp;D &amp;T</oddHeader>
    <oddFooter>&amp;LNQCL/ADDO/014</oddFooter>
  </headerFooter>
  <rowBreaks count="1" manualBreakCount="1">
    <brk id="8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55" zoomScale="60" zoomScaleNormal="78" workbookViewId="0">
      <selection activeCell="B30" sqref="B30"/>
    </sheetView>
  </sheetViews>
  <sheetFormatPr defaultRowHeight="12.75" x14ac:dyDescent="0.2"/>
  <cols>
    <col min="1" max="1" width="55.7109375" style="302" customWidth="1"/>
    <col min="2" max="2" width="35.140625" style="302" customWidth="1"/>
    <col min="3" max="3" width="41.7109375" style="302" customWidth="1"/>
    <col min="4" max="4" width="22.85546875" style="302" customWidth="1"/>
    <col min="5" max="5" width="24.5703125" style="302" customWidth="1"/>
    <col min="6" max="6" width="25.140625" style="302" customWidth="1"/>
    <col min="7" max="7" width="34.28515625" style="302" customWidth="1"/>
    <col min="8" max="8" width="16.28515625" style="302" customWidth="1"/>
    <col min="9" max="16384" width="9.140625" style="302"/>
  </cols>
  <sheetData>
    <row r="1" spans="1:8" x14ac:dyDescent="0.2">
      <c r="A1" s="438" t="s">
        <v>49</v>
      </c>
      <c r="B1" s="438"/>
      <c r="C1" s="438"/>
      <c r="D1" s="438"/>
      <c r="E1" s="438"/>
      <c r="F1" s="438"/>
      <c r="G1" s="438"/>
      <c r="H1" s="438"/>
    </row>
    <row r="2" spans="1:8" x14ac:dyDescent="0.2">
      <c r="A2" s="438"/>
      <c r="B2" s="438"/>
      <c r="C2" s="438"/>
      <c r="D2" s="438"/>
      <c r="E2" s="438"/>
      <c r="F2" s="438"/>
      <c r="G2" s="438"/>
      <c r="H2" s="438"/>
    </row>
    <row r="3" spans="1:8" x14ac:dyDescent="0.2">
      <c r="A3" s="438"/>
      <c r="B3" s="438"/>
      <c r="C3" s="438"/>
      <c r="D3" s="438"/>
      <c r="E3" s="438"/>
      <c r="F3" s="438"/>
      <c r="G3" s="438"/>
      <c r="H3" s="438"/>
    </row>
    <row r="4" spans="1:8" x14ac:dyDescent="0.2">
      <c r="A4" s="438"/>
      <c r="B4" s="438"/>
      <c r="C4" s="438"/>
      <c r="D4" s="438"/>
      <c r="E4" s="438"/>
      <c r="F4" s="438"/>
      <c r="G4" s="438"/>
      <c r="H4" s="438"/>
    </row>
    <row r="5" spans="1:8" x14ac:dyDescent="0.2">
      <c r="A5" s="438"/>
      <c r="B5" s="438"/>
      <c r="C5" s="438"/>
      <c r="D5" s="438"/>
      <c r="E5" s="438"/>
      <c r="F5" s="438"/>
      <c r="G5" s="438"/>
      <c r="H5" s="438"/>
    </row>
    <row r="6" spans="1:8" x14ac:dyDescent="0.2">
      <c r="A6" s="438"/>
      <c r="B6" s="438"/>
      <c r="C6" s="438"/>
      <c r="D6" s="438"/>
      <c r="E6" s="438"/>
      <c r="F6" s="438"/>
      <c r="G6" s="438"/>
      <c r="H6" s="438"/>
    </row>
    <row r="7" spans="1:8" x14ac:dyDescent="0.2">
      <c r="A7" s="438"/>
      <c r="B7" s="438"/>
      <c r="C7" s="438"/>
      <c r="D7" s="438"/>
      <c r="E7" s="438"/>
      <c r="F7" s="438"/>
      <c r="G7" s="438"/>
      <c r="H7" s="438"/>
    </row>
    <row r="8" spans="1:8" x14ac:dyDescent="0.2">
      <c r="A8" s="439" t="s">
        <v>50</v>
      </c>
      <c r="B8" s="439"/>
      <c r="C8" s="439"/>
      <c r="D8" s="439"/>
      <c r="E8" s="439"/>
      <c r="F8" s="439"/>
      <c r="G8" s="439"/>
      <c r="H8" s="439"/>
    </row>
    <row r="9" spans="1:8" x14ac:dyDescent="0.2">
      <c r="A9" s="439"/>
      <c r="B9" s="439"/>
      <c r="C9" s="439"/>
      <c r="D9" s="439"/>
      <c r="E9" s="439"/>
      <c r="F9" s="439"/>
      <c r="G9" s="439"/>
      <c r="H9" s="439"/>
    </row>
    <row r="10" spans="1:8" x14ac:dyDescent="0.2">
      <c r="A10" s="439"/>
      <c r="B10" s="439"/>
      <c r="C10" s="439"/>
      <c r="D10" s="439"/>
      <c r="E10" s="439"/>
      <c r="F10" s="439"/>
      <c r="G10" s="439"/>
      <c r="H10" s="439"/>
    </row>
    <row r="11" spans="1:8" x14ac:dyDescent="0.2">
      <c r="A11" s="439"/>
      <c r="B11" s="439"/>
      <c r="C11" s="439"/>
      <c r="D11" s="439"/>
      <c r="E11" s="439"/>
      <c r="F11" s="439"/>
      <c r="G11" s="439"/>
      <c r="H11" s="439"/>
    </row>
    <row r="12" spans="1:8" x14ac:dyDescent="0.2">
      <c r="A12" s="439"/>
      <c r="B12" s="439"/>
      <c r="C12" s="439"/>
      <c r="D12" s="439"/>
      <c r="E12" s="439"/>
      <c r="F12" s="439"/>
      <c r="G12" s="439"/>
      <c r="H12" s="439"/>
    </row>
    <row r="13" spans="1:8" x14ac:dyDescent="0.2">
      <c r="A13" s="439"/>
      <c r="B13" s="439"/>
      <c r="C13" s="439"/>
      <c r="D13" s="439"/>
      <c r="E13" s="439"/>
      <c r="F13" s="439"/>
      <c r="G13" s="439"/>
      <c r="H13" s="439"/>
    </row>
    <row r="14" spans="1:8" x14ac:dyDescent="0.2">
      <c r="A14" s="439"/>
      <c r="B14" s="439"/>
      <c r="C14" s="439"/>
      <c r="D14" s="439"/>
      <c r="E14" s="439"/>
      <c r="F14" s="439"/>
      <c r="G14" s="439"/>
      <c r="H14" s="439"/>
    </row>
    <row r="15" spans="1:8" ht="19.5" customHeight="1" thickBot="1" x14ac:dyDescent="0.35">
      <c r="A15" s="303"/>
      <c r="B15" s="303"/>
      <c r="C15" s="303"/>
      <c r="D15" s="303"/>
      <c r="E15" s="303"/>
      <c r="F15" s="303"/>
      <c r="G15" s="303"/>
      <c r="H15" s="303"/>
    </row>
    <row r="16" spans="1:8" ht="19.5" customHeight="1" thickBot="1" x14ac:dyDescent="0.35">
      <c r="A16" s="440" t="s">
        <v>31</v>
      </c>
      <c r="B16" s="441"/>
      <c r="C16" s="441"/>
      <c r="D16" s="441"/>
      <c r="E16" s="441"/>
      <c r="F16" s="441"/>
      <c r="G16" s="441"/>
      <c r="H16" s="442"/>
    </row>
    <row r="17" spans="1:8" ht="18.75" customHeight="1" x14ac:dyDescent="0.3">
      <c r="A17" s="304" t="s">
        <v>51</v>
      </c>
      <c r="B17" s="304"/>
      <c r="C17" s="303"/>
      <c r="D17" s="303"/>
      <c r="E17" s="303"/>
      <c r="F17" s="303"/>
      <c r="G17" s="303"/>
      <c r="H17" s="303"/>
    </row>
    <row r="18" spans="1:8" ht="26.25" customHeight="1" x14ac:dyDescent="0.4">
      <c r="A18" s="305" t="s">
        <v>33</v>
      </c>
      <c r="B18" s="414" t="s">
        <v>5</v>
      </c>
      <c r="C18" s="414"/>
      <c r="D18" s="414"/>
      <c r="E18" s="414"/>
      <c r="F18" s="303"/>
      <c r="G18" s="303"/>
      <c r="H18" s="303"/>
    </row>
    <row r="19" spans="1:8" ht="26.25" customHeight="1" x14ac:dyDescent="0.4">
      <c r="A19" s="305" t="s">
        <v>34</v>
      </c>
      <c r="B19" s="306" t="s">
        <v>7</v>
      </c>
      <c r="C19" s="303">
        <v>8</v>
      </c>
      <c r="D19" s="303"/>
      <c r="E19" s="303"/>
      <c r="F19" s="303"/>
      <c r="G19" s="303"/>
      <c r="H19" s="303"/>
    </row>
    <row r="20" spans="1:8" ht="26.25" customHeight="1" x14ac:dyDescent="0.4">
      <c r="A20" s="305" t="s">
        <v>35</v>
      </c>
      <c r="B20" s="306" t="s">
        <v>140</v>
      </c>
      <c r="C20" s="303"/>
      <c r="D20" s="303"/>
      <c r="E20" s="303"/>
      <c r="F20" s="303"/>
      <c r="G20" s="303"/>
      <c r="H20" s="303"/>
    </row>
    <row r="21" spans="1:8" ht="26.25" customHeight="1" x14ac:dyDescent="0.4">
      <c r="A21" s="305" t="s">
        <v>36</v>
      </c>
      <c r="B21" s="443" t="s">
        <v>11</v>
      </c>
      <c r="C21" s="443"/>
      <c r="D21" s="443"/>
      <c r="E21" s="443"/>
      <c r="F21" s="443"/>
      <c r="G21" s="443"/>
      <c r="H21" s="443"/>
    </row>
    <row r="22" spans="1:8" ht="26.25" customHeight="1" x14ac:dyDescent="0.4">
      <c r="A22" s="305" t="s">
        <v>37</v>
      </c>
      <c r="B22" s="125">
        <v>43134</v>
      </c>
      <c r="C22" s="303"/>
      <c r="D22" s="303"/>
      <c r="E22" s="303"/>
      <c r="F22" s="303"/>
      <c r="G22" s="303"/>
      <c r="H22" s="303"/>
    </row>
    <row r="23" spans="1:8" ht="26.25" customHeight="1" x14ac:dyDescent="0.4">
      <c r="A23" s="305" t="s">
        <v>38</v>
      </c>
      <c r="B23" s="125">
        <v>43277</v>
      </c>
      <c r="C23" s="303"/>
      <c r="D23" s="303"/>
      <c r="E23" s="303"/>
      <c r="F23" s="303"/>
      <c r="G23" s="303"/>
      <c r="H23" s="303"/>
    </row>
    <row r="24" spans="1:8" ht="18.75" customHeight="1" x14ac:dyDescent="0.3">
      <c r="A24" s="305"/>
      <c r="B24" s="307"/>
      <c r="C24" s="303"/>
      <c r="D24" s="303"/>
      <c r="E24" s="303"/>
      <c r="F24" s="303"/>
      <c r="G24" s="303"/>
      <c r="H24" s="303"/>
    </row>
    <row r="25" spans="1:8" ht="18.75" customHeight="1" x14ac:dyDescent="0.3">
      <c r="A25" s="308" t="s">
        <v>1</v>
      </c>
      <c r="B25" s="307"/>
      <c r="C25" s="303"/>
      <c r="D25" s="303"/>
      <c r="E25" s="303"/>
      <c r="F25" s="303"/>
      <c r="G25" s="303"/>
      <c r="H25" s="303"/>
    </row>
    <row r="26" spans="1:8" ht="26.25" customHeight="1" x14ac:dyDescent="0.4">
      <c r="A26" s="309" t="s">
        <v>4</v>
      </c>
      <c r="B26" s="437" t="s">
        <v>140</v>
      </c>
      <c r="C26" s="437"/>
      <c r="D26" s="303"/>
      <c r="E26" s="303"/>
      <c r="F26" s="303"/>
      <c r="G26" s="303"/>
      <c r="H26" s="303"/>
    </row>
    <row r="27" spans="1:8" ht="26.25" customHeight="1" x14ac:dyDescent="0.4">
      <c r="A27" s="310" t="s">
        <v>52</v>
      </c>
      <c r="B27" s="443" t="s">
        <v>139</v>
      </c>
      <c r="C27" s="443"/>
      <c r="D27" s="303"/>
      <c r="E27" s="303"/>
      <c r="F27" s="303"/>
      <c r="G27" s="303"/>
      <c r="H27" s="303"/>
    </row>
    <row r="28" spans="1:8" ht="27" customHeight="1" thickBot="1" x14ac:dyDescent="0.45">
      <c r="A28" s="310" t="s">
        <v>6</v>
      </c>
      <c r="B28" s="311">
        <v>99.1</v>
      </c>
      <c r="C28" s="303"/>
      <c r="D28" s="303"/>
      <c r="E28" s="303"/>
      <c r="F28" s="303"/>
      <c r="G28" s="303"/>
      <c r="H28" s="303"/>
    </row>
    <row r="29" spans="1:8" ht="27" customHeight="1" thickBot="1" x14ac:dyDescent="0.45">
      <c r="A29" s="310" t="s">
        <v>53</v>
      </c>
      <c r="B29" s="312">
        <f>12.3+4.1</f>
        <v>16.399999999999999</v>
      </c>
      <c r="C29" s="444" t="s">
        <v>54</v>
      </c>
      <c r="D29" s="445"/>
      <c r="E29" s="445"/>
      <c r="F29" s="445"/>
      <c r="G29" s="445"/>
      <c r="H29" s="446"/>
    </row>
    <row r="30" spans="1:8" ht="19.5" customHeight="1" thickBot="1" x14ac:dyDescent="0.35">
      <c r="A30" s="310" t="s">
        <v>55</v>
      </c>
      <c r="B30" s="313">
        <f>B28-B29</f>
        <v>82.699999999999989</v>
      </c>
      <c r="C30" s="314"/>
      <c r="D30" s="314"/>
      <c r="E30" s="314"/>
      <c r="F30" s="314"/>
      <c r="G30" s="314"/>
      <c r="H30" s="315"/>
    </row>
    <row r="31" spans="1:8" ht="27" customHeight="1" thickBot="1" x14ac:dyDescent="0.45">
      <c r="A31" s="310" t="s">
        <v>56</v>
      </c>
      <c r="B31" s="316">
        <v>1</v>
      </c>
      <c r="C31" s="447" t="s">
        <v>57</v>
      </c>
      <c r="D31" s="448"/>
      <c r="E31" s="448"/>
      <c r="F31" s="448"/>
      <c r="G31" s="448"/>
      <c r="H31" s="449"/>
    </row>
    <row r="32" spans="1:8" ht="27" customHeight="1" thickBot="1" x14ac:dyDescent="0.45">
      <c r="A32" s="310" t="s">
        <v>58</v>
      </c>
      <c r="B32" s="316">
        <v>1</v>
      </c>
      <c r="C32" s="447" t="s">
        <v>59</v>
      </c>
      <c r="D32" s="448"/>
      <c r="E32" s="448"/>
      <c r="F32" s="448"/>
      <c r="G32" s="448"/>
      <c r="H32" s="449"/>
    </row>
    <row r="33" spans="1:8" ht="18.75" customHeight="1" x14ac:dyDescent="0.3">
      <c r="A33" s="310"/>
      <c r="B33" s="317"/>
      <c r="C33" s="318"/>
      <c r="D33" s="318"/>
      <c r="E33" s="318"/>
      <c r="F33" s="318"/>
      <c r="G33" s="318"/>
      <c r="H33" s="318"/>
    </row>
    <row r="34" spans="1:8" ht="18.75" customHeight="1" x14ac:dyDescent="0.3">
      <c r="A34" s="310" t="s">
        <v>60</v>
      </c>
      <c r="B34" s="319">
        <f>B31/B32</f>
        <v>1</v>
      </c>
      <c r="C34" s="303" t="s">
        <v>61</v>
      </c>
      <c r="D34" s="303"/>
      <c r="E34" s="303"/>
      <c r="F34" s="303"/>
      <c r="G34" s="303"/>
      <c r="H34" s="320"/>
    </row>
    <row r="35" spans="1:8" ht="19.5" customHeight="1" thickBot="1" x14ac:dyDescent="0.35">
      <c r="A35" s="310"/>
      <c r="B35" s="313"/>
      <c r="C35" s="320"/>
      <c r="D35" s="320"/>
      <c r="E35" s="320"/>
      <c r="F35" s="320"/>
      <c r="G35" s="303"/>
      <c r="H35" s="320"/>
    </row>
    <row r="36" spans="1:8" ht="27" customHeight="1" thickBot="1" x14ac:dyDescent="0.45">
      <c r="A36" s="321" t="s">
        <v>127</v>
      </c>
      <c r="B36" s="322">
        <v>50</v>
      </c>
      <c r="C36" s="303"/>
      <c r="D36" s="450" t="s">
        <v>63</v>
      </c>
      <c r="E36" s="451"/>
      <c r="F36" s="450" t="s">
        <v>64</v>
      </c>
      <c r="G36" s="452"/>
      <c r="H36" s="320"/>
    </row>
    <row r="37" spans="1:8" ht="26.25" customHeight="1" x14ac:dyDescent="0.4">
      <c r="A37" s="323" t="s">
        <v>65</v>
      </c>
      <c r="B37" s="324">
        <v>1</v>
      </c>
      <c r="C37" s="325" t="s">
        <v>66</v>
      </c>
      <c r="D37" s="326" t="s">
        <v>67</v>
      </c>
      <c r="E37" s="327" t="s">
        <v>68</v>
      </c>
      <c r="F37" s="326" t="s">
        <v>67</v>
      </c>
      <c r="G37" s="328" t="s">
        <v>68</v>
      </c>
      <c r="H37" s="320"/>
    </row>
    <row r="38" spans="1:8" ht="26.25" customHeight="1" x14ac:dyDescent="0.4">
      <c r="A38" s="323" t="s">
        <v>69</v>
      </c>
      <c r="B38" s="324">
        <v>1</v>
      </c>
      <c r="C38" s="329">
        <v>1</v>
      </c>
      <c r="D38" s="149">
        <v>48301352</v>
      </c>
      <c r="E38" s="330">
        <f>IF(ISBLANK(D38),"-",$D$48/$D$45*D38)</f>
        <v>58734416.967180677</v>
      </c>
      <c r="F38" s="149">
        <v>48883258</v>
      </c>
      <c r="G38" s="331">
        <f>IF(ISBLANK(F38),"-",$D$48/$F$45*F38)</f>
        <v>58779971.218011066</v>
      </c>
      <c r="H38" s="320"/>
    </row>
    <row r="39" spans="1:8" ht="26.25" customHeight="1" x14ac:dyDescent="0.4">
      <c r="A39" s="323" t="s">
        <v>70</v>
      </c>
      <c r="B39" s="324">
        <v>1</v>
      </c>
      <c r="C39" s="332">
        <v>2</v>
      </c>
      <c r="D39" s="153">
        <v>48625721</v>
      </c>
      <c r="E39" s="334">
        <f>IF(ISBLANK(D39),"-",$D$48/$D$45*D39)</f>
        <v>59128849.489426166</v>
      </c>
      <c r="F39" s="153">
        <v>49019284</v>
      </c>
      <c r="G39" s="335">
        <f>IF(ISBLANK(F39),"-",$D$48/$F$45*F39)</f>
        <v>58943536.50993374</v>
      </c>
      <c r="H39" s="320"/>
    </row>
    <row r="40" spans="1:8" ht="26.25" customHeight="1" x14ac:dyDescent="0.4">
      <c r="A40" s="323" t="s">
        <v>71</v>
      </c>
      <c r="B40" s="324">
        <v>1</v>
      </c>
      <c r="C40" s="332">
        <v>3</v>
      </c>
      <c r="D40" s="153">
        <v>48459188</v>
      </c>
      <c r="E40" s="334">
        <f>IF(ISBLANK(D40),"-",$D$48/$D$45*D40)</f>
        <v>58926345.454740025</v>
      </c>
      <c r="F40" s="153">
        <v>48916923</v>
      </c>
      <c r="G40" s="335">
        <f>IF(ISBLANK(F40),"-",$D$48/$F$45*F40)</f>
        <v>58820451.902237445</v>
      </c>
      <c r="H40" s="303"/>
    </row>
    <row r="41" spans="1:8" ht="26.25" customHeight="1" x14ac:dyDescent="0.4">
      <c r="A41" s="323" t="s">
        <v>72</v>
      </c>
      <c r="B41" s="324">
        <v>1</v>
      </c>
      <c r="C41" s="336">
        <v>4</v>
      </c>
      <c r="D41" s="337"/>
      <c r="E41" s="338" t="str">
        <f>IF(ISBLANK(D41),"-",$D$48/$D$45*D41)</f>
        <v>-</v>
      </c>
      <c r="F41" s="337"/>
      <c r="G41" s="339" t="str">
        <f>IF(ISBLANK(F41),"-",$D$48/$F$45*F41)</f>
        <v>-</v>
      </c>
      <c r="H41" s="303"/>
    </row>
    <row r="42" spans="1:8" ht="27" customHeight="1" thickBot="1" x14ac:dyDescent="0.45">
      <c r="A42" s="323" t="s">
        <v>73</v>
      </c>
      <c r="B42" s="324">
        <v>1</v>
      </c>
      <c r="C42" s="340" t="s">
        <v>74</v>
      </c>
      <c r="D42" s="341">
        <f>AVERAGE(D38:D41)</f>
        <v>48462087</v>
      </c>
      <c r="E42" s="342">
        <f>AVERAGE(E38:E41)</f>
        <v>58929870.63711562</v>
      </c>
      <c r="F42" s="341">
        <f>AVERAGE(F38:F41)</f>
        <v>48939821.666666664</v>
      </c>
      <c r="G42" s="343">
        <f>AVERAGE(G38:G41)</f>
        <v>58847986.543394089</v>
      </c>
      <c r="H42" s="344"/>
    </row>
    <row r="43" spans="1:8" ht="26.25" customHeight="1" x14ac:dyDescent="0.4">
      <c r="A43" s="323" t="s">
        <v>75</v>
      </c>
      <c r="B43" s="324">
        <v>1</v>
      </c>
      <c r="C43" s="345" t="s">
        <v>76</v>
      </c>
      <c r="D43" s="346">
        <v>24.86</v>
      </c>
      <c r="E43" s="303"/>
      <c r="F43" s="346">
        <v>25.14</v>
      </c>
      <c r="G43" s="303"/>
      <c r="H43" s="344"/>
    </row>
    <row r="44" spans="1:8" ht="26.25" customHeight="1" x14ac:dyDescent="0.4">
      <c r="A44" s="323" t="s">
        <v>77</v>
      </c>
      <c r="B44" s="324">
        <v>1</v>
      </c>
      <c r="C44" s="347" t="s">
        <v>78</v>
      </c>
      <c r="D44" s="348">
        <f>D43*$B$34</f>
        <v>24.86</v>
      </c>
      <c r="E44" s="349"/>
      <c r="F44" s="348">
        <f>F43*$B$34</f>
        <v>25.14</v>
      </c>
      <c r="G44" s="303"/>
      <c r="H44" s="344"/>
    </row>
    <row r="45" spans="1:8" ht="19.5" customHeight="1" thickBot="1" x14ac:dyDescent="0.35">
      <c r="A45" s="323" t="s">
        <v>79</v>
      </c>
      <c r="B45" s="332">
        <f>(B44/B43)*(B42/B41)*(B40/B39)*(B38/B37)*B36</f>
        <v>50</v>
      </c>
      <c r="C45" s="347" t="s">
        <v>80</v>
      </c>
      <c r="D45" s="350">
        <f>D44*$B$30/100</f>
        <v>20.559219999999996</v>
      </c>
      <c r="E45" s="351"/>
      <c r="F45" s="350">
        <f>F44*$B$30/100</f>
        <v>20.790779999999998</v>
      </c>
      <c r="G45" s="303"/>
      <c r="H45" s="344"/>
    </row>
    <row r="46" spans="1:8" ht="19.5" customHeight="1" thickBot="1" x14ac:dyDescent="0.35">
      <c r="A46" s="455" t="s">
        <v>81</v>
      </c>
      <c r="B46" s="456"/>
      <c r="C46" s="347" t="s">
        <v>82</v>
      </c>
      <c r="D46" s="348">
        <f>D45/$B$45</f>
        <v>0.41118439999999995</v>
      </c>
      <c r="E46" s="351"/>
      <c r="F46" s="352">
        <f>F45/$B$45</f>
        <v>0.41581559999999995</v>
      </c>
      <c r="G46" s="303"/>
      <c r="H46" s="344"/>
    </row>
    <row r="47" spans="1:8" ht="27" customHeight="1" thickBot="1" x14ac:dyDescent="0.45">
      <c r="A47" s="457"/>
      <c r="B47" s="458"/>
      <c r="C47" s="353" t="s">
        <v>83</v>
      </c>
      <c r="D47" s="354">
        <v>0.5</v>
      </c>
      <c r="E47" s="303"/>
      <c r="F47" s="355"/>
      <c r="G47" s="303"/>
      <c r="H47" s="344"/>
    </row>
    <row r="48" spans="1:8" ht="18.75" customHeight="1" x14ac:dyDescent="0.3">
      <c r="A48" s="303"/>
      <c r="B48" s="303"/>
      <c r="C48" s="356" t="s">
        <v>84</v>
      </c>
      <c r="D48" s="348">
        <f>D47*$B$45</f>
        <v>25</v>
      </c>
      <c r="E48" s="303"/>
      <c r="F48" s="355"/>
      <c r="G48" s="303"/>
      <c r="H48" s="344"/>
    </row>
    <row r="49" spans="1:8" ht="19.5" customHeight="1" thickBot="1" x14ac:dyDescent="0.35">
      <c r="A49" s="303"/>
      <c r="B49" s="303"/>
      <c r="C49" s="310" t="s">
        <v>85</v>
      </c>
      <c r="D49" s="357">
        <f>D48/B34</f>
        <v>25</v>
      </c>
      <c r="E49" s="303"/>
      <c r="F49" s="355"/>
      <c r="G49" s="303"/>
      <c r="H49" s="344"/>
    </row>
    <row r="50" spans="1:8" ht="18.75" customHeight="1" x14ac:dyDescent="0.3">
      <c r="A50" s="303"/>
      <c r="B50" s="303"/>
      <c r="C50" s="321" t="s">
        <v>86</v>
      </c>
      <c r="D50" s="358">
        <f>AVERAGE(E38:E41,G38:G41)</f>
        <v>58888928.590254843</v>
      </c>
      <c r="E50" s="303"/>
      <c r="F50" s="359"/>
      <c r="G50" s="303"/>
      <c r="H50" s="344"/>
    </row>
    <row r="51" spans="1:8" ht="18.75" customHeight="1" x14ac:dyDescent="0.3">
      <c r="A51" s="303"/>
      <c r="B51" s="303"/>
      <c r="C51" s="353" t="s">
        <v>87</v>
      </c>
      <c r="D51" s="360">
        <f>STDEV(E38:E41,G38:G41)/D50</f>
        <v>2.4298873106641016E-3</v>
      </c>
      <c r="E51" s="303"/>
      <c r="F51" s="359"/>
      <c r="G51" s="303"/>
      <c r="H51" s="344"/>
    </row>
    <row r="52" spans="1:8" ht="19.5" customHeight="1" thickBot="1" x14ac:dyDescent="0.35">
      <c r="A52" s="303"/>
      <c r="B52" s="303"/>
      <c r="C52" s="361" t="s">
        <v>20</v>
      </c>
      <c r="D52" s="362">
        <f>COUNT(E38:E41,G38:G41)</f>
        <v>6</v>
      </c>
      <c r="E52" s="303"/>
      <c r="F52" s="359"/>
      <c r="G52" s="303"/>
      <c r="H52" s="303"/>
    </row>
    <row r="53" spans="1:8" ht="18.75" customHeight="1" x14ac:dyDescent="0.3">
      <c r="A53" s="303"/>
      <c r="B53" s="303"/>
      <c r="C53" s="303"/>
      <c r="D53" s="303"/>
      <c r="E53" s="303"/>
      <c r="F53" s="303"/>
      <c r="G53" s="303"/>
      <c r="H53" s="303"/>
    </row>
    <row r="54" spans="1:8" ht="18.75" customHeight="1" x14ac:dyDescent="0.3">
      <c r="A54" s="304" t="s">
        <v>1</v>
      </c>
      <c r="B54" s="363" t="s">
        <v>88</v>
      </c>
      <c r="C54" s="303"/>
      <c r="D54" s="303"/>
      <c r="E54" s="303"/>
      <c r="F54" s="303"/>
      <c r="G54" s="303"/>
      <c r="H54" s="303"/>
    </row>
    <row r="55" spans="1:8" ht="18.75" customHeight="1" x14ac:dyDescent="0.3">
      <c r="A55" s="303" t="s">
        <v>89</v>
      </c>
      <c r="B55" s="364" t="str">
        <f>B21</f>
        <v>Each vials of powder contains anidulafungin 100 mg, fructose 118 mg, mannitol 500 mg, polysorbate 80 250 mg, tartaric acid 11.5 mg</v>
      </c>
      <c r="C55" s="303"/>
      <c r="D55" s="303"/>
      <c r="E55" s="303"/>
      <c r="F55" s="303"/>
      <c r="G55" s="303"/>
      <c r="H55" s="303"/>
    </row>
    <row r="56" spans="1:8" ht="26.25" customHeight="1" x14ac:dyDescent="0.4">
      <c r="A56" s="364" t="s">
        <v>128</v>
      </c>
      <c r="B56" s="365">
        <v>100</v>
      </c>
      <c r="C56" s="303" t="str">
        <f>B20</f>
        <v>Anidulafungin</v>
      </c>
      <c r="D56" s="303"/>
      <c r="E56" s="303"/>
      <c r="F56" s="303"/>
      <c r="G56" s="303"/>
      <c r="H56" s="349"/>
    </row>
    <row r="57" spans="1:8" ht="18.75" customHeight="1" x14ac:dyDescent="0.3">
      <c r="A57" s="364" t="s">
        <v>129</v>
      </c>
      <c r="B57" s="366">
        <f>Uniformity!D43</f>
        <v>1003.5805000000003</v>
      </c>
      <c r="C57" s="303"/>
      <c r="D57" s="303"/>
      <c r="E57" s="303"/>
      <c r="F57" s="303"/>
      <c r="G57" s="303"/>
      <c r="H57" s="349"/>
    </row>
    <row r="58" spans="1:8" ht="19.5" customHeight="1" thickBot="1" x14ac:dyDescent="0.35">
      <c r="A58" s="303"/>
      <c r="B58" s="303"/>
      <c r="C58" s="303"/>
      <c r="D58" s="303"/>
      <c r="E58" s="303"/>
      <c r="F58" s="303"/>
      <c r="G58" s="303"/>
      <c r="H58" s="349"/>
    </row>
    <row r="59" spans="1:8" ht="27" customHeight="1" thickBot="1" x14ac:dyDescent="0.45">
      <c r="A59" s="321" t="s">
        <v>91</v>
      </c>
      <c r="B59" s="322">
        <v>50</v>
      </c>
      <c r="C59" s="303"/>
      <c r="D59" s="367" t="s">
        <v>130</v>
      </c>
      <c r="E59" s="368" t="s">
        <v>66</v>
      </c>
      <c r="F59" s="368" t="s">
        <v>67</v>
      </c>
      <c r="G59" s="368" t="s">
        <v>131</v>
      </c>
      <c r="H59" s="325" t="s">
        <v>132</v>
      </c>
    </row>
    <row r="60" spans="1:8" ht="26.25" customHeight="1" x14ac:dyDescent="0.4">
      <c r="A60" s="323" t="s">
        <v>116</v>
      </c>
      <c r="B60" s="324">
        <v>5</v>
      </c>
      <c r="C60" s="459" t="s">
        <v>133</v>
      </c>
      <c r="D60" s="462">
        <v>1003.86</v>
      </c>
      <c r="E60" s="369">
        <v>1</v>
      </c>
      <c r="F60" s="370">
        <v>58281812</v>
      </c>
      <c r="G60" s="371">
        <f>IF(ISBLANK(F60),"-",(F60/$D$50*$D$47*$B$68)*($B$57/$D$60))</f>
        <v>98.941492509865071</v>
      </c>
      <c r="H60" s="372">
        <f t="shared" ref="H60:H71" si="0">IF(ISBLANK(F60),"-",G60/$B$56)</f>
        <v>0.9894149250986507</v>
      </c>
    </row>
    <row r="61" spans="1:8" ht="26.25" customHeight="1" x14ac:dyDescent="0.4">
      <c r="A61" s="323" t="s">
        <v>117</v>
      </c>
      <c r="B61" s="324">
        <v>20</v>
      </c>
      <c r="C61" s="460"/>
      <c r="D61" s="463"/>
      <c r="E61" s="373">
        <v>2</v>
      </c>
      <c r="F61" s="333">
        <v>58152969</v>
      </c>
      <c r="G61" s="374">
        <f>IF(ISBLANK(F61),"-",(F61/$D$50*$D$47*$B$68)*($B$57/$D$60))</f>
        <v>98.722763573993134</v>
      </c>
      <c r="H61" s="375">
        <f t="shared" si="0"/>
        <v>0.98722763573993133</v>
      </c>
    </row>
    <row r="62" spans="1:8" ht="26.25" customHeight="1" x14ac:dyDescent="0.4">
      <c r="A62" s="323" t="s">
        <v>118</v>
      </c>
      <c r="B62" s="324">
        <v>1</v>
      </c>
      <c r="C62" s="460"/>
      <c r="D62" s="463"/>
      <c r="E62" s="373">
        <v>3</v>
      </c>
      <c r="F62" s="333">
        <v>58147904</v>
      </c>
      <c r="G62" s="374">
        <f>IF(ISBLANK(F62),"-",(F62/$D$50*$D$47*$B$68)*($B$57/$D$60))</f>
        <v>98.714165031113879</v>
      </c>
      <c r="H62" s="375">
        <f t="shared" si="0"/>
        <v>0.98714165031113876</v>
      </c>
    </row>
    <row r="63" spans="1:8" ht="27" customHeight="1" thickBot="1" x14ac:dyDescent="0.45">
      <c r="A63" s="323" t="s">
        <v>119</v>
      </c>
      <c r="B63" s="324">
        <v>1</v>
      </c>
      <c r="C63" s="461"/>
      <c r="D63" s="464"/>
      <c r="E63" s="376">
        <v>4</v>
      </c>
      <c r="F63" s="377"/>
      <c r="G63" s="374" t="str">
        <f>IF(ISBLANK(F63),"-",(F63/$D$50*$D$47*$B$68)*($B$57/$D$60))</f>
        <v>-</v>
      </c>
      <c r="H63" s="375" t="str">
        <f t="shared" si="0"/>
        <v>-</v>
      </c>
    </row>
    <row r="64" spans="1:8" ht="26.25" customHeight="1" x14ac:dyDescent="0.4">
      <c r="A64" s="323" t="s">
        <v>120</v>
      </c>
      <c r="B64" s="324">
        <v>1</v>
      </c>
      <c r="C64" s="459" t="s">
        <v>134</v>
      </c>
      <c r="D64" s="462">
        <v>1003.51</v>
      </c>
      <c r="E64" s="369">
        <v>1</v>
      </c>
      <c r="F64" s="370">
        <v>58837049</v>
      </c>
      <c r="G64" s="378">
        <f>IF(ISBLANK(F64),"-",(F64/$D$50*$D$47*$B$68)*($B$57/$D$64))</f>
        <v>99.918921793892153</v>
      </c>
      <c r="H64" s="379">
        <f t="shared" si="0"/>
        <v>0.99918921793892157</v>
      </c>
    </row>
    <row r="65" spans="1:8" ht="26.25" customHeight="1" x14ac:dyDescent="0.4">
      <c r="A65" s="323" t="s">
        <v>121</v>
      </c>
      <c r="B65" s="324">
        <v>1</v>
      </c>
      <c r="C65" s="460"/>
      <c r="D65" s="463"/>
      <c r="E65" s="373">
        <v>2</v>
      </c>
      <c r="F65" s="333">
        <v>58612032</v>
      </c>
      <c r="G65" s="380">
        <f>IF(ISBLANK(F65),"-",(F65/$D$50*$D$47*$B$68)*($B$57/$D$64))</f>
        <v>99.536790867759251</v>
      </c>
      <c r="H65" s="381">
        <f t="shared" si="0"/>
        <v>0.99536790867759251</v>
      </c>
    </row>
    <row r="66" spans="1:8" ht="26.25" customHeight="1" x14ac:dyDescent="0.4">
      <c r="A66" s="323" t="s">
        <v>122</v>
      </c>
      <c r="B66" s="324">
        <v>1</v>
      </c>
      <c r="C66" s="460"/>
      <c r="D66" s="463"/>
      <c r="E66" s="373">
        <v>3</v>
      </c>
      <c r="F66" s="333">
        <v>58316676</v>
      </c>
      <c r="G66" s="380">
        <f>IF(ISBLANK(F66),"-",(F66/$D$50*$D$47*$B$68)*($B$57/$D$64))</f>
        <v>99.035208045932876</v>
      </c>
      <c r="H66" s="381">
        <f t="shared" si="0"/>
        <v>0.99035208045932877</v>
      </c>
    </row>
    <row r="67" spans="1:8" ht="27" customHeight="1" thickBot="1" x14ac:dyDescent="0.45">
      <c r="A67" s="323" t="s">
        <v>123</v>
      </c>
      <c r="B67" s="324">
        <v>1</v>
      </c>
      <c r="C67" s="461"/>
      <c r="D67" s="464"/>
      <c r="E67" s="376">
        <v>4</v>
      </c>
      <c r="F67" s="377"/>
      <c r="G67" s="382" t="str">
        <f>IF(ISBLANK(F67),"-",(F67/$D$50*$D$47*$B$68)*($B$57/$D$64))</f>
        <v>-</v>
      </c>
      <c r="H67" s="383" t="str">
        <f t="shared" si="0"/>
        <v>-</v>
      </c>
    </row>
    <row r="68" spans="1:8" ht="26.25" customHeight="1" x14ac:dyDescent="0.4">
      <c r="A68" s="323" t="s">
        <v>124</v>
      </c>
      <c r="B68" s="332">
        <f>(B67/B66)*(B65/B64)*(B63/B62)*(B61/B60)*B59</f>
        <v>200</v>
      </c>
      <c r="C68" s="459" t="s">
        <v>135</v>
      </c>
      <c r="D68" s="462">
        <v>1002.55</v>
      </c>
      <c r="E68" s="369">
        <v>1</v>
      </c>
      <c r="F68" s="370">
        <v>58881710</v>
      </c>
      <c r="G68" s="378">
        <f>IF(ISBLANK(F68),"-",(F68/$D$50*$D$47*$B$68)*($B$57/$D$68))</f>
        <v>100.09051731597653</v>
      </c>
      <c r="H68" s="375">
        <f t="shared" si="0"/>
        <v>1.0009051731597653</v>
      </c>
    </row>
    <row r="69" spans="1:8" ht="27" customHeight="1" thickBot="1" x14ac:dyDescent="0.45">
      <c r="A69" s="361" t="s">
        <v>136</v>
      </c>
      <c r="B69" s="384">
        <f>(D47*B68)/B56*B57</f>
        <v>1003.5805000000003</v>
      </c>
      <c r="C69" s="460"/>
      <c r="D69" s="463"/>
      <c r="E69" s="373">
        <v>2</v>
      </c>
      <c r="F69" s="333">
        <v>58622132</v>
      </c>
      <c r="G69" s="380">
        <f>IF(ISBLANK(F69),"-",(F69/$D$50*$D$47*$B$68)*($B$57/$D$68))</f>
        <v>99.649271701610928</v>
      </c>
      <c r="H69" s="375">
        <f t="shared" si="0"/>
        <v>0.99649271701610931</v>
      </c>
    </row>
    <row r="70" spans="1:8" ht="26.25" customHeight="1" x14ac:dyDescent="0.4">
      <c r="A70" s="455" t="s">
        <v>81</v>
      </c>
      <c r="B70" s="456"/>
      <c r="C70" s="460"/>
      <c r="D70" s="463"/>
      <c r="E70" s="373">
        <v>3</v>
      </c>
      <c r="F70" s="333">
        <v>58600892</v>
      </c>
      <c r="G70" s="380">
        <f>IF(ISBLANK(F70),"-",(F70/$D$50*$D$47*$B$68)*($B$57/$D$68))</f>
        <v>99.613166727964767</v>
      </c>
      <c r="H70" s="375">
        <f t="shared" si="0"/>
        <v>0.99613166727964764</v>
      </c>
    </row>
    <row r="71" spans="1:8" ht="27" customHeight="1" thickBot="1" x14ac:dyDescent="0.45">
      <c r="A71" s="457"/>
      <c r="B71" s="458"/>
      <c r="C71" s="465"/>
      <c r="D71" s="464"/>
      <c r="E71" s="376">
        <v>4</v>
      </c>
      <c r="F71" s="377"/>
      <c r="G71" s="382" t="str">
        <f>IF(ISBLANK(F71),"-",(F71/$D$50*$D$47*$B$68)*($B$57/$D$68))</f>
        <v>-</v>
      </c>
      <c r="H71" s="385" t="str">
        <f t="shared" si="0"/>
        <v>-</v>
      </c>
    </row>
    <row r="72" spans="1:8" ht="26.25" customHeight="1" x14ac:dyDescent="0.4">
      <c r="A72" s="349"/>
      <c r="B72" s="349"/>
      <c r="C72" s="349"/>
      <c r="D72" s="349"/>
      <c r="E72" s="349"/>
      <c r="F72" s="349"/>
      <c r="G72" s="386" t="s">
        <v>74</v>
      </c>
      <c r="H72" s="387">
        <f>AVERAGE(H60:H71)</f>
        <v>0.99358033063123175</v>
      </c>
    </row>
    <row r="73" spans="1:8" ht="26.25" customHeight="1" x14ac:dyDescent="0.4">
      <c r="A73" s="303"/>
      <c r="B73" s="303"/>
      <c r="C73" s="349"/>
      <c r="D73" s="349"/>
      <c r="E73" s="349"/>
      <c r="F73" s="349"/>
      <c r="G73" s="388" t="s">
        <v>87</v>
      </c>
      <c r="H73" s="389">
        <f>STDEV(H60:H71)/H72</f>
        <v>5.1918815876246483E-3</v>
      </c>
    </row>
    <row r="74" spans="1:8" ht="27" customHeight="1" thickBot="1" x14ac:dyDescent="0.45">
      <c r="A74" s="349"/>
      <c r="B74" s="349"/>
      <c r="C74" s="349"/>
      <c r="D74" s="349"/>
      <c r="E74" s="351"/>
      <c r="F74" s="349"/>
      <c r="G74" s="390" t="s">
        <v>20</v>
      </c>
      <c r="H74" s="391">
        <f>COUNT(H60:H71)</f>
        <v>9</v>
      </c>
    </row>
    <row r="75" spans="1:8" ht="18.75" customHeight="1" x14ac:dyDescent="0.3">
      <c r="A75" s="349"/>
      <c r="B75" s="349"/>
      <c r="C75" s="349"/>
      <c r="D75" s="349"/>
      <c r="E75" s="351"/>
      <c r="F75" s="349"/>
      <c r="G75" s="310"/>
      <c r="H75" s="313"/>
    </row>
    <row r="76" spans="1:8" ht="26.25" customHeight="1" x14ac:dyDescent="0.4">
      <c r="A76" s="309" t="s">
        <v>137</v>
      </c>
      <c r="B76" s="310" t="s">
        <v>99</v>
      </c>
      <c r="C76" s="453" t="str">
        <f>B20</f>
        <v>Anidulafungin</v>
      </c>
      <c r="D76" s="453"/>
      <c r="E76" s="303" t="s">
        <v>100</v>
      </c>
      <c r="F76" s="303"/>
      <c r="G76" s="392">
        <f>H72</f>
        <v>0.99358033063123175</v>
      </c>
      <c r="H76" s="313"/>
    </row>
    <row r="77" spans="1:8" ht="19.5" customHeight="1" thickBot="1" x14ac:dyDescent="0.35">
      <c r="A77" s="393"/>
      <c r="B77" s="393"/>
      <c r="C77" s="394"/>
      <c r="D77" s="394"/>
      <c r="E77" s="394"/>
      <c r="F77" s="394"/>
      <c r="G77" s="394"/>
      <c r="H77" s="394"/>
    </row>
    <row r="78" spans="1:8" ht="18.75" customHeight="1" x14ac:dyDescent="0.3">
      <c r="A78" s="303"/>
      <c r="B78" s="454" t="s">
        <v>26</v>
      </c>
      <c r="C78" s="454"/>
      <c r="D78" s="303"/>
      <c r="E78" s="395" t="s">
        <v>27</v>
      </c>
      <c r="F78" s="396"/>
      <c r="G78" s="454" t="s">
        <v>28</v>
      </c>
      <c r="H78" s="454"/>
    </row>
    <row r="79" spans="1:8" ht="60" customHeight="1" x14ac:dyDescent="0.3">
      <c r="A79" s="309" t="s">
        <v>29</v>
      </c>
      <c r="B79" s="397" t="s">
        <v>141</v>
      </c>
      <c r="C79" s="397"/>
      <c r="D79" s="303"/>
      <c r="E79" s="398"/>
      <c r="F79" s="303"/>
      <c r="G79" s="398"/>
      <c r="H79" s="398"/>
    </row>
    <row r="80" spans="1:8" ht="60" customHeight="1" x14ac:dyDescent="0.3">
      <c r="A80" s="309" t="s">
        <v>30</v>
      </c>
      <c r="B80" s="399"/>
      <c r="C80" s="399"/>
      <c r="D80" s="303"/>
      <c r="E80" s="400"/>
      <c r="F80" s="303"/>
      <c r="G80" s="401"/>
      <c r="H80" s="401"/>
    </row>
    <row r="250" spans="1:1" x14ac:dyDescent="0.2">
      <c r="A250" s="302">
        <v>5</v>
      </c>
    </row>
  </sheetData>
  <sheetProtection password="F258" sheet="1" objects="1" scenarios="1" formatCells="0" formatColumns="0"/>
  <mergeCells count="24">
    <mergeCell ref="C76:D76"/>
    <mergeCell ref="B78:C78"/>
    <mergeCell ref="G78:H78"/>
    <mergeCell ref="A46:B47"/>
    <mergeCell ref="C60:C63"/>
    <mergeCell ref="D60:D63"/>
    <mergeCell ref="C64:C67"/>
    <mergeCell ref="D64:D67"/>
    <mergeCell ref="C68:C71"/>
    <mergeCell ref="D68:D71"/>
    <mergeCell ref="A70:B71"/>
    <mergeCell ref="B27:C27"/>
    <mergeCell ref="C29:H29"/>
    <mergeCell ref="C31:H31"/>
    <mergeCell ref="C32:H32"/>
    <mergeCell ref="D36:E36"/>
    <mergeCell ref="F36:G36"/>
    <mergeCell ref="B26:C26"/>
    <mergeCell ref="B18:C18"/>
    <mergeCell ref="D18:E18"/>
    <mergeCell ref="A1:H7"/>
    <mergeCell ref="A8:H14"/>
    <mergeCell ref="A16:H16"/>
    <mergeCell ref="B21:H21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Anidulafungin-UC</vt:lpstr>
      <vt:lpstr>Anidulafungin-Assay</vt:lpstr>
      <vt:lpstr>'Anidulafungin-Assay'!Print_Area</vt:lpstr>
      <vt:lpstr>'Anidulafungin-UC'!Print_Area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2018-07-04T11:30:20Z</cp:lastPrinted>
  <dcterms:created xsi:type="dcterms:W3CDTF">2005-07-05T10:19:27Z</dcterms:created>
  <dcterms:modified xsi:type="dcterms:W3CDTF">2018-07-04T11:33:55Z</dcterms:modified>
</cp:coreProperties>
</file>