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.41\Deputy-Director\Analysis Worksheets\2018\Apr\"/>
    </mc:Choice>
  </mc:AlternateContent>
  <bookViews>
    <workbookView xWindow="0" yWindow="0" windowWidth="20490" windowHeight="7650" activeTab="2"/>
  </bookViews>
  <sheets>
    <sheet name="Insulin Aspartate (2)" sheetId="3" r:id="rId1"/>
    <sheet name="sst insulin aspart" sheetId="1" r:id="rId2"/>
    <sheet name="Insulin Aspartate" sheetId="2" r:id="rId3"/>
  </sheets>
  <definedNames>
    <definedName name="_xlnm.Print_Area" localSheetId="2">'Insulin Aspartate'!$A$1:$H$79</definedName>
  </definedNames>
  <calcPr calcId="162913"/>
</workbook>
</file>

<file path=xl/calcChain.xml><?xml version="1.0" encoding="utf-8"?>
<calcChain xmlns="http://schemas.openxmlformats.org/spreadsheetml/2006/main">
  <c r="B41" i="3" l="1"/>
  <c r="D43" i="2" l="1"/>
  <c r="F43" i="2"/>
  <c r="F60" i="2" l="1"/>
  <c r="F61" i="2"/>
  <c r="F63" i="2"/>
  <c r="F64" i="2"/>
  <c r="F65" i="2"/>
  <c r="F67" i="2"/>
  <c r="F68" i="2"/>
  <c r="F69" i="2"/>
  <c r="F59" i="2"/>
  <c r="F39" i="2"/>
  <c r="F40" i="2"/>
  <c r="F38" i="2"/>
  <c r="D39" i="2"/>
  <c r="D40" i="2"/>
  <c r="D38" i="2"/>
  <c r="D51" i="3" l="1"/>
  <c r="J46" i="3"/>
  <c r="I46" i="3"/>
  <c r="H45" i="3"/>
  <c r="H44" i="3"/>
  <c r="H43" i="3"/>
  <c r="J42" i="3"/>
  <c r="I42" i="3"/>
  <c r="H41" i="3"/>
  <c r="D41" i="3"/>
  <c r="H40" i="3"/>
  <c r="H39" i="3"/>
  <c r="E39" i="3"/>
  <c r="C39" i="3"/>
  <c r="J38" i="3"/>
  <c r="I38" i="3"/>
  <c r="D38" i="3"/>
  <c r="E38" i="3" s="1"/>
  <c r="B38" i="3"/>
  <c r="C38" i="3" s="1"/>
  <c r="H37" i="3"/>
  <c r="D37" i="3"/>
  <c r="E37" i="3" s="1"/>
  <c r="B37" i="3"/>
  <c r="C37" i="3" s="1"/>
  <c r="H36" i="3"/>
  <c r="D36" i="3"/>
  <c r="D40" i="3" s="1"/>
  <c r="B36" i="3"/>
  <c r="B40" i="3" s="1"/>
  <c r="H35" i="3"/>
  <c r="E31" i="3"/>
  <c r="B30" i="3"/>
  <c r="E36" i="3" l="1"/>
  <c r="E40" i="3" s="1"/>
  <c r="C36" i="3"/>
  <c r="B43" i="3" l="1"/>
  <c r="B45" i="3"/>
  <c r="C40" i="3"/>
  <c r="B44" i="3" l="1"/>
  <c r="I40" i="3"/>
  <c r="J40" i="3" s="1"/>
  <c r="I35" i="3"/>
  <c r="J35" i="3" s="1"/>
  <c r="I44" i="3"/>
  <c r="J44" i="3" s="1"/>
  <c r="I43" i="3"/>
  <c r="J43" i="3" s="1"/>
  <c r="I36" i="3"/>
  <c r="J36" i="3" s="1"/>
  <c r="I39" i="3"/>
  <c r="J39" i="3" s="1"/>
  <c r="I41" i="3"/>
  <c r="J41" i="3" s="1"/>
  <c r="I45" i="3"/>
  <c r="J45" i="3" s="1"/>
  <c r="I37" i="3"/>
  <c r="J37" i="3" s="1"/>
  <c r="J47" i="3" l="1"/>
  <c r="J49" i="3"/>
  <c r="H51" i="3" l="1"/>
  <c r="J48" i="3"/>
  <c r="B21" i="1" l="1"/>
  <c r="C75" i="2"/>
  <c r="G70" i="2"/>
  <c r="H70" i="2" s="1"/>
  <c r="B67" i="2"/>
  <c r="B68" i="2" s="1"/>
  <c r="G66" i="2"/>
  <c r="H66" i="2" s="1"/>
  <c r="H62" i="2"/>
  <c r="G62" i="2"/>
  <c r="E56" i="2"/>
  <c r="B55" i="2"/>
  <c r="B45" i="2"/>
  <c r="D48" i="2" s="1"/>
  <c r="D49" i="2" s="1"/>
  <c r="F42" i="2"/>
  <c r="D42" i="2"/>
  <c r="G41" i="2"/>
  <c r="E41" i="2"/>
  <c r="B34" i="2"/>
  <c r="D44" i="2" s="1"/>
  <c r="B30" i="2"/>
  <c r="B53" i="1"/>
  <c r="E51" i="1"/>
  <c r="D51" i="1"/>
  <c r="C51" i="1"/>
  <c r="B51" i="1"/>
  <c r="B52" i="1" s="1"/>
  <c r="E30" i="1"/>
  <c r="D30" i="1"/>
  <c r="C30" i="1" l="1"/>
  <c r="B30" i="1"/>
  <c r="B31" i="1" s="1"/>
  <c r="B32" i="1"/>
  <c r="D45" i="2"/>
  <c r="F44" i="2"/>
  <c r="F45" i="2" s="1"/>
  <c r="F46" i="2" l="1"/>
  <c r="G38" i="2"/>
  <c r="G40" i="2"/>
  <c r="G39" i="2"/>
  <c r="D46" i="2"/>
  <c r="E39" i="2"/>
  <c r="E40" i="2"/>
  <c r="E38" i="2"/>
  <c r="G42" i="2" l="1"/>
  <c r="D52" i="2"/>
  <c r="E42" i="2"/>
  <c r="D50" i="2"/>
  <c r="D51" i="2" l="1"/>
  <c r="G68" i="2"/>
  <c r="H68" i="2" s="1"/>
  <c r="G63" i="2"/>
  <c r="H63" i="2" s="1"/>
  <c r="G67" i="2"/>
  <c r="H67" i="2" s="1"/>
  <c r="G65" i="2"/>
  <c r="H65" i="2" s="1"/>
  <c r="G59" i="2"/>
  <c r="H59" i="2" s="1"/>
  <c r="G69" i="2"/>
  <c r="H69" i="2" s="1"/>
  <c r="G64" i="2"/>
  <c r="H64" i="2" s="1"/>
  <c r="G61" i="2"/>
  <c r="H61" i="2" s="1"/>
  <c r="G60" i="2"/>
  <c r="H60" i="2" s="1"/>
  <c r="H71" i="2" l="1"/>
  <c r="G75" i="2" s="1"/>
  <c r="H73" i="2"/>
  <c r="H72" i="2" l="1"/>
</calcChain>
</file>

<file path=xl/sharedStrings.xml><?xml version="1.0" encoding="utf-8"?>
<sst xmlns="http://schemas.openxmlformats.org/spreadsheetml/2006/main" count="202" uniqueCount="111">
  <si>
    <t>HPLC System Suitability Report</t>
  </si>
  <si>
    <t>Analysis Data</t>
  </si>
  <si>
    <t>Assay</t>
  </si>
  <si>
    <t>Sample(s)</t>
  </si>
  <si>
    <t>Reference Substance:</t>
  </si>
  <si>
    <t>NOVOMIX 50 FLEXPEN</t>
  </si>
  <si>
    <t>% age Purity:</t>
  </si>
  <si>
    <t>NDQD201802325</t>
  </si>
  <si>
    <t>Weight (mg):</t>
  </si>
  <si>
    <t>Standard Conc (mg/mL):</t>
  </si>
  <si>
    <t>1 mL suspension contains 100 U (3.5 mg) of insulin aspart (rDNA) (soluble insulin aspart 50% and insulin aspart crystalised with protamine 50%), glycerol, phenol,metacresol, zinc (as chloride), sodium chloride, disodium  phosphate dihydrate, protamine sul</t>
  </si>
  <si>
    <t>2018-02-20 12:26:46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</si>
  <si>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</si>
  <si>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</si>
  <si>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</si>
  <si>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</si>
  <si>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</si>
  <si>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</si>
  <si>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</si>
  <si>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</si>
  <si>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</si>
  <si>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</si>
  <si>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</si>
  <si>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</si>
  <si>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</si>
  <si>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</si>
  <si>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</si>
  <si>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</si>
  <si>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</si>
  <si>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</si>
  <si>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Laoboratory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</si>
  <si>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</si>
  <si>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</si>
  <si>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</si>
  <si>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</si>
  <si>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</si>
  <si>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</si>
  <si>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</si>
  <si>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</si>
  <si>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</si>
  <si>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</si>
  <si>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</si>
  <si>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</si>
  <si>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</si>
  <si>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</si>
  <si>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</si>
  <si>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</si>
  <si>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</si>
  <si>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</si>
  <si>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</si>
  <si>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</si>
  <si>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</si>
  <si>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</si>
  <si>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</si>
  <si>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</si>
  <si>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</si>
  <si>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Desired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</si>
  <si>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</si>
  <si>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</si>
  <si>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</si>
  <si>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</si>
  <si>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</si>
  <si>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</si>
  <si>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</si>
  <si>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Amt of RS (iu):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</si>
  <si>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</si>
  <si>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Amt of RS as free base (iu):</t>
  </si>
  <si>
    <t>Standard Dilution Factor</t>
  </si>
  <si>
    <t>Purity correction:</t>
  </si>
  <si>
    <t>If there are no serial dilutions, or only one dilution, enter 1 in all boxes not used.</t>
  </si>
  <si>
    <t>Conc ((iu/mL):</t>
  </si>
  <si>
    <t>Desired Concetration (iu/mL):</t>
  </si>
  <si>
    <t>Desired Weight as free base (iu):</t>
  </si>
  <si>
    <t>Desired Weight as salt (iu):</t>
  </si>
  <si>
    <t>Average Desired Response:</t>
  </si>
  <si>
    <t>RSD:</t>
  </si>
  <si>
    <t>Determination of Amoxicillin Content in Sample</t>
  </si>
  <si>
    <t xml:space="preserve">Label Claim: </t>
  </si>
  <si>
    <t>Each</t>
  </si>
  <si>
    <t>contains</t>
  </si>
  <si>
    <t>Initial Sample dilution (mL):</t>
  </si>
  <si>
    <t>Sample Vol (mL)</t>
  </si>
  <si>
    <t>Determined Amt (iu)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</si>
  <si>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</si>
  <si>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</si>
  <si>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</si>
  <si>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</si>
  <si>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</si>
  <si>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</si>
  <si>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</si>
  <si>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</si>
  <si>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</si>
  <si>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</si>
  <si>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</si>
  <si>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</si>
  <si>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</si>
  <si>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Volume (mL):</t>
  </si>
  <si>
    <t>Comment:</t>
  </si>
  <si>
    <t xml:space="preserve">The content of </t>
  </si>
  <si>
    <t xml:space="preserve">in the sample as a percentage of the stated  label claim is </t>
  </si>
  <si>
    <t>Insulin aspart</t>
  </si>
  <si>
    <t>I28-1</t>
  </si>
  <si>
    <t>SARAH</t>
  </si>
  <si>
    <t>Insulin Aspart</t>
  </si>
  <si>
    <t xml:space="preserve"> </t>
  </si>
  <si>
    <t>Insulin</t>
  </si>
  <si>
    <t>Concentration of RS (iu/mL):</t>
  </si>
  <si>
    <t>Standards</t>
  </si>
  <si>
    <t>Sample</t>
  </si>
  <si>
    <t>sarah kariuki</t>
  </si>
  <si>
    <t>21/03/2018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</si>
</sst>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\ &quot;iu&quot;"/>
    <numFmt numFmtId="171" formatCode="0.00\ &quot;%&quot;"/>
    <numFmt numFmtId="172" formatCode="0.0\ &quot;%&quot;"/>
  </numFmts>
  <fonts count="22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20"/>
      <color rgb="FF000000"/>
      <name val="Calibri"/>
      <family val="2"/>
    </font>
    <font>
      <b/>
      <sz val="22"/>
      <color rgb="FF000000"/>
      <name val="Book Antiqua"/>
      <family val="1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0.249977111117893"/>
        <bgColor indexed="64"/>
      </patternFill>
    </fill>
  </fills>
  <borders count="8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9" fillId="2" borderId="0"/>
  </cellStyleXfs>
  <cellXfs count="30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0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0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1" fillId="3" borderId="0" xfId="0" applyFont="1" applyFill="1" applyAlignment="1" applyProtection="1">
      <alignment horizontal="center"/>
      <protection locked="0"/>
    </xf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15" fillId="2" borderId="0" xfId="0" applyFont="1" applyFill="1"/>
    <xf numFmtId="0" fontId="9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1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1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right"/>
    </xf>
    <xf numFmtId="168" fontId="9" fillId="6" borderId="22" xfId="0" applyNumberFormat="1" applyFont="1" applyFill="1" applyBorder="1" applyAlignment="1">
      <alignment horizontal="center"/>
    </xf>
    <xf numFmtId="0" fontId="8" fillId="2" borderId="24" xfId="0" applyFont="1" applyFill="1" applyBorder="1" applyAlignment="1">
      <alignment horizontal="right"/>
    </xf>
    <xf numFmtId="0" fontId="8" fillId="2" borderId="0" xfId="0" applyFont="1" applyFill="1"/>
    <xf numFmtId="0" fontId="8" fillId="2" borderId="16" xfId="0" applyFont="1" applyFill="1" applyBorder="1" applyAlignment="1">
      <alignment horizontal="right"/>
    </xf>
    <xf numFmtId="2" fontId="8" fillId="6" borderId="2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6" borderId="27" xfId="0" applyNumberFormat="1" applyFont="1" applyFill="1" applyBorder="1" applyAlignment="1">
      <alignment horizontal="center"/>
    </xf>
    <xf numFmtId="2" fontId="8" fillId="7" borderId="26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7" borderId="27" xfId="0" applyNumberFormat="1" applyFont="1" applyFill="1" applyBorder="1" applyAlignment="1">
      <alignment horizontal="center"/>
    </xf>
    <xf numFmtId="2" fontId="8" fillId="6" borderId="28" xfId="0" applyNumberFormat="1" applyFont="1" applyFill="1" applyBorder="1" applyAlignment="1">
      <alignment horizontal="center"/>
    </xf>
    <xf numFmtId="0" fontId="11" fillId="3" borderId="26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23" xfId="0" applyFont="1" applyFill="1" applyBorder="1" applyAlignment="1">
      <alignment horizontal="right"/>
    </xf>
    <xf numFmtId="2" fontId="8" fillId="6" borderId="29" xfId="0" applyNumberFormat="1" applyFont="1" applyFill="1" applyBorder="1" applyAlignment="1">
      <alignment horizontal="center"/>
    </xf>
    <xf numFmtId="168" fontId="8" fillId="2" borderId="0" xfId="0" applyNumberFormat="1" applyFont="1" applyFill="1" applyAlignment="1">
      <alignment horizontal="center"/>
    </xf>
    <xf numFmtId="0" fontId="8" fillId="2" borderId="30" xfId="0" applyFont="1" applyFill="1" applyBorder="1" applyAlignment="1">
      <alignment horizontal="right"/>
    </xf>
    <xf numFmtId="168" fontId="9" fillId="7" borderId="30" xfId="0" applyNumberFormat="1" applyFont="1" applyFill="1" applyBorder="1" applyAlignment="1">
      <alignment horizontal="center"/>
    </xf>
    <xf numFmtId="0" fontId="8" fillId="2" borderId="27" xfId="0" applyFont="1" applyFill="1" applyBorder="1" applyAlignment="1">
      <alignment horizontal="right"/>
    </xf>
    <xf numFmtId="10" fontId="8" fillId="6" borderId="27" xfId="0" applyNumberFormat="1" applyFont="1" applyFill="1" applyBorder="1" applyAlignment="1">
      <alignment horizontal="center"/>
    </xf>
    <xf numFmtId="0" fontId="8" fillId="2" borderId="28" xfId="0" applyFont="1" applyFill="1" applyBorder="1" applyAlignment="1">
      <alignment horizontal="right"/>
    </xf>
    <xf numFmtId="0" fontId="8" fillId="7" borderId="28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169" fontId="11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center"/>
    </xf>
    <xf numFmtId="170" fontId="11" fillId="3" borderId="0" xfId="0" applyNumberFormat="1" applyFont="1" applyFill="1" applyAlignment="1" applyProtection="1">
      <alignment horizontal="center"/>
      <protection locked="0"/>
    </xf>
    <xf numFmtId="0" fontId="10" fillId="3" borderId="13" xfId="0" applyFont="1" applyFill="1" applyBorder="1" applyAlignment="1" applyProtection="1">
      <alignment horizontal="center"/>
      <protection locked="0"/>
    </xf>
    <xf numFmtId="2" fontId="9" fillId="2" borderId="3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10" fillId="3" borderId="15" xfId="0" applyFont="1" applyFill="1" applyBorder="1" applyAlignment="1" applyProtection="1">
      <alignment horizontal="center"/>
      <protection locked="0"/>
    </xf>
    <xf numFmtId="10" fontId="8" fillId="2" borderId="31" xfId="0" applyNumberFormat="1" applyFont="1" applyFill="1" applyBorder="1" applyAlignment="1">
      <alignment horizontal="center" vertical="center"/>
    </xf>
    <xf numFmtId="10" fontId="8" fillId="2" borderId="32" xfId="0" applyNumberFormat="1" applyFont="1" applyFill="1" applyBorder="1" applyAlignment="1">
      <alignment horizontal="center" vertical="center"/>
    </xf>
    <xf numFmtId="10" fontId="8" fillId="2" borderId="33" xfId="0" applyNumberFormat="1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right"/>
    </xf>
    <xf numFmtId="0" fontId="10" fillId="2" borderId="35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11" fillId="7" borderId="19" xfId="0" applyNumberFormat="1" applyFont="1" applyFill="1" applyBorder="1" applyAlignment="1">
      <alignment horizontal="center"/>
    </xf>
    <xf numFmtId="10" fontId="11" fillId="6" borderId="36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11" fillId="7" borderId="3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4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8" fillId="2" borderId="11" xfId="0" applyFont="1" applyFill="1" applyBorder="1" applyProtection="1">
      <protection locked="0"/>
    </xf>
    <xf numFmtId="0" fontId="8" fillId="2" borderId="11" xfId="0" applyFont="1" applyFill="1" applyBorder="1"/>
    <xf numFmtId="10" fontId="8" fillId="2" borderId="43" xfId="0" applyNumberFormat="1" applyFont="1" applyFill="1" applyBorder="1" applyAlignment="1">
      <alignment horizontal="center" vertical="center"/>
    </xf>
    <xf numFmtId="10" fontId="8" fillId="2" borderId="30" xfId="0" applyNumberFormat="1" applyFont="1" applyFill="1" applyBorder="1" applyAlignment="1">
      <alignment horizontal="center" vertical="center"/>
    </xf>
    <xf numFmtId="0" fontId="10" fillId="2" borderId="0" xfId="0" applyFont="1" applyFill="1" applyAlignment="1" applyProtection="1">
      <alignment horizontal="right"/>
      <protection locked="0"/>
    </xf>
    <xf numFmtId="22" fontId="10" fillId="3" borderId="0" xfId="0" applyNumberFormat="1" applyFont="1" applyFill="1" applyAlignment="1" applyProtection="1">
      <alignment horizontal="left"/>
      <protection locked="0"/>
    </xf>
    <xf numFmtId="2" fontId="11" fillId="3" borderId="25" xfId="0" applyNumberFormat="1" applyFont="1" applyFill="1" applyBorder="1" applyAlignment="1" applyProtection="1">
      <alignment horizontal="center"/>
      <protection locked="0"/>
    </xf>
    <xf numFmtId="0" fontId="19" fillId="2" borderId="0" xfId="1" applyFill="1"/>
    <xf numFmtId="0" fontId="8" fillId="2" borderId="0" xfId="1" applyFont="1" applyFill="1"/>
    <xf numFmtId="0" fontId="3" fillId="2" borderId="0" xfId="1" applyFont="1" applyFill="1"/>
    <xf numFmtId="0" fontId="9" fillId="2" borderId="0" xfId="1" applyFont="1" applyFill="1"/>
    <xf numFmtId="0" fontId="10" fillId="2" borderId="0" xfId="1" applyFont="1" applyFill="1"/>
    <xf numFmtId="0" fontId="10" fillId="3" borderId="0" xfId="1" applyFont="1" applyFill="1" applyAlignment="1" applyProtection="1">
      <alignment horizontal="left"/>
      <protection locked="0"/>
    </xf>
    <xf numFmtId="0" fontId="10" fillId="2" borderId="0" xfId="1" applyFont="1" applyFill="1" applyAlignment="1" applyProtection="1">
      <alignment horizontal="right"/>
      <protection locked="0"/>
    </xf>
    <xf numFmtId="0" fontId="10" fillId="2" borderId="0" xfId="1" applyFont="1" applyFill="1" applyAlignment="1">
      <alignment horizontal="left"/>
    </xf>
    <xf numFmtId="166" fontId="8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9" fillId="2" borderId="0" xfId="1" applyFont="1" applyFill="1" applyAlignment="1">
      <alignment horizontal="right"/>
    </xf>
    <xf numFmtId="0" fontId="8" fillId="2" borderId="0" xfId="1" applyFont="1" applyFill="1" applyAlignment="1">
      <alignment horizontal="right"/>
    </xf>
    <xf numFmtId="0" fontId="9" fillId="2" borderId="0" xfId="1" applyFont="1" applyFill="1" applyAlignment="1">
      <alignment horizontal="left"/>
    </xf>
    <xf numFmtId="0" fontId="8" fillId="2" borderId="0" xfId="1" applyFont="1" applyFill="1" applyAlignment="1">
      <alignment horizontal="center"/>
    </xf>
    <xf numFmtId="0" fontId="8" fillId="2" borderId="0" xfId="1" applyFont="1" applyFill="1" applyAlignment="1">
      <alignment horizontal="left"/>
    </xf>
    <xf numFmtId="169" fontId="11" fillId="3" borderId="0" xfId="1" applyNumberFormat="1" applyFont="1" applyFill="1" applyAlignment="1" applyProtection="1">
      <alignment horizontal="center"/>
      <protection locked="0"/>
    </xf>
    <xf numFmtId="170" fontId="11" fillId="3" borderId="0" xfId="1" applyNumberFormat="1" applyFont="1" applyFill="1" applyAlignment="1" applyProtection="1">
      <alignment horizontal="center"/>
      <protection locked="0"/>
    </xf>
    <xf numFmtId="2" fontId="8" fillId="2" borderId="0" xfId="1" applyNumberFormat="1" applyFont="1" applyFill="1" applyAlignment="1">
      <alignment horizontal="center"/>
    </xf>
    <xf numFmtId="0" fontId="10" fillId="2" borderId="0" xfId="1" applyFont="1" applyFill="1" applyAlignment="1" applyProtection="1">
      <alignment horizontal="left"/>
      <protection locked="0"/>
    </xf>
    <xf numFmtId="0" fontId="9" fillId="2" borderId="0" xfId="1" applyFont="1" applyFill="1" applyAlignment="1">
      <alignment horizontal="center"/>
    </xf>
    <xf numFmtId="0" fontId="15" fillId="2" borderId="0" xfId="1" applyFont="1" applyFill="1"/>
    <xf numFmtId="0" fontId="12" fillId="2" borderId="0" xfId="1" applyFont="1" applyFill="1" applyAlignment="1">
      <alignment vertical="center" wrapText="1"/>
    </xf>
    <xf numFmtId="0" fontId="9" fillId="2" borderId="44" xfId="1" applyFont="1" applyFill="1" applyBorder="1" applyAlignment="1">
      <alignment horizontal="center"/>
    </xf>
    <xf numFmtId="0" fontId="9" fillId="2" borderId="45" xfId="1" applyFont="1" applyFill="1" applyBorder="1" applyAlignment="1">
      <alignment horizontal="center"/>
    </xf>
    <xf numFmtId="0" fontId="9" fillId="2" borderId="31" xfId="1" applyFont="1" applyFill="1" applyBorder="1" applyAlignment="1">
      <alignment horizontal="center"/>
    </xf>
    <xf numFmtId="0" fontId="9" fillId="2" borderId="13" xfId="1" applyFont="1" applyFill="1" applyBorder="1" applyAlignment="1">
      <alignment horizontal="center"/>
    </xf>
    <xf numFmtId="0" fontId="9" fillId="2" borderId="10" xfId="1" applyFont="1" applyFill="1" applyBorder="1" applyAlignment="1">
      <alignment horizontal="center"/>
    </xf>
    <xf numFmtId="0" fontId="9" fillId="2" borderId="46" xfId="1" applyFont="1" applyFill="1" applyBorder="1" applyAlignment="1">
      <alignment horizontal="center"/>
    </xf>
    <xf numFmtId="0" fontId="9" fillId="2" borderId="47" xfId="1" applyFont="1" applyFill="1" applyBorder="1" applyAlignment="1">
      <alignment horizontal="center"/>
    </xf>
    <xf numFmtId="0" fontId="9" fillId="2" borderId="48" xfId="1" applyFont="1" applyFill="1" applyBorder="1" applyAlignment="1">
      <alignment horizontal="center"/>
    </xf>
    <xf numFmtId="0" fontId="9" fillId="2" borderId="49" xfId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/>
    </xf>
    <xf numFmtId="0" fontId="10" fillId="3" borderId="12" xfId="1" applyFont="1" applyFill="1" applyBorder="1" applyAlignment="1" applyProtection="1">
      <alignment horizontal="center"/>
      <protection locked="0"/>
    </xf>
    <xf numFmtId="2" fontId="8" fillId="2" borderId="50" xfId="1" applyNumberFormat="1" applyFont="1" applyFill="1" applyBorder="1" applyAlignment="1">
      <alignment horizontal="center"/>
    </xf>
    <xf numFmtId="171" fontId="8" fillId="2" borderId="49" xfId="1" applyNumberFormat="1" applyFont="1" applyFill="1" applyBorder="1" applyAlignment="1">
      <alignment horizontal="center" vertical="center"/>
    </xf>
    <xf numFmtId="0" fontId="8" fillId="2" borderId="18" xfId="1" applyFont="1" applyFill="1" applyBorder="1" applyAlignment="1">
      <alignment horizontal="center"/>
    </xf>
    <xf numFmtId="0" fontId="11" fillId="3" borderId="51" xfId="1" applyFont="1" applyFill="1" applyBorder="1" applyAlignment="1" applyProtection="1">
      <alignment horizontal="center"/>
      <protection locked="0"/>
    </xf>
    <xf numFmtId="168" fontId="8" fillId="2" borderId="52" xfId="1" applyNumberFormat="1" applyFont="1" applyFill="1" applyBorder="1" applyAlignment="1">
      <alignment horizontal="center"/>
    </xf>
    <xf numFmtId="168" fontId="8" fillId="2" borderId="53" xfId="1" applyNumberFormat="1" applyFont="1" applyFill="1" applyBorder="1" applyAlignment="1">
      <alignment horizontal="center"/>
    </xf>
    <xf numFmtId="0" fontId="9" fillId="2" borderId="54" xfId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/>
    </xf>
    <xf numFmtId="0" fontId="10" fillId="3" borderId="14" xfId="1" applyFont="1" applyFill="1" applyBorder="1" applyAlignment="1" applyProtection="1">
      <alignment horizontal="center"/>
      <protection locked="0"/>
    </xf>
    <xf numFmtId="2" fontId="8" fillId="2" borderId="55" xfId="1" applyNumberFormat="1" applyFont="1" applyFill="1" applyBorder="1" applyAlignment="1">
      <alignment horizontal="center"/>
    </xf>
    <xf numFmtId="171" fontId="8" fillId="2" borderId="54" xfId="1" applyNumberFormat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/>
    </xf>
    <xf numFmtId="0" fontId="11" fillId="3" borderId="55" xfId="1" applyFont="1" applyFill="1" applyBorder="1" applyAlignment="1" applyProtection="1">
      <alignment horizontal="center"/>
      <protection locked="0"/>
    </xf>
    <xf numFmtId="168" fontId="8" fillId="2" borderId="56" xfId="1" applyNumberFormat="1" applyFont="1" applyFill="1" applyBorder="1" applyAlignment="1">
      <alignment horizontal="center"/>
    </xf>
    <xf numFmtId="168" fontId="8" fillId="2" borderId="57" xfId="1" applyNumberFormat="1" applyFont="1" applyFill="1" applyBorder="1" applyAlignment="1">
      <alignment horizontal="center"/>
    </xf>
    <xf numFmtId="0" fontId="9" fillId="2" borderId="58" xfId="1" applyFont="1" applyFill="1" applyBorder="1" applyAlignment="1">
      <alignment horizontal="center" vertical="center"/>
    </xf>
    <xf numFmtId="0" fontId="8" fillId="2" borderId="35" xfId="1" applyFont="1" applyFill="1" applyBorder="1" applyAlignment="1">
      <alignment horizontal="center"/>
    </xf>
    <xf numFmtId="0" fontId="10" fillId="3" borderId="34" xfId="1" applyFont="1" applyFill="1" applyBorder="1" applyAlignment="1" applyProtection="1">
      <alignment horizontal="center"/>
      <protection locked="0"/>
    </xf>
    <xf numFmtId="2" fontId="8" fillId="2" borderId="59" xfId="1" applyNumberFormat="1" applyFont="1" applyFill="1" applyBorder="1" applyAlignment="1">
      <alignment horizontal="center"/>
    </xf>
    <xf numFmtId="171" fontId="8" fillId="2" borderId="60" xfId="1" applyNumberFormat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/>
    </xf>
    <xf numFmtId="0" fontId="11" fillId="3" borderId="61" xfId="1" applyFont="1" applyFill="1" applyBorder="1" applyAlignment="1" applyProtection="1">
      <alignment horizontal="center"/>
      <protection locked="0"/>
    </xf>
    <xf numFmtId="168" fontId="8" fillId="2" borderId="62" xfId="1" applyNumberFormat="1" applyFont="1" applyFill="1" applyBorder="1" applyAlignment="1">
      <alignment horizontal="center"/>
    </xf>
    <xf numFmtId="168" fontId="8" fillId="2" borderId="63" xfId="1" applyNumberFormat="1" applyFont="1" applyFill="1" applyBorder="1" applyAlignment="1">
      <alignment horizontal="center"/>
    </xf>
    <xf numFmtId="0" fontId="9" fillId="2" borderId="64" xfId="1" applyFont="1" applyFill="1" applyBorder="1" applyAlignment="1">
      <alignment horizontal="center" vertical="center"/>
    </xf>
    <xf numFmtId="2" fontId="8" fillId="2" borderId="49" xfId="1" applyNumberFormat="1" applyFont="1" applyFill="1" applyBorder="1" applyAlignment="1">
      <alignment horizontal="center"/>
    </xf>
    <xf numFmtId="0" fontId="8" fillId="2" borderId="0" xfId="1" applyFont="1" applyFill="1" applyBorder="1" applyAlignment="1">
      <alignment horizontal="right"/>
    </xf>
    <xf numFmtId="1" fontId="9" fillId="6" borderId="65" xfId="1" applyNumberFormat="1" applyFont="1" applyFill="1" applyBorder="1" applyAlignment="1">
      <alignment horizontal="center"/>
    </xf>
    <xf numFmtId="168" fontId="9" fillId="6" borderId="66" xfId="1" applyNumberFormat="1" applyFont="1" applyFill="1" applyBorder="1" applyAlignment="1">
      <alignment horizontal="center"/>
    </xf>
    <xf numFmtId="168" fontId="9" fillId="6" borderId="67" xfId="1" applyNumberFormat="1" applyFont="1" applyFill="1" applyBorder="1" applyAlignment="1">
      <alignment horizontal="center"/>
    </xf>
    <xf numFmtId="2" fontId="8" fillId="2" borderId="54" xfId="1" applyNumberFormat="1" applyFont="1" applyFill="1" applyBorder="1" applyAlignment="1">
      <alignment horizontal="center"/>
    </xf>
    <xf numFmtId="0" fontId="8" fillId="2" borderId="41" xfId="1" applyFont="1" applyFill="1" applyBorder="1" applyAlignment="1">
      <alignment horizontal="right"/>
    </xf>
    <xf numFmtId="0" fontId="11" fillId="3" borderId="68" xfId="1" applyFont="1" applyFill="1" applyBorder="1" applyAlignment="1" applyProtection="1">
      <alignment horizontal="center"/>
      <protection locked="0"/>
    </xf>
    <xf numFmtId="0" fontId="11" fillId="3" borderId="69" xfId="1" applyFont="1" applyFill="1" applyBorder="1" applyAlignment="1" applyProtection="1">
      <alignment horizontal="center"/>
      <protection locked="0"/>
    </xf>
    <xf numFmtId="0" fontId="8" fillId="2" borderId="70" xfId="1" applyFont="1" applyFill="1" applyBorder="1" applyAlignment="1">
      <alignment horizontal="right"/>
    </xf>
    <xf numFmtId="0" fontId="11" fillId="3" borderId="71" xfId="1" applyFont="1" applyFill="1" applyBorder="1" applyAlignment="1" applyProtection="1">
      <alignment horizontal="center"/>
      <protection locked="0"/>
    </xf>
    <xf numFmtId="2" fontId="8" fillId="2" borderId="0" xfId="1" applyNumberFormat="1" applyFont="1" applyFill="1" applyBorder="1" applyAlignment="1">
      <alignment horizontal="center"/>
    </xf>
    <xf numFmtId="2" fontId="8" fillId="2" borderId="60" xfId="1" applyNumberFormat="1" applyFont="1" applyFill="1" applyBorder="1" applyAlignment="1">
      <alignment horizontal="center"/>
    </xf>
    <xf numFmtId="0" fontId="8" fillId="2" borderId="20" xfId="1" applyFont="1" applyFill="1" applyBorder="1" applyAlignment="1">
      <alignment horizontal="right"/>
    </xf>
    <xf numFmtId="168" fontId="9" fillId="7" borderId="72" xfId="1" applyNumberFormat="1" applyFont="1" applyFill="1" applyBorder="1" applyAlignment="1">
      <alignment horizontal="center"/>
    </xf>
    <xf numFmtId="168" fontId="9" fillId="2" borderId="0" xfId="1" applyNumberFormat="1" applyFont="1" applyFill="1" applyBorder="1" applyAlignment="1">
      <alignment horizontal="center"/>
    </xf>
    <xf numFmtId="1" fontId="8" fillId="2" borderId="0" xfId="1" applyNumberFormat="1" applyFont="1" applyFill="1" applyAlignment="1">
      <alignment horizontal="center"/>
    </xf>
    <xf numFmtId="10" fontId="8" fillId="6" borderId="71" xfId="1" applyNumberFormat="1" applyFont="1" applyFill="1" applyBorder="1" applyAlignment="1">
      <alignment horizontal="center"/>
    </xf>
    <xf numFmtId="0" fontId="8" fillId="2" borderId="73" xfId="1" applyFont="1" applyFill="1" applyBorder="1" applyAlignment="1">
      <alignment horizontal="right"/>
    </xf>
    <xf numFmtId="0" fontId="8" fillId="7" borderId="74" xfId="1" applyFont="1" applyFill="1" applyBorder="1" applyAlignment="1">
      <alignment horizontal="center"/>
    </xf>
    <xf numFmtId="168" fontId="8" fillId="2" borderId="0" xfId="1" applyNumberFormat="1" applyFont="1" applyFill="1" applyAlignment="1">
      <alignment horizontal="center"/>
    </xf>
    <xf numFmtId="0" fontId="9" fillId="2" borderId="60" xfId="1" applyFont="1" applyFill="1" applyBorder="1" applyAlignment="1">
      <alignment horizontal="center" vertical="center"/>
    </xf>
    <xf numFmtId="0" fontId="8" fillId="2" borderId="30" xfId="1" applyFont="1" applyFill="1" applyBorder="1" applyAlignment="1">
      <alignment horizontal="right"/>
    </xf>
    <xf numFmtId="171" fontId="8" fillId="8" borderId="54" xfId="1" applyNumberFormat="1" applyFont="1" applyFill="1" applyBorder="1" applyAlignment="1">
      <alignment horizontal="center" vertical="center"/>
    </xf>
    <xf numFmtId="0" fontId="8" fillId="2" borderId="27" xfId="1" applyFont="1" applyFill="1" applyBorder="1" applyAlignment="1">
      <alignment horizontal="right"/>
    </xf>
    <xf numFmtId="10" fontId="11" fillId="6" borderId="36" xfId="1" applyNumberFormat="1" applyFont="1" applyFill="1" applyBorder="1" applyAlignment="1">
      <alignment horizontal="center"/>
    </xf>
    <xf numFmtId="0" fontId="8" fillId="2" borderId="28" xfId="1" applyFont="1" applyFill="1" applyBorder="1" applyAlignment="1">
      <alignment horizontal="right"/>
    </xf>
    <xf numFmtId="0" fontId="11" fillId="7" borderId="37" xfId="1" applyFont="1" applyFill="1" applyBorder="1" applyAlignment="1">
      <alignment horizontal="center"/>
    </xf>
    <xf numFmtId="172" fontId="11" fillId="2" borderId="0" xfId="1" applyNumberFormat="1" applyFont="1" applyFill="1" applyAlignment="1">
      <alignment horizontal="center"/>
    </xf>
    <xf numFmtId="0" fontId="14" fillId="2" borderId="9" xfId="1" applyFont="1" applyFill="1" applyBorder="1" applyAlignment="1">
      <alignment horizontal="right" vertical="center" wrapText="1"/>
    </xf>
    <xf numFmtId="0" fontId="8" fillId="2" borderId="9" xfId="1" applyFont="1" applyFill="1" applyBorder="1"/>
    <xf numFmtId="0" fontId="8" fillId="2" borderId="7" xfId="1" applyFont="1" applyFill="1" applyBorder="1" applyProtection="1">
      <protection locked="0"/>
    </xf>
    <xf numFmtId="0" fontId="8" fillId="2" borderId="7" xfId="1" applyFont="1" applyFill="1" applyBorder="1"/>
    <xf numFmtId="0" fontId="9" fillId="2" borderId="11" xfId="1" applyFont="1" applyFill="1" applyBorder="1" applyProtection="1">
      <protection locked="0"/>
    </xf>
    <xf numFmtId="0" fontId="8" fillId="2" borderId="11" xfId="1" applyFont="1" applyFill="1" applyBorder="1" applyProtection="1">
      <protection locked="0"/>
    </xf>
    <xf numFmtId="0" fontId="8" fillId="2" borderId="11" xfId="1" applyFont="1" applyFill="1" applyBorder="1"/>
    <xf numFmtId="22" fontId="10" fillId="3" borderId="0" xfId="1" applyNumberFormat="1" applyFont="1" applyFill="1" applyAlignment="1" applyProtection="1">
      <alignment horizontal="left"/>
      <protection locked="0"/>
    </xf>
    <xf numFmtId="0" fontId="20" fillId="2" borderId="0" xfId="1" applyFont="1" applyFill="1" applyAlignment="1">
      <alignment vertical="center" wrapText="1"/>
    </xf>
    <xf numFmtId="0" fontId="21" fillId="2" borderId="0" xfId="1" applyFont="1" applyFill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8" fontId="8" fillId="2" borderId="0" xfId="0" applyNumberFormat="1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1" fontId="9" fillId="6" borderId="75" xfId="0" applyNumberFormat="1" applyFont="1" applyFill="1" applyBorder="1" applyAlignment="1">
      <alignment horizontal="center"/>
    </xf>
    <xf numFmtId="1" fontId="9" fillId="6" borderId="76" xfId="0" applyNumberFormat="1" applyFont="1" applyFill="1" applyBorder="1" applyAlignment="1">
      <alignment horizontal="center"/>
    </xf>
    <xf numFmtId="0" fontId="11" fillId="3" borderId="49" xfId="0" applyFont="1" applyFill="1" applyBorder="1" applyAlignment="1" applyProtection="1">
      <alignment horizontal="center"/>
      <protection locked="0"/>
    </xf>
    <xf numFmtId="0" fontId="11" fillId="3" borderId="54" xfId="0" applyFont="1" applyFill="1" applyBorder="1" applyAlignment="1" applyProtection="1">
      <alignment horizontal="center"/>
      <protection locked="0"/>
    </xf>
    <xf numFmtId="0" fontId="11" fillId="3" borderId="60" xfId="0" applyFont="1" applyFill="1" applyBorder="1" applyAlignment="1" applyProtection="1">
      <alignment horizontal="center"/>
      <protection locked="0"/>
    </xf>
    <xf numFmtId="168" fontId="8" fillId="2" borderId="77" xfId="0" applyNumberFormat="1" applyFont="1" applyFill="1" applyBorder="1" applyAlignment="1">
      <alignment horizontal="center"/>
    </xf>
    <xf numFmtId="168" fontId="8" fillId="2" borderId="78" xfId="0" applyNumberFormat="1" applyFont="1" applyFill="1" applyBorder="1" applyAlignment="1">
      <alignment horizontal="center"/>
    </xf>
    <xf numFmtId="168" fontId="8" fillId="2" borderId="79" xfId="0" applyNumberFormat="1" applyFont="1" applyFill="1" applyBorder="1" applyAlignment="1">
      <alignment horizontal="center"/>
    </xf>
    <xf numFmtId="168" fontId="8" fillId="2" borderId="80" xfId="0" applyNumberFormat="1" applyFont="1" applyFill="1" applyBorder="1" applyAlignment="1">
      <alignment horizontal="center"/>
    </xf>
    <xf numFmtId="168" fontId="8" fillId="2" borderId="81" xfId="0" applyNumberFormat="1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2" fontId="8" fillId="2" borderId="10" xfId="0" applyNumberFormat="1" applyFont="1" applyFill="1" applyBorder="1" applyAlignment="1">
      <alignment horizontal="center"/>
    </xf>
    <xf numFmtId="2" fontId="8" fillId="2" borderId="0" xfId="0" applyNumberFormat="1" applyFont="1" applyFill="1" applyBorder="1" applyAlignment="1">
      <alignment horizontal="center"/>
    </xf>
    <xf numFmtId="2" fontId="8" fillId="2" borderId="9" xfId="0" applyNumberFormat="1" applyFont="1" applyFill="1" applyBorder="1" applyAlignment="1">
      <alignment horizontal="center"/>
    </xf>
    <xf numFmtId="0" fontId="10" fillId="3" borderId="49" xfId="0" applyFont="1" applyFill="1" applyBorder="1" applyAlignment="1" applyProtection="1">
      <alignment horizontal="center"/>
      <protection locked="0"/>
    </xf>
    <xf numFmtId="0" fontId="10" fillId="3" borderId="54" xfId="0" applyFont="1" applyFill="1" applyBorder="1" applyAlignment="1" applyProtection="1">
      <alignment horizontal="center"/>
      <protection locked="0"/>
    </xf>
    <xf numFmtId="0" fontId="10" fillId="3" borderId="60" xfId="0" applyFont="1" applyFill="1" applyBorder="1" applyAlignment="1" applyProtection="1">
      <alignment horizontal="center"/>
      <protection locked="0"/>
    </xf>
    <xf numFmtId="0" fontId="11" fillId="3" borderId="0" xfId="1" applyFont="1" applyFill="1" applyAlignment="1" applyProtection="1">
      <alignment horizontal="left"/>
      <protection locked="0"/>
    </xf>
    <xf numFmtId="0" fontId="10" fillId="3" borderId="0" xfId="1" applyFont="1" applyFill="1" applyAlignment="1" applyProtection="1">
      <alignment horizontal="left"/>
      <protection locked="0"/>
    </xf>
    <xf numFmtId="0" fontId="9" fillId="2" borderId="44" xfId="1" applyFont="1" applyFill="1" applyBorder="1" applyAlignment="1">
      <alignment horizontal="center"/>
    </xf>
    <xf numFmtId="0" fontId="9" fillId="2" borderId="45" xfId="1" applyFont="1" applyFill="1" applyBorder="1" applyAlignment="1">
      <alignment horizontal="center"/>
    </xf>
    <xf numFmtId="0" fontId="16" fillId="2" borderId="0" xfId="1" applyFont="1" applyFill="1" applyAlignment="1">
      <alignment horizontal="center" vertical="center"/>
    </xf>
    <xf numFmtId="0" fontId="17" fillId="2" borderId="0" xfId="1" applyFont="1" applyFill="1" applyAlignment="1">
      <alignment horizontal="center" vertical="center"/>
    </xf>
    <xf numFmtId="0" fontId="14" fillId="2" borderId="38" xfId="1" applyFont="1" applyFill="1" applyBorder="1" applyAlignment="1">
      <alignment horizontal="center"/>
    </xf>
    <xf numFmtId="0" fontId="14" fillId="2" borderId="39" xfId="1" applyFont="1" applyFill="1" applyBorder="1" applyAlignment="1">
      <alignment horizontal="center"/>
    </xf>
    <xf numFmtId="0" fontId="14" fillId="2" borderId="40" xfId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0" fillId="3" borderId="31" xfId="0" applyNumberFormat="1" applyFont="1" applyFill="1" applyBorder="1" applyAlignment="1" applyProtection="1">
      <alignment horizontal="center" vertical="center"/>
      <protection locked="0"/>
    </xf>
    <xf numFmtId="2" fontId="10" fillId="3" borderId="32" xfId="0" applyNumberFormat="1" applyFont="1" applyFill="1" applyBorder="1" applyAlignment="1" applyProtection="1">
      <alignment horizontal="center" vertical="center"/>
      <protection locked="0"/>
    </xf>
    <xf numFmtId="2" fontId="10" fillId="3" borderId="33" xfId="0" applyNumberFormat="1" applyFont="1" applyFill="1" applyBorder="1" applyAlignment="1" applyProtection="1">
      <alignment horizontal="center" vertical="center"/>
      <protection locked="0"/>
    </xf>
    <xf numFmtId="0" fontId="9" fillId="2" borderId="34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wrapText="1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38" xfId="0" applyFont="1" applyFill="1" applyBorder="1" applyAlignment="1">
      <alignment horizontal="left" vertical="center" wrapText="1"/>
    </xf>
    <xf numFmtId="0" fontId="14" fillId="2" borderId="39" xfId="0" applyFont="1" applyFill="1" applyBorder="1" applyAlignment="1">
      <alignment horizontal="left" vertical="center" wrapText="1"/>
    </xf>
    <xf numFmtId="0" fontId="14" fillId="2" borderId="40" xfId="0" applyFont="1" applyFill="1" applyBorder="1" applyAlignment="1">
      <alignment horizontal="left" vertical="center" wrapText="1"/>
    </xf>
    <xf numFmtId="0" fontId="9" fillId="2" borderId="41" xfId="0" applyFont="1" applyFill="1" applyBorder="1" applyAlignment="1">
      <alignment horizontal="center"/>
    </xf>
    <xf numFmtId="0" fontId="9" fillId="2" borderId="42" xfId="0" applyFont="1" applyFill="1" applyBorder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1" fillId="3" borderId="0" xfId="0" applyFont="1" applyFill="1" applyAlignment="1" applyProtection="1">
      <alignment horizontal="left"/>
      <protection locked="0"/>
    </xf>
    <xf numFmtId="0" fontId="14" fillId="2" borderId="38" xfId="0" applyFont="1" applyFill="1" applyBorder="1" applyAlignment="1">
      <alignment horizontal="center"/>
    </xf>
    <xf numFmtId="0" fontId="14" fillId="2" borderId="39" xfId="0" applyFont="1" applyFill="1" applyBorder="1" applyAlignment="1">
      <alignment horizontal="center"/>
    </xf>
    <xf numFmtId="0" fontId="14" fillId="2" borderId="40" xfId="0" applyFont="1" applyFill="1" applyBorder="1" applyAlignment="1">
      <alignment horizontal="center"/>
    </xf>
    <xf numFmtId="0" fontId="10" fillId="3" borderId="0" xfId="0" applyFont="1" applyFill="1" applyAlignment="1" applyProtection="1">
      <alignment horizontal="left" wrapText="1"/>
      <protection locked="0"/>
    </xf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view="pageBreakPreview" topLeftCell="A28" zoomScale="60" zoomScaleNormal="66" workbookViewId="0">
      <selection activeCell="B41" sqref="B41"/>
    </sheetView>
  </sheetViews>
  <sheetFormatPr defaultRowHeight="12.75" x14ac:dyDescent="0.2"/>
  <cols>
    <col min="1" max="1" width="39.42578125" style="146" bestFit="1" customWidth="1"/>
    <col min="2" max="2" width="32.7109375" style="146" customWidth="1"/>
    <col min="3" max="3" width="25.42578125" style="146" bestFit="1" customWidth="1"/>
    <col min="4" max="4" width="29" style="146" bestFit="1" customWidth="1"/>
    <col min="5" max="5" width="26" style="146" customWidth="1"/>
    <col min="6" max="6" width="19.5703125" style="146" customWidth="1"/>
    <col min="7" max="7" width="29.7109375" style="146" customWidth="1"/>
    <col min="8" max="8" width="32.42578125" style="146" customWidth="1"/>
    <col min="9" max="9" width="29" style="146" bestFit="1" customWidth="1"/>
    <col min="10" max="10" width="24.5703125" style="146" customWidth="1"/>
    <col min="11" max="16384" width="9.140625" style="146"/>
  </cols>
  <sheetData>
    <row r="1" spans="1:8" ht="14.25" customHeight="1" x14ac:dyDescent="0.2">
      <c r="A1" s="271" t="s">
        <v>30</v>
      </c>
      <c r="B1" s="271"/>
      <c r="C1" s="271"/>
      <c r="D1" s="271"/>
      <c r="E1" s="271"/>
      <c r="F1" s="271"/>
      <c r="G1" s="271"/>
      <c r="H1" s="271"/>
    </row>
    <row r="2" spans="1:8" ht="14.25" customHeight="1" x14ac:dyDescent="0.2">
      <c r="A2" s="271"/>
      <c r="B2" s="271"/>
      <c r="C2" s="271"/>
      <c r="D2" s="271"/>
      <c r="E2" s="271"/>
      <c r="F2" s="271"/>
      <c r="G2" s="271"/>
      <c r="H2" s="271"/>
    </row>
    <row r="3" spans="1:8" ht="14.25" customHeight="1" x14ac:dyDescent="0.2">
      <c r="A3" s="271"/>
      <c r="B3" s="271"/>
      <c r="C3" s="271"/>
      <c r="D3" s="271"/>
      <c r="E3" s="271"/>
      <c r="F3" s="271"/>
      <c r="G3" s="271"/>
      <c r="H3" s="271"/>
    </row>
    <row r="4" spans="1:8" ht="14.25" customHeight="1" x14ac:dyDescent="0.2">
      <c r="A4" s="271"/>
      <c r="B4" s="271"/>
      <c r="C4" s="271"/>
      <c r="D4" s="271"/>
      <c r="E4" s="271"/>
      <c r="F4" s="271"/>
      <c r="G4" s="271"/>
      <c r="H4" s="271"/>
    </row>
    <row r="5" spans="1:8" ht="14.25" customHeight="1" x14ac:dyDescent="0.2">
      <c r="A5" s="271"/>
      <c r="B5" s="271"/>
      <c r="C5" s="271"/>
      <c r="D5" s="271"/>
      <c r="E5" s="271"/>
      <c r="F5" s="271"/>
      <c r="G5" s="271"/>
      <c r="H5" s="271"/>
    </row>
    <row r="6" spans="1:8" ht="14.25" customHeight="1" x14ac:dyDescent="0.2">
      <c r="A6" s="271"/>
      <c r="B6" s="271"/>
      <c r="C6" s="271"/>
      <c r="D6" s="271"/>
      <c r="E6" s="271"/>
      <c r="F6" s="271"/>
      <c r="G6" s="271"/>
      <c r="H6" s="271"/>
    </row>
    <row r="7" spans="1:8" ht="14.25" customHeight="1" x14ac:dyDescent="0.2">
      <c r="A7" s="271"/>
      <c r="B7" s="271"/>
      <c r="C7" s="271"/>
      <c r="D7" s="271"/>
      <c r="E7" s="271"/>
      <c r="F7" s="271"/>
      <c r="G7" s="271"/>
      <c r="H7" s="271"/>
    </row>
    <row r="8" spans="1:8" ht="14.25" customHeight="1" x14ac:dyDescent="0.2">
      <c r="A8" s="272" t="s">
        <v>31</v>
      </c>
      <c r="B8" s="272"/>
      <c r="C8" s="272"/>
      <c r="D8" s="272"/>
      <c r="E8" s="272"/>
      <c r="F8" s="272"/>
      <c r="G8" s="272"/>
      <c r="H8" s="272"/>
    </row>
    <row r="9" spans="1:8" ht="14.25" customHeight="1" x14ac:dyDescent="0.2">
      <c r="A9" s="272"/>
      <c r="B9" s="272"/>
      <c r="C9" s="272"/>
      <c r="D9" s="272"/>
      <c r="E9" s="272"/>
      <c r="F9" s="272"/>
      <c r="G9" s="272"/>
      <c r="H9" s="272"/>
    </row>
    <row r="10" spans="1:8" ht="14.25" customHeight="1" x14ac:dyDescent="0.2">
      <c r="A10" s="272"/>
      <c r="B10" s="272"/>
      <c r="C10" s="272"/>
      <c r="D10" s="272"/>
      <c r="E10" s="272"/>
      <c r="F10" s="272"/>
      <c r="G10" s="272"/>
      <c r="H10" s="272"/>
    </row>
    <row r="11" spans="1:8" ht="14.25" customHeight="1" x14ac:dyDescent="0.2">
      <c r="A11" s="272"/>
      <c r="B11" s="272"/>
      <c r="C11" s="272"/>
      <c r="D11" s="272"/>
      <c r="E11" s="272"/>
      <c r="F11" s="272"/>
      <c r="G11" s="272"/>
      <c r="H11" s="272"/>
    </row>
    <row r="12" spans="1:8" ht="14.25" customHeight="1" x14ac:dyDescent="0.2">
      <c r="A12" s="272"/>
      <c r="B12" s="272"/>
      <c r="C12" s="272"/>
      <c r="D12" s="272"/>
      <c r="E12" s="272"/>
      <c r="F12" s="272"/>
      <c r="G12" s="272"/>
      <c r="H12" s="272"/>
    </row>
    <row r="13" spans="1:8" ht="14.25" customHeight="1" x14ac:dyDescent="0.2">
      <c r="A13" s="272"/>
      <c r="B13" s="272"/>
      <c r="C13" s="272"/>
      <c r="D13" s="272"/>
      <c r="E13" s="272"/>
      <c r="F13" s="272"/>
      <c r="G13" s="272"/>
      <c r="H13" s="272"/>
    </row>
    <row r="14" spans="1:8" ht="14.25" customHeight="1" x14ac:dyDescent="0.2">
      <c r="A14" s="272"/>
      <c r="B14" s="272"/>
      <c r="C14" s="272"/>
      <c r="D14" s="272"/>
      <c r="E14" s="272"/>
      <c r="F14" s="272"/>
      <c r="G14" s="272"/>
      <c r="H14" s="272"/>
    </row>
    <row r="15" spans="1:8" ht="19.5" customHeight="1" thickBot="1" x14ac:dyDescent="0.35">
      <c r="A15" s="147"/>
      <c r="B15" s="147"/>
      <c r="C15" s="147"/>
      <c r="D15" s="147"/>
      <c r="E15" s="147"/>
      <c r="F15" s="147"/>
      <c r="G15" s="147"/>
      <c r="H15" s="147"/>
    </row>
    <row r="16" spans="1:8" ht="19.5" customHeight="1" thickBot="1" x14ac:dyDescent="0.35">
      <c r="A16" s="273" t="s">
        <v>32</v>
      </c>
      <c r="B16" s="274"/>
      <c r="C16" s="274"/>
      <c r="D16" s="274"/>
      <c r="E16" s="274"/>
      <c r="F16" s="274"/>
      <c r="G16" s="274"/>
      <c r="H16" s="275"/>
    </row>
    <row r="17" spans="1:8" ht="18.75" customHeight="1" x14ac:dyDescent="0.3">
      <c r="A17" s="148" t="s">
        <v>33</v>
      </c>
      <c r="B17" s="148"/>
      <c r="C17" s="147"/>
      <c r="D17" s="147"/>
      <c r="E17" s="147"/>
      <c r="F17" s="147"/>
      <c r="G17" s="147"/>
      <c r="H17" s="147"/>
    </row>
    <row r="18" spans="1:8" ht="26.25" customHeight="1" x14ac:dyDescent="0.4">
      <c r="A18" s="149" t="s">
        <v>34</v>
      </c>
      <c r="B18" s="267" t="s">
        <v>5</v>
      </c>
      <c r="C18" s="267"/>
      <c r="D18" s="267"/>
      <c r="E18" s="267"/>
      <c r="F18" s="150"/>
      <c r="G18" s="150"/>
      <c r="H18" s="150"/>
    </row>
    <row r="19" spans="1:8" ht="26.25" customHeight="1" x14ac:dyDescent="0.4">
      <c r="A19" s="149" t="s">
        <v>35</v>
      </c>
      <c r="B19" s="151" t="s">
        <v>7</v>
      </c>
      <c r="C19" s="152">
        <v>5</v>
      </c>
      <c r="D19" s="150"/>
      <c r="E19" s="150"/>
      <c r="F19" s="150"/>
      <c r="G19" s="150"/>
      <c r="H19" s="150"/>
    </row>
    <row r="20" spans="1:8" ht="26.25" customHeight="1" x14ac:dyDescent="0.4">
      <c r="A20" s="149" t="s">
        <v>36</v>
      </c>
      <c r="B20" s="268" t="s">
        <v>103</v>
      </c>
      <c r="C20" s="268"/>
      <c r="D20" s="268"/>
      <c r="E20" s="268"/>
      <c r="F20" s="150"/>
      <c r="G20" s="150"/>
      <c r="H20" s="150"/>
    </row>
    <row r="21" spans="1:8" ht="26.25" customHeight="1" x14ac:dyDescent="0.4">
      <c r="A21" s="149" t="s">
        <v>37</v>
      </c>
      <c r="B21" s="268" t="s">
        <v>10</v>
      </c>
      <c r="C21" s="268"/>
      <c r="D21" s="268"/>
      <c r="E21" s="268"/>
      <c r="F21" s="268"/>
      <c r="G21" s="268"/>
      <c r="H21" s="268"/>
    </row>
    <row r="22" spans="1:8" ht="26.25" customHeight="1" x14ac:dyDescent="0.4">
      <c r="A22" s="149" t="s">
        <v>38</v>
      </c>
      <c r="B22" s="151" t="s">
        <v>11</v>
      </c>
      <c r="C22" s="153"/>
      <c r="D22" s="150"/>
      <c r="E22" s="150"/>
      <c r="F22" s="150"/>
      <c r="G22" s="150"/>
      <c r="H22" s="150"/>
    </row>
    <row r="23" spans="1:8" ht="26.25" customHeight="1" x14ac:dyDescent="0.4">
      <c r="A23" s="149" t="s">
        <v>39</v>
      </c>
      <c r="B23" s="240">
        <v>43180.518599537034</v>
      </c>
      <c r="C23" s="153"/>
      <c r="D23" s="150"/>
      <c r="E23" s="150"/>
      <c r="F23" s="150"/>
      <c r="G23" s="150"/>
      <c r="H23" s="150"/>
    </row>
    <row r="24" spans="1:8" ht="18.75" customHeight="1" x14ac:dyDescent="0.3">
      <c r="A24" s="149"/>
      <c r="B24" s="154"/>
      <c r="C24" s="147"/>
      <c r="D24" s="147"/>
      <c r="E24" s="147"/>
      <c r="F24" s="147"/>
      <c r="G24" s="147"/>
      <c r="H24" s="147"/>
    </row>
    <row r="25" spans="1:8" ht="18.75" customHeight="1" x14ac:dyDescent="0.3">
      <c r="A25" s="155" t="s">
        <v>1</v>
      </c>
      <c r="B25" s="154"/>
      <c r="C25" s="147"/>
      <c r="D25" s="147"/>
      <c r="E25" s="147"/>
      <c r="F25" s="147"/>
      <c r="G25" s="147"/>
      <c r="H25" s="147"/>
    </row>
    <row r="26" spans="1:8" ht="26.25" customHeight="1" x14ac:dyDescent="0.4">
      <c r="A26" s="156" t="s">
        <v>4</v>
      </c>
      <c r="B26" s="267" t="s">
        <v>105</v>
      </c>
      <c r="C26" s="267"/>
      <c r="D26" s="147"/>
      <c r="E26" s="147"/>
      <c r="F26" s="147"/>
      <c r="G26" s="147"/>
      <c r="H26" s="147"/>
    </row>
    <row r="27" spans="1:8" ht="26.25" customHeight="1" x14ac:dyDescent="0.4">
      <c r="A27" s="157" t="s">
        <v>40</v>
      </c>
      <c r="B27" s="268" t="s">
        <v>101</v>
      </c>
      <c r="C27" s="268"/>
      <c r="D27" s="147"/>
      <c r="E27" s="147"/>
      <c r="F27" s="147"/>
      <c r="G27" s="147"/>
      <c r="H27" s="147"/>
    </row>
    <row r="28" spans="1:8" ht="26.25" customHeight="1" x14ac:dyDescent="0.4">
      <c r="A28" s="157"/>
      <c r="B28" s="151">
        <v>100</v>
      </c>
      <c r="C28" s="151"/>
      <c r="D28" s="147"/>
      <c r="E28" s="147"/>
      <c r="F28" s="147"/>
      <c r="G28" s="147"/>
      <c r="H28" s="147"/>
    </row>
    <row r="29" spans="1:8" ht="26.25" customHeight="1" x14ac:dyDescent="0.3">
      <c r="A29" s="148" t="s">
        <v>1</v>
      </c>
      <c r="B29" s="158" t="s">
        <v>76</v>
      </c>
      <c r="C29" s="147"/>
      <c r="D29" s="147"/>
      <c r="E29" s="147"/>
      <c r="F29" s="159"/>
      <c r="G29" s="159"/>
      <c r="H29" s="159"/>
    </row>
    <row r="30" spans="1:8" ht="26.25" customHeight="1" x14ac:dyDescent="0.3">
      <c r="A30" s="147" t="s">
        <v>77</v>
      </c>
      <c r="B30" s="160" t="str">
        <f>B21</f>
        <v>1 mL suspension contains 100 U (3.5 mg) of insulin aspart (rDNA) (soluble insulin aspart 50% and insulin aspart crystalised with protamine 50%), glycerol, phenol,metacresol, zinc (as chloride), sodium chloride, disodium  phosphate dihydrate, protamine sul</v>
      </c>
      <c r="C30" s="147"/>
      <c r="D30" s="147"/>
      <c r="E30" s="147"/>
      <c r="F30" s="159"/>
      <c r="G30" s="159"/>
      <c r="H30" s="159"/>
    </row>
    <row r="31" spans="1:8" ht="26.25" customHeight="1" x14ac:dyDescent="0.4">
      <c r="A31" s="157" t="s">
        <v>78</v>
      </c>
      <c r="B31" s="161">
        <v>1</v>
      </c>
      <c r="C31" s="159" t="s">
        <v>79</v>
      </c>
      <c r="D31" s="162">
        <v>100</v>
      </c>
      <c r="E31" s="147" t="str">
        <f>B20</f>
        <v>Insulin Aspart</v>
      </c>
      <c r="F31" s="159"/>
      <c r="G31" s="163"/>
      <c r="H31" s="159"/>
    </row>
    <row r="32" spans="1:8" ht="26.25" customHeight="1" x14ac:dyDescent="0.4">
      <c r="A32" s="157"/>
      <c r="B32" s="164"/>
      <c r="C32" s="164"/>
      <c r="D32" s="147"/>
      <c r="E32" s="147"/>
      <c r="F32" s="147"/>
      <c r="G32" s="147"/>
      <c r="H32" s="147"/>
    </row>
    <row r="33" spans="1:10" ht="19.5" customHeight="1" thickBot="1" x14ac:dyDescent="0.45">
      <c r="A33" s="157"/>
      <c r="B33" s="242" t="s">
        <v>107</v>
      </c>
      <c r="C33" s="166"/>
      <c r="D33" s="166"/>
      <c r="E33" s="147"/>
      <c r="F33" s="166"/>
      <c r="G33" s="241" t="s">
        <v>108</v>
      </c>
      <c r="H33" s="167"/>
    </row>
    <row r="34" spans="1:10" ht="27" customHeight="1" thickBot="1" x14ac:dyDescent="0.35">
      <c r="A34" s="147"/>
      <c r="B34" s="168" t="s">
        <v>51</v>
      </c>
      <c r="C34" s="169"/>
      <c r="D34" s="269" t="s">
        <v>52</v>
      </c>
      <c r="E34" s="270"/>
      <c r="F34" s="147"/>
      <c r="G34" s="170" t="s">
        <v>54</v>
      </c>
      <c r="H34" s="170" t="s">
        <v>55</v>
      </c>
      <c r="I34" s="170" t="s">
        <v>82</v>
      </c>
      <c r="J34" s="171" t="s">
        <v>83</v>
      </c>
    </row>
    <row r="35" spans="1:10" ht="26.25" customHeight="1" x14ac:dyDescent="0.4">
      <c r="A35" s="172" t="s">
        <v>54</v>
      </c>
      <c r="B35" s="173" t="s">
        <v>55</v>
      </c>
      <c r="C35" s="174" t="s">
        <v>56</v>
      </c>
      <c r="D35" s="173" t="s">
        <v>55</v>
      </c>
      <c r="E35" s="175" t="s">
        <v>56</v>
      </c>
      <c r="F35" s="176" t="s">
        <v>85</v>
      </c>
      <c r="G35" s="177">
        <v>1</v>
      </c>
      <c r="H35" s="178">
        <f>1360643+636456587+2573247</f>
        <v>640390477</v>
      </c>
      <c r="I35" s="179">
        <f>IF(ISBLANK(H35),"-",(H35/$B$43*$B$42))</f>
        <v>97.659905135496246</v>
      </c>
      <c r="J35" s="180">
        <f t="shared" ref="J35:J46" si="0">IF(ISBLANK(H35),"-",I35/$D$31*100)</f>
        <v>97.659905135496246</v>
      </c>
    </row>
    <row r="36" spans="1:10" ht="26.25" customHeight="1" x14ac:dyDescent="0.4">
      <c r="A36" s="181">
        <v>1</v>
      </c>
      <c r="B36" s="182">
        <f>258265+653665394+2292998</f>
        <v>656216657</v>
      </c>
      <c r="C36" s="183">
        <f>IF(ISBLANK(B36),"-",$B$42/$B$41*B36)</f>
        <v>654237588.29540634</v>
      </c>
      <c r="D36" s="182">
        <f>262514+653671836+2372587</f>
        <v>656306937</v>
      </c>
      <c r="E36" s="184">
        <f>IF(ISBLANK(D36),"-",$B$42/$D$41*D36)</f>
        <v>654327596.02203333</v>
      </c>
      <c r="F36" s="185"/>
      <c r="G36" s="186">
        <v>2</v>
      </c>
      <c r="H36" s="187">
        <f>1365416+637236959+2764407</f>
        <v>641366782</v>
      </c>
      <c r="I36" s="188">
        <f t="shared" ref="I36:I46" si="1">IF(ISBLANK(H36),"-",(H36/$B$43*$B$42))</f>
        <v>97.808792192858434</v>
      </c>
      <c r="J36" s="189">
        <f t="shared" si="0"/>
        <v>97.808792192858434</v>
      </c>
    </row>
    <row r="37" spans="1:10" ht="26.25" customHeight="1" x14ac:dyDescent="0.4">
      <c r="A37" s="190">
        <v>2</v>
      </c>
      <c r="B37" s="191">
        <f>256180+656171517+2420914</f>
        <v>658848611</v>
      </c>
      <c r="C37" s="192">
        <f>IF(ISBLANK(B37),"-",$B$42/$B$41*B37)</f>
        <v>656861604.64594603</v>
      </c>
      <c r="D37" s="191">
        <f>244342+653982418+2363478</f>
        <v>656590238</v>
      </c>
      <c r="E37" s="193">
        <f>IF(ISBLANK(D37),"-",$B$42/$D$41*D37)</f>
        <v>654610042.62107122</v>
      </c>
      <c r="F37" s="185"/>
      <c r="G37" s="186">
        <v>3</v>
      </c>
      <c r="H37" s="187">
        <f>1408879+638336495+2965735</f>
        <v>642711109</v>
      </c>
      <c r="I37" s="188">
        <f t="shared" si="1"/>
        <v>98.013802810608595</v>
      </c>
      <c r="J37" s="189">
        <f t="shared" si="0"/>
        <v>98.013802810608595</v>
      </c>
    </row>
    <row r="38" spans="1:10" ht="26.25" customHeight="1" thickBot="1" x14ac:dyDescent="0.45">
      <c r="A38" s="190">
        <v>3</v>
      </c>
      <c r="B38" s="191">
        <f>262823+656321673+2524505</f>
        <v>659109001</v>
      </c>
      <c r="C38" s="192">
        <f>IF(ISBLANK(B38),"-",$B$42/$B$41*B38)</f>
        <v>657121209.3417412</v>
      </c>
      <c r="D38" s="191">
        <f>259690+656473160+2509133</f>
        <v>659241983</v>
      </c>
      <c r="E38" s="193">
        <f>IF(ISBLANK(D38),"-",$B$42/$D$41*D38)</f>
        <v>657253790.28438973</v>
      </c>
      <c r="F38" s="194"/>
      <c r="G38" s="195">
        <v>4</v>
      </c>
      <c r="H38" s="196"/>
      <c r="I38" s="197" t="str">
        <f t="shared" si="1"/>
        <v>-</v>
      </c>
      <c r="J38" s="198" t="str">
        <f t="shared" si="0"/>
        <v>-</v>
      </c>
    </row>
    <row r="39" spans="1:10" ht="26.25" customHeight="1" x14ac:dyDescent="0.4">
      <c r="A39" s="199">
        <v>4</v>
      </c>
      <c r="B39" s="200"/>
      <c r="C39" s="201" t="str">
        <f>IF(ISBLANK(B39),"-",$B$42/$B$41*B39)</f>
        <v>-</v>
      </c>
      <c r="D39" s="200"/>
      <c r="E39" s="202" t="str">
        <f>IF(ISBLANK(D39),"-",$B$42/$D$41*D39)</f>
        <v>-</v>
      </c>
      <c r="F39" s="203" t="s">
        <v>90</v>
      </c>
      <c r="G39" s="177">
        <v>1</v>
      </c>
      <c r="H39" s="178">
        <f>1339402+629810383+2594058</f>
        <v>633743843</v>
      </c>
      <c r="I39" s="204">
        <f t="shared" si="1"/>
        <v>96.646289741102478</v>
      </c>
      <c r="J39" s="180">
        <f t="shared" si="0"/>
        <v>96.646289741102478</v>
      </c>
    </row>
    <row r="40" spans="1:10" ht="27" customHeight="1" thickBot="1" x14ac:dyDescent="0.45">
      <c r="A40" s="205" t="s">
        <v>62</v>
      </c>
      <c r="B40" s="206">
        <f>AVERAGE(B36:B39)</f>
        <v>658058089.66666663</v>
      </c>
      <c r="C40" s="207">
        <f>AVERAGE(C36:C39)</f>
        <v>656073467.42769778</v>
      </c>
      <c r="D40" s="206">
        <f>AVERAGE(D36:D39)</f>
        <v>657379719.33333337</v>
      </c>
      <c r="E40" s="208">
        <f>AVERAGE(E36:E39)</f>
        <v>655397142.97583139</v>
      </c>
      <c r="F40" s="185"/>
      <c r="G40" s="186">
        <v>2</v>
      </c>
      <c r="H40" s="187">
        <f>1375491+628376157+2856494</f>
        <v>632608142</v>
      </c>
      <c r="I40" s="209">
        <f t="shared" si="1"/>
        <v>96.473094704783577</v>
      </c>
      <c r="J40" s="189">
        <f t="shared" si="0"/>
        <v>96.473094704783577</v>
      </c>
    </row>
    <row r="41" spans="1:10" ht="26.25" customHeight="1" thickBot="1" x14ac:dyDescent="0.45">
      <c r="A41" s="210" t="s">
        <v>106</v>
      </c>
      <c r="B41" s="211">
        <f>200.605/2</f>
        <v>100.30249999999999</v>
      </c>
      <c r="C41" s="147"/>
      <c r="D41" s="212">
        <f>200.605/2</f>
        <v>100.30249999999999</v>
      </c>
      <c r="E41" s="147"/>
      <c r="F41" s="185"/>
      <c r="G41" s="186">
        <v>3</v>
      </c>
      <c r="H41" s="187">
        <f>1364974+625843424+2733193</f>
        <v>629941591</v>
      </c>
      <c r="I41" s="209">
        <f t="shared" si="1"/>
        <v>96.066444189118656</v>
      </c>
      <c r="J41" s="189">
        <f t="shared" si="0"/>
        <v>96.066444189118656</v>
      </c>
    </row>
    <row r="42" spans="1:10" ht="26.25" customHeight="1" thickBot="1" x14ac:dyDescent="0.45">
      <c r="A42" s="213" t="s">
        <v>71</v>
      </c>
      <c r="B42" s="214">
        <v>100</v>
      </c>
      <c r="C42" s="159"/>
      <c r="D42" s="215"/>
      <c r="E42" s="147"/>
      <c r="F42" s="194"/>
      <c r="G42" s="195">
        <v>4</v>
      </c>
      <c r="H42" s="196"/>
      <c r="I42" s="216" t="str">
        <f t="shared" si="1"/>
        <v>-</v>
      </c>
      <c r="J42" s="198" t="str">
        <f t="shared" si="0"/>
        <v>-</v>
      </c>
    </row>
    <row r="43" spans="1:10" ht="27" customHeight="1" x14ac:dyDescent="0.4">
      <c r="A43" s="217" t="s">
        <v>74</v>
      </c>
      <c r="B43" s="218">
        <f>AVERAGE(C36:C39,E36:E39)</f>
        <v>655735305.20176458</v>
      </c>
      <c r="C43" s="219"/>
      <c r="D43" s="220"/>
      <c r="E43" s="147"/>
      <c r="F43" s="203" t="s">
        <v>95</v>
      </c>
      <c r="G43" s="177">
        <v>1</v>
      </c>
      <c r="H43" s="178">
        <f>1370805+635829162+2770765</f>
        <v>639970732</v>
      </c>
      <c r="I43" s="204">
        <f t="shared" si="1"/>
        <v>97.595893788742401</v>
      </c>
      <c r="J43" s="189">
        <f t="shared" si="0"/>
        <v>97.595893788742401</v>
      </c>
    </row>
    <row r="44" spans="1:10" ht="30" customHeight="1" x14ac:dyDescent="0.4">
      <c r="A44" s="213" t="s">
        <v>75</v>
      </c>
      <c r="B44" s="221">
        <f>STDEV(C36:C39,E36:E39)/B43</f>
        <v>2.260518669753193E-3</v>
      </c>
      <c r="C44" s="147"/>
      <c r="D44" s="220"/>
      <c r="E44" s="147"/>
      <c r="F44" s="185"/>
      <c r="G44" s="186">
        <v>2</v>
      </c>
      <c r="H44" s="187">
        <f>1343529+636075452+2745246</f>
        <v>640164227</v>
      </c>
      <c r="I44" s="209">
        <f t="shared" si="1"/>
        <v>97.625401884229262</v>
      </c>
      <c r="J44" s="189">
        <f t="shared" si="0"/>
        <v>97.625401884229262</v>
      </c>
    </row>
    <row r="45" spans="1:10" ht="19.5" customHeight="1" thickBot="1" x14ac:dyDescent="0.45">
      <c r="A45" s="222" t="s">
        <v>19</v>
      </c>
      <c r="B45" s="223">
        <f>COUNT(C36:C39,E36:E39)</f>
        <v>6</v>
      </c>
      <c r="C45" s="147"/>
      <c r="D45" s="224"/>
      <c r="E45" s="147"/>
      <c r="F45" s="185"/>
      <c r="G45" s="186">
        <v>3</v>
      </c>
      <c r="H45" s="187">
        <f>1387872+635141458+3130520</f>
        <v>639659850</v>
      </c>
      <c r="I45" s="209">
        <f t="shared" si="1"/>
        <v>97.548484110243493</v>
      </c>
      <c r="J45" s="189">
        <f t="shared" si="0"/>
        <v>97.548484110243493</v>
      </c>
    </row>
    <row r="46" spans="1:10" ht="18.75" customHeight="1" thickBot="1" x14ac:dyDescent="0.45">
      <c r="A46" s="147"/>
      <c r="B46" s="147"/>
      <c r="E46" s="147"/>
      <c r="F46" s="225"/>
      <c r="G46" s="195">
        <v>4</v>
      </c>
      <c r="H46" s="196"/>
      <c r="I46" s="216" t="str">
        <f t="shared" si="1"/>
        <v>-</v>
      </c>
      <c r="J46" s="198" t="str">
        <f t="shared" si="0"/>
        <v>-</v>
      </c>
    </row>
    <row r="47" spans="1:10" ht="18.75" customHeight="1" x14ac:dyDescent="0.3">
      <c r="I47" s="226" t="s">
        <v>62</v>
      </c>
      <c r="J47" s="227">
        <f>AVERAGE(J35:J46)</f>
        <v>97.270900950798122</v>
      </c>
    </row>
    <row r="48" spans="1:10" ht="18.75" customHeight="1" x14ac:dyDescent="0.4">
      <c r="I48" s="228" t="s">
        <v>75</v>
      </c>
      <c r="J48" s="229">
        <f>STDEV(J35:J46)/J47</f>
        <v>7.0650836287114056E-3</v>
      </c>
    </row>
    <row r="49" spans="1:10" ht="26.25" customHeight="1" thickBot="1" x14ac:dyDescent="0.45">
      <c r="I49" s="230" t="s">
        <v>19</v>
      </c>
      <c r="J49" s="231">
        <f>COUNT(J35:J46)</f>
        <v>9</v>
      </c>
    </row>
    <row r="50" spans="1:10" ht="19.5" customHeight="1" x14ac:dyDescent="0.3">
      <c r="A50" s="147"/>
      <c r="B50" s="147"/>
      <c r="C50" s="147"/>
      <c r="D50" s="147"/>
      <c r="E50" s="147"/>
      <c r="F50" s="159"/>
      <c r="G50" s="147"/>
      <c r="H50" s="147"/>
    </row>
    <row r="51" spans="1:10" ht="27" customHeight="1" x14ac:dyDescent="0.4">
      <c r="B51" s="156" t="s">
        <v>97</v>
      </c>
      <c r="C51" s="157" t="s">
        <v>98</v>
      </c>
      <c r="D51" s="165" t="str">
        <f>B20</f>
        <v>Insulin Aspart</v>
      </c>
      <c r="E51" s="165"/>
      <c r="F51" s="147" t="s">
        <v>99</v>
      </c>
      <c r="G51" s="147"/>
      <c r="H51" s="232">
        <f>J47</f>
        <v>97.270900950798122</v>
      </c>
      <c r="I51" s="165"/>
    </row>
    <row r="52" spans="1:10" ht="26.25" customHeight="1" thickBot="1" x14ac:dyDescent="0.35">
      <c r="B52" s="233"/>
      <c r="C52" s="234"/>
      <c r="D52" s="234"/>
      <c r="E52" s="234"/>
      <c r="F52" s="234"/>
      <c r="G52" s="234"/>
      <c r="H52" s="234"/>
      <c r="I52" s="234"/>
    </row>
    <row r="53" spans="1:10" ht="26.25" customHeight="1" x14ac:dyDescent="0.3">
      <c r="B53" s="147"/>
      <c r="C53" s="159" t="s">
        <v>25</v>
      </c>
      <c r="D53" s="147"/>
      <c r="E53" s="147"/>
      <c r="F53" s="159" t="s">
        <v>26</v>
      </c>
      <c r="G53" s="147"/>
      <c r="H53" s="159" t="s">
        <v>27</v>
      </c>
      <c r="I53" s="147"/>
    </row>
    <row r="54" spans="1:10" ht="26.25" customHeight="1" x14ac:dyDescent="0.3">
      <c r="B54" s="157" t="s">
        <v>28</v>
      </c>
      <c r="C54" s="235" t="s">
        <v>109</v>
      </c>
      <c r="D54" s="235"/>
      <c r="E54" s="147"/>
      <c r="F54" s="235" t="s">
        <v>110</v>
      </c>
      <c r="G54" s="147"/>
      <c r="H54" s="236"/>
      <c r="I54" s="236"/>
    </row>
    <row r="55" spans="1:10" ht="27" customHeight="1" x14ac:dyDescent="0.3">
      <c r="B55" s="157" t="s">
        <v>29</v>
      </c>
      <c r="C55" s="237"/>
      <c r="D55" s="237"/>
      <c r="E55" s="147"/>
      <c r="F55" s="238"/>
      <c r="G55" s="147"/>
      <c r="H55" s="239"/>
      <c r="I55" s="239"/>
    </row>
    <row r="56" spans="1:10" ht="26.25" customHeight="1" x14ac:dyDescent="0.2"/>
    <row r="57" spans="1:10" ht="26.25" customHeight="1" x14ac:dyDescent="0.2"/>
    <row r="58" spans="1:10" ht="26.25" customHeight="1" x14ac:dyDescent="0.2"/>
    <row r="59" spans="1:10" ht="27" customHeight="1" x14ac:dyDescent="0.2"/>
    <row r="60" spans="1:10" ht="26.25" customHeight="1" x14ac:dyDescent="0.2"/>
    <row r="61" spans="1:10" ht="27" customHeight="1" x14ac:dyDescent="0.2"/>
    <row r="62" spans="1:10" ht="26.25" customHeight="1" x14ac:dyDescent="0.2"/>
    <row r="63" spans="1:10" ht="27" customHeight="1" x14ac:dyDescent="0.2"/>
    <row r="64" spans="1:10" ht="26.25" customHeight="1" x14ac:dyDescent="0.2"/>
    <row r="65" spans="1:8" ht="26.25" customHeight="1" x14ac:dyDescent="0.2"/>
    <row r="66" spans="1:8" ht="27" customHeight="1" x14ac:dyDescent="0.2"/>
    <row r="67" spans="1:8" ht="18.75" customHeight="1" x14ac:dyDescent="0.3">
      <c r="A67" s="159"/>
      <c r="B67" s="159"/>
      <c r="C67" s="159"/>
      <c r="D67" s="147"/>
      <c r="E67" s="163"/>
      <c r="F67" s="159"/>
      <c r="G67" s="157"/>
      <c r="H67" s="165"/>
    </row>
    <row r="68" spans="1:8" ht="26.25" customHeight="1" x14ac:dyDescent="0.2"/>
    <row r="69" spans="1:8" ht="19.5" customHeight="1" x14ac:dyDescent="0.2"/>
    <row r="70" spans="1:8" ht="18.75" customHeight="1" x14ac:dyDescent="0.2"/>
    <row r="71" spans="1:8" ht="60" customHeight="1" x14ac:dyDescent="0.2"/>
    <row r="72" spans="1:8" ht="60" customHeight="1" x14ac:dyDescent="0.2"/>
    <row r="243" spans="1:1" x14ac:dyDescent="0.2">
      <c r="A243" s="146">
        <v>5</v>
      </c>
    </row>
  </sheetData>
  <sheetProtection formatCells="0" formatColumns="0"/>
  <mergeCells count="9">
    <mergeCell ref="B26:C26"/>
    <mergeCell ref="B27:C27"/>
    <mergeCell ref="D34:E34"/>
    <mergeCell ref="A1:H7"/>
    <mergeCell ref="A8:H14"/>
    <mergeCell ref="A16:H16"/>
    <mergeCell ref="B18:E18"/>
    <mergeCell ref="B20:E20"/>
    <mergeCell ref="B21:H21"/>
  </mergeCells>
  <conditionalFormatting sqref="B44">
    <cfRule type="cellIs" dxfId="3" priority="1" operator="greaterThan">
      <formula>0.02</formula>
    </cfRule>
  </conditionalFormatting>
  <conditionalFormatting sqref="J48">
    <cfRule type="cellIs" dxfId="2" priority="2" operator="greaterThan">
      <formula>0.02</formula>
    </cfRule>
  </conditionalFormatting>
  <pageMargins left="0.7" right="0.7" top="0.75" bottom="0.75" header="0.3" footer="0.3"/>
  <pageSetup scale="29" orientation="portrait" r:id="rId1"/>
  <headerFoot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1" workbookViewId="0">
      <selection activeCell="B28" sqref="B28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76" t="s">
        <v>0</v>
      </c>
      <c r="B15" s="276"/>
      <c r="C15" s="276"/>
      <c r="D15" s="276"/>
      <c r="E15" s="27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103</v>
      </c>
      <c r="C18" s="10"/>
      <c r="D18" s="10"/>
      <c r="E18" s="10"/>
    </row>
    <row r="19" spans="1:6" ht="16.5" customHeight="1" x14ac:dyDescent="0.3">
      <c r="A19" s="11" t="s">
        <v>6</v>
      </c>
      <c r="B19" s="12">
        <v>100</v>
      </c>
      <c r="C19" s="10"/>
      <c r="D19" s="10"/>
      <c r="E19" s="10"/>
    </row>
    <row r="20" spans="1:6" ht="16.5" customHeight="1" x14ac:dyDescent="0.3">
      <c r="A20" s="7" t="s">
        <v>8</v>
      </c>
      <c r="B20" s="12">
        <v>200.60571400000001</v>
      </c>
      <c r="C20" s="10"/>
      <c r="D20" s="10"/>
      <c r="E20" s="10"/>
    </row>
    <row r="21" spans="1:6" ht="16.5" customHeight="1" x14ac:dyDescent="0.3">
      <c r="A21" s="7" t="s">
        <v>9</v>
      </c>
      <c r="B21" s="13">
        <f>B20/2.008</f>
        <v>99.903244023904392</v>
      </c>
      <c r="C21" s="10"/>
      <c r="D21" s="10"/>
      <c r="E21" s="10"/>
    </row>
    <row r="22" spans="1:6" ht="15.75" customHeight="1" x14ac:dyDescent="0.25">
      <c r="A22" s="10"/>
      <c r="B22" s="10" t="s">
        <v>104</v>
      </c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18">
        <v>658179363</v>
      </c>
      <c r="C24" s="18">
        <v>1941.8</v>
      </c>
      <c r="D24" s="19">
        <v>1</v>
      </c>
      <c r="E24" s="20">
        <v>20.6</v>
      </c>
    </row>
    <row r="25" spans="1:6" ht="16.5" customHeight="1" x14ac:dyDescent="0.3">
      <c r="A25" s="17">
        <v>2</v>
      </c>
      <c r="B25" s="18">
        <v>660025778</v>
      </c>
      <c r="C25" s="18">
        <v>1939.6</v>
      </c>
      <c r="D25" s="19">
        <v>1</v>
      </c>
      <c r="E25" s="19">
        <v>20.399999999999999</v>
      </c>
    </row>
    <row r="26" spans="1:6" ht="16.5" customHeight="1" x14ac:dyDescent="0.3">
      <c r="A26" s="17">
        <v>3</v>
      </c>
      <c r="B26" s="18">
        <v>659939257</v>
      </c>
      <c r="C26" s="18">
        <v>1950.2</v>
      </c>
      <c r="D26" s="19">
        <v>1</v>
      </c>
      <c r="E26" s="19">
        <v>20.5</v>
      </c>
    </row>
    <row r="27" spans="1:6" ht="16.5" customHeight="1" x14ac:dyDescent="0.3">
      <c r="A27" s="17">
        <v>4</v>
      </c>
      <c r="B27" s="18">
        <v>658176568</v>
      </c>
      <c r="C27" s="18">
        <v>1983.6</v>
      </c>
      <c r="D27" s="19">
        <v>1</v>
      </c>
      <c r="E27" s="19">
        <v>20.6</v>
      </c>
    </row>
    <row r="28" spans="1:6" ht="16.5" customHeight="1" x14ac:dyDescent="0.3">
      <c r="A28" s="17">
        <v>5</v>
      </c>
      <c r="B28" s="18">
        <v>661461307</v>
      </c>
      <c r="C28" s="18">
        <v>1957.9</v>
      </c>
      <c r="D28" s="19">
        <v>1</v>
      </c>
      <c r="E28" s="19">
        <v>20.399999999999999</v>
      </c>
    </row>
    <row r="29" spans="1:6" ht="16.5" customHeight="1" x14ac:dyDescent="0.3">
      <c r="A29" s="17">
        <v>6</v>
      </c>
      <c r="B29" s="21">
        <v>658048757</v>
      </c>
      <c r="C29" s="21">
        <v>1965.2</v>
      </c>
      <c r="D29" s="22">
        <v>1</v>
      </c>
      <c r="E29" s="22">
        <v>20.6</v>
      </c>
    </row>
    <row r="30" spans="1:6" ht="16.5" customHeight="1" x14ac:dyDescent="0.3">
      <c r="A30" s="23" t="s">
        <v>17</v>
      </c>
      <c r="B30" s="24">
        <f>AVERAGE(B24:B29)</f>
        <v>659305171.66666663</v>
      </c>
      <c r="C30" s="25">
        <f>AVERAGE(C24:C29)</f>
        <v>1956.3833333333332</v>
      </c>
      <c r="D30" s="26">
        <f>AVERAGE(D24:D29)</f>
        <v>1</v>
      </c>
      <c r="E30" s="26">
        <f>AVERAGE(E24:E29)</f>
        <v>20.516666666666666</v>
      </c>
    </row>
    <row r="31" spans="1:6" ht="16.5" customHeight="1" x14ac:dyDescent="0.3">
      <c r="A31" s="27" t="s">
        <v>18</v>
      </c>
      <c r="B31" s="28">
        <f>(STDEV(B24:B29)/B30)</f>
        <v>2.1114995699310067E-3</v>
      </c>
      <c r="C31" s="29"/>
      <c r="D31" s="29"/>
      <c r="E31" s="30"/>
      <c r="F31" s="2"/>
    </row>
    <row r="32" spans="1:6" s="2" customFormat="1" ht="16.5" customHeight="1" x14ac:dyDescent="0.3">
      <c r="A32" s="31" t="s">
        <v>19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20</v>
      </c>
      <c r="B34" s="37" t="s">
        <v>21</v>
      </c>
      <c r="C34" s="38"/>
      <c r="D34" s="38"/>
      <c r="E34" s="39"/>
    </row>
    <row r="35" spans="1:6" ht="16.5" customHeight="1" x14ac:dyDescent="0.3">
      <c r="A35" s="11"/>
      <c r="B35" s="37" t="s">
        <v>22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9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17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18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19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20</v>
      </c>
      <c r="B55" s="37" t="s">
        <v>21</v>
      </c>
      <c r="C55" s="38"/>
      <c r="D55" s="38"/>
      <c r="E55" s="39"/>
    </row>
    <row r="56" spans="1:7" ht="16.5" customHeight="1" x14ac:dyDescent="0.3">
      <c r="A56" s="11"/>
      <c r="B56" s="37" t="s">
        <v>22</v>
      </c>
      <c r="C56" s="38"/>
      <c r="D56" s="38"/>
      <c r="E56" s="39"/>
      <c r="F56" s="2"/>
    </row>
    <row r="57" spans="1:7" ht="16.5" customHeight="1" x14ac:dyDescent="0.3">
      <c r="A57" s="11"/>
      <c r="B57" s="40" t="s">
        <v>23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77" t="s">
        <v>25</v>
      </c>
      <c r="C59" s="277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/>
      <c r="C60" s="48"/>
      <c r="E60" s="48"/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0"/>
  <sheetViews>
    <sheetView tabSelected="1" view="pageBreakPreview" topLeftCell="A57" zoomScale="66" zoomScaleNormal="66" zoomScaleSheetLayoutView="66" workbookViewId="0">
      <selection activeCell="E50" sqref="E50"/>
    </sheetView>
  </sheetViews>
  <sheetFormatPr defaultRowHeight="12.75" x14ac:dyDescent="0.2"/>
  <cols>
    <col min="1" max="1" width="59" customWidth="1"/>
    <col min="2" max="2" width="32.7109375" customWidth="1"/>
    <col min="3" max="3" width="42.42578125" customWidth="1"/>
    <col min="4" max="4" width="25.5703125" customWidth="1"/>
    <col min="5" max="5" width="24.42578125" customWidth="1"/>
    <col min="6" max="6" width="25.7109375" customWidth="1"/>
    <col min="7" max="7" width="31.140625" customWidth="1"/>
    <col min="8" max="8" width="28.28515625" customWidth="1"/>
  </cols>
  <sheetData>
    <row r="1" spans="1:8" ht="14.25" customHeight="1" x14ac:dyDescent="0.2">
      <c r="A1" s="299" t="s">
        <v>30</v>
      </c>
      <c r="B1" s="299"/>
      <c r="C1" s="299"/>
      <c r="D1" s="299"/>
      <c r="E1" s="299"/>
      <c r="F1" s="299"/>
      <c r="G1" s="299"/>
      <c r="H1" s="299"/>
    </row>
    <row r="2" spans="1:8" ht="14.25" customHeight="1" x14ac:dyDescent="0.2">
      <c r="A2" s="299"/>
      <c r="B2" s="299"/>
      <c r="C2" s="299"/>
      <c r="D2" s="299"/>
      <c r="E2" s="299"/>
      <c r="F2" s="299"/>
      <c r="G2" s="299"/>
      <c r="H2" s="299"/>
    </row>
    <row r="3" spans="1:8" ht="14.25" customHeight="1" x14ac:dyDescent="0.2">
      <c r="A3" s="299"/>
      <c r="B3" s="299"/>
      <c r="C3" s="299"/>
      <c r="D3" s="299"/>
      <c r="E3" s="299"/>
      <c r="F3" s="299"/>
      <c r="G3" s="299"/>
      <c r="H3" s="299"/>
    </row>
    <row r="4" spans="1:8" ht="14.25" customHeight="1" x14ac:dyDescent="0.2">
      <c r="A4" s="299"/>
      <c r="B4" s="299"/>
      <c r="C4" s="299"/>
      <c r="D4" s="299"/>
      <c r="E4" s="299"/>
      <c r="F4" s="299"/>
      <c r="G4" s="299"/>
      <c r="H4" s="299"/>
    </row>
    <row r="5" spans="1:8" ht="14.25" customHeight="1" x14ac:dyDescent="0.2">
      <c r="A5" s="299"/>
      <c r="B5" s="299"/>
      <c r="C5" s="299"/>
      <c r="D5" s="299"/>
      <c r="E5" s="299"/>
      <c r="F5" s="299"/>
      <c r="G5" s="299"/>
      <c r="H5" s="299"/>
    </row>
    <row r="6" spans="1:8" ht="14.25" customHeight="1" x14ac:dyDescent="0.2">
      <c r="A6" s="299"/>
      <c r="B6" s="299"/>
      <c r="C6" s="299"/>
      <c r="D6" s="299"/>
      <c r="E6" s="299"/>
      <c r="F6" s="299"/>
      <c r="G6" s="299"/>
      <c r="H6" s="299"/>
    </row>
    <row r="7" spans="1:8" ht="14.25" customHeight="1" x14ac:dyDescent="0.2">
      <c r="A7" s="299"/>
      <c r="B7" s="299"/>
      <c r="C7" s="299"/>
      <c r="D7" s="299"/>
      <c r="E7" s="299"/>
      <c r="F7" s="299"/>
      <c r="G7" s="299"/>
      <c r="H7" s="299"/>
    </row>
    <row r="8" spans="1:8" ht="14.25" customHeight="1" x14ac:dyDescent="0.2">
      <c r="A8" s="300" t="s">
        <v>31</v>
      </c>
      <c r="B8" s="300"/>
      <c r="C8" s="300"/>
      <c r="D8" s="300"/>
      <c r="E8" s="300"/>
      <c r="F8" s="300"/>
      <c r="G8" s="300"/>
      <c r="H8" s="300"/>
    </row>
    <row r="9" spans="1:8" ht="14.25" customHeight="1" x14ac:dyDescent="0.2">
      <c r="A9" s="300"/>
      <c r="B9" s="300"/>
      <c r="C9" s="300"/>
      <c r="D9" s="300"/>
      <c r="E9" s="300"/>
      <c r="F9" s="300"/>
      <c r="G9" s="300"/>
      <c r="H9" s="300"/>
    </row>
    <row r="10" spans="1:8" ht="14.25" customHeight="1" x14ac:dyDescent="0.2">
      <c r="A10" s="300"/>
      <c r="B10" s="300"/>
      <c r="C10" s="300"/>
      <c r="D10" s="300"/>
      <c r="E10" s="300"/>
      <c r="F10" s="300"/>
      <c r="G10" s="300"/>
      <c r="H10" s="300"/>
    </row>
    <row r="11" spans="1:8" ht="14.25" customHeight="1" x14ac:dyDescent="0.2">
      <c r="A11" s="300"/>
      <c r="B11" s="300"/>
      <c r="C11" s="300"/>
      <c r="D11" s="300"/>
      <c r="E11" s="300"/>
      <c r="F11" s="300"/>
      <c r="G11" s="300"/>
      <c r="H11" s="300"/>
    </row>
    <row r="12" spans="1:8" ht="14.25" customHeight="1" x14ac:dyDescent="0.2">
      <c r="A12" s="300"/>
      <c r="B12" s="300"/>
      <c r="C12" s="300"/>
      <c r="D12" s="300"/>
      <c r="E12" s="300"/>
      <c r="F12" s="300"/>
      <c r="G12" s="300"/>
      <c r="H12" s="300"/>
    </row>
    <row r="13" spans="1:8" ht="14.25" customHeight="1" x14ac:dyDescent="0.2">
      <c r="A13" s="300"/>
      <c r="B13" s="300"/>
      <c r="C13" s="300"/>
      <c r="D13" s="300"/>
      <c r="E13" s="300"/>
      <c r="F13" s="300"/>
      <c r="G13" s="300"/>
      <c r="H13" s="300"/>
    </row>
    <row r="14" spans="1:8" ht="14.25" customHeight="1" x14ac:dyDescent="0.2">
      <c r="A14" s="300"/>
      <c r="B14" s="300"/>
      <c r="C14" s="300"/>
      <c r="D14" s="300"/>
      <c r="E14" s="300"/>
      <c r="F14" s="300"/>
      <c r="G14" s="300"/>
      <c r="H14" s="300"/>
    </row>
    <row r="15" spans="1:8" ht="19.5" customHeight="1" x14ac:dyDescent="0.3">
      <c r="A15" s="52"/>
      <c r="B15" s="52"/>
      <c r="C15" s="52"/>
      <c r="D15" s="52"/>
      <c r="E15" s="52"/>
      <c r="F15" s="52"/>
      <c r="G15" s="52"/>
      <c r="H15" s="52"/>
    </row>
    <row r="16" spans="1:8" ht="19.5" customHeight="1" x14ac:dyDescent="0.3">
      <c r="A16" s="302" t="s">
        <v>32</v>
      </c>
      <c r="B16" s="303"/>
      <c r="C16" s="303"/>
      <c r="D16" s="303"/>
      <c r="E16" s="303"/>
      <c r="F16" s="303"/>
      <c r="G16" s="303"/>
      <c r="H16" s="304"/>
    </row>
    <row r="17" spans="1:8" ht="18.75" customHeight="1" x14ac:dyDescent="0.3">
      <c r="A17" s="53" t="s">
        <v>33</v>
      </c>
      <c r="B17" s="53"/>
      <c r="C17" s="52"/>
      <c r="D17" s="52"/>
      <c r="E17" s="52"/>
      <c r="F17" s="52"/>
      <c r="G17" s="52"/>
      <c r="H17" s="52"/>
    </row>
    <row r="18" spans="1:8" ht="26.25" customHeight="1" x14ac:dyDescent="0.4">
      <c r="A18" s="54" t="s">
        <v>34</v>
      </c>
      <c r="B18" s="301" t="s">
        <v>5</v>
      </c>
      <c r="C18" s="301"/>
      <c r="D18" s="301"/>
      <c r="E18" s="301"/>
      <c r="F18" s="55"/>
      <c r="G18" s="55"/>
      <c r="H18" s="55"/>
    </row>
    <row r="19" spans="1:8" ht="26.25" customHeight="1" x14ac:dyDescent="0.4">
      <c r="A19" s="54" t="s">
        <v>35</v>
      </c>
      <c r="B19" s="56" t="s">
        <v>7</v>
      </c>
      <c r="C19" s="143">
        <v>5</v>
      </c>
      <c r="D19" s="55"/>
      <c r="E19" s="55"/>
      <c r="F19" s="55"/>
      <c r="G19" s="55"/>
      <c r="H19" s="55"/>
    </row>
    <row r="20" spans="1:8" ht="26.25" customHeight="1" x14ac:dyDescent="0.4">
      <c r="A20" s="54" t="s">
        <v>36</v>
      </c>
      <c r="B20" s="293" t="s">
        <v>103</v>
      </c>
      <c r="C20" s="293"/>
      <c r="D20" s="293"/>
      <c r="E20" s="293"/>
      <c r="F20" s="55"/>
      <c r="G20" s="55"/>
      <c r="H20" s="55"/>
    </row>
    <row r="21" spans="1:8" ht="48" customHeight="1" x14ac:dyDescent="0.4">
      <c r="A21" s="54" t="s">
        <v>37</v>
      </c>
      <c r="B21" s="305" t="s">
        <v>10</v>
      </c>
      <c r="C21" s="305"/>
      <c r="D21" s="305"/>
      <c r="E21" s="305"/>
      <c r="F21" s="305"/>
      <c r="G21" s="305"/>
      <c r="H21" s="305"/>
    </row>
    <row r="22" spans="1:8" ht="26.25" customHeight="1" x14ac:dyDescent="0.4">
      <c r="A22" s="54" t="s">
        <v>38</v>
      </c>
      <c r="B22" s="57" t="s">
        <v>11</v>
      </c>
      <c r="C22" s="58"/>
      <c r="D22" s="55"/>
      <c r="E22" s="55"/>
      <c r="F22" s="55"/>
      <c r="G22" s="55"/>
      <c r="H22" s="55"/>
    </row>
    <row r="23" spans="1:8" ht="26.25" customHeight="1" x14ac:dyDescent="0.4">
      <c r="A23" s="54" t="s">
        <v>39</v>
      </c>
      <c r="B23" s="144">
        <v>43180.518599537034</v>
      </c>
      <c r="C23" s="58"/>
      <c r="D23" s="55"/>
      <c r="E23" s="55"/>
      <c r="F23" s="55"/>
      <c r="G23" s="55"/>
      <c r="H23" s="55"/>
    </row>
    <row r="24" spans="1:8" ht="18.75" customHeight="1" x14ac:dyDescent="0.3">
      <c r="A24" s="54"/>
      <c r="B24" s="59"/>
      <c r="C24" s="52"/>
      <c r="D24" s="52"/>
      <c r="E24" s="52"/>
      <c r="F24" s="52"/>
      <c r="G24" s="52"/>
      <c r="H24" s="52"/>
    </row>
    <row r="25" spans="1:8" ht="18.75" customHeight="1" x14ac:dyDescent="0.3">
      <c r="A25" s="60" t="s">
        <v>1</v>
      </c>
      <c r="B25" s="59"/>
      <c r="C25" s="52"/>
      <c r="D25" s="52"/>
      <c r="E25" s="52"/>
      <c r="F25" s="52"/>
      <c r="G25" s="52"/>
      <c r="H25" s="52"/>
    </row>
    <row r="26" spans="1:8" ht="26.25" customHeight="1" x14ac:dyDescent="0.4">
      <c r="A26" s="61" t="s">
        <v>4</v>
      </c>
      <c r="B26" s="301" t="s">
        <v>100</v>
      </c>
      <c r="C26" s="301"/>
      <c r="D26" s="52"/>
      <c r="E26" s="52"/>
      <c r="F26" s="52"/>
      <c r="G26" s="52"/>
      <c r="H26" s="52"/>
    </row>
    <row r="27" spans="1:8" ht="26.25" customHeight="1" x14ac:dyDescent="0.4">
      <c r="A27" s="62" t="s">
        <v>40</v>
      </c>
      <c r="B27" s="293" t="s">
        <v>101</v>
      </c>
      <c r="C27" s="293"/>
      <c r="D27" s="52"/>
      <c r="E27" s="52"/>
      <c r="F27" s="52"/>
      <c r="G27" s="52"/>
      <c r="H27" s="52"/>
    </row>
    <row r="28" spans="1:8" ht="27" customHeight="1" x14ac:dyDescent="0.4">
      <c r="A28" s="62" t="s">
        <v>6</v>
      </c>
      <c r="B28" s="63">
        <v>100</v>
      </c>
      <c r="C28" s="52"/>
      <c r="D28" s="52"/>
      <c r="E28" s="52"/>
      <c r="F28" s="52"/>
      <c r="G28" s="52"/>
      <c r="H28" s="52"/>
    </row>
    <row r="29" spans="1:8" ht="27" customHeight="1" x14ac:dyDescent="0.4">
      <c r="A29" s="62" t="s">
        <v>41</v>
      </c>
      <c r="B29" s="64">
        <v>0</v>
      </c>
      <c r="C29" s="294" t="s">
        <v>42</v>
      </c>
      <c r="D29" s="295"/>
      <c r="E29" s="295"/>
      <c r="F29" s="295"/>
      <c r="G29" s="296"/>
      <c r="H29" s="65"/>
    </row>
    <row r="30" spans="1:8" ht="27" customHeight="1" x14ac:dyDescent="0.4">
      <c r="A30" s="62" t="s">
        <v>43</v>
      </c>
      <c r="B30" s="66">
        <f>B28-B29</f>
        <v>100</v>
      </c>
      <c r="C30" s="67"/>
      <c r="D30" s="67"/>
      <c r="E30" s="67"/>
      <c r="F30" s="67"/>
      <c r="G30" s="67"/>
      <c r="H30" s="65"/>
    </row>
    <row r="31" spans="1:8" ht="27" customHeight="1" x14ac:dyDescent="0.4">
      <c r="A31" s="62" t="s">
        <v>44</v>
      </c>
      <c r="B31" s="68">
        <v>1</v>
      </c>
      <c r="C31" s="294" t="s">
        <v>45</v>
      </c>
      <c r="D31" s="295"/>
      <c r="E31" s="295"/>
      <c r="F31" s="295"/>
      <c r="G31" s="296"/>
      <c r="H31" s="65"/>
    </row>
    <row r="32" spans="1:8" ht="27" customHeight="1" x14ac:dyDescent="0.4">
      <c r="A32" s="62" t="s">
        <v>46</v>
      </c>
      <c r="B32" s="68">
        <v>1</v>
      </c>
      <c r="C32" s="294" t="s">
        <v>47</v>
      </c>
      <c r="D32" s="295"/>
      <c r="E32" s="295"/>
      <c r="F32" s="295"/>
      <c r="G32" s="296"/>
      <c r="H32" s="65"/>
    </row>
    <row r="33" spans="1:8" ht="18.75" customHeight="1" x14ac:dyDescent="0.3">
      <c r="A33" s="62"/>
      <c r="B33" s="69"/>
      <c r="C33" s="70"/>
      <c r="D33" s="70"/>
      <c r="E33" s="70"/>
      <c r="F33" s="70"/>
      <c r="G33" s="65"/>
      <c r="H33" s="65"/>
    </row>
    <row r="34" spans="1:8" ht="18.75" customHeight="1" x14ac:dyDescent="0.3">
      <c r="A34" s="62" t="s">
        <v>48</v>
      </c>
      <c r="B34" s="71">
        <f>B31/B32</f>
        <v>1</v>
      </c>
      <c r="C34" s="52" t="s">
        <v>49</v>
      </c>
      <c r="D34" s="52"/>
      <c r="E34" s="52"/>
      <c r="F34" s="72"/>
      <c r="G34" s="65"/>
      <c r="H34" s="65"/>
    </row>
    <row r="35" spans="1:8" ht="19.5" customHeight="1" x14ac:dyDescent="0.3">
      <c r="A35" s="62"/>
      <c r="B35" s="73"/>
      <c r="C35" s="72"/>
      <c r="D35" s="72"/>
      <c r="E35" s="52"/>
      <c r="F35" s="72"/>
      <c r="G35" s="65"/>
      <c r="H35" s="65"/>
    </row>
    <row r="36" spans="1:8" ht="27" customHeight="1" x14ac:dyDescent="0.4">
      <c r="A36" s="74" t="s">
        <v>50</v>
      </c>
      <c r="B36" s="75">
        <v>2.008</v>
      </c>
      <c r="C36" s="52"/>
      <c r="D36" s="297" t="s">
        <v>51</v>
      </c>
      <c r="E36" s="298"/>
      <c r="F36" s="297" t="s">
        <v>52</v>
      </c>
      <c r="G36" s="298"/>
      <c r="H36" s="65"/>
    </row>
    <row r="37" spans="1:8" ht="26.25" customHeight="1" thickBot="1" x14ac:dyDescent="0.45">
      <c r="A37" s="76" t="s">
        <v>53</v>
      </c>
      <c r="B37" s="77">
        <v>1</v>
      </c>
      <c r="C37" s="78" t="s">
        <v>54</v>
      </c>
      <c r="D37" s="247" t="s">
        <v>55</v>
      </c>
      <c r="E37" s="79" t="s">
        <v>56</v>
      </c>
      <c r="F37" s="247" t="s">
        <v>55</v>
      </c>
      <c r="G37" s="79" t="s">
        <v>56</v>
      </c>
      <c r="H37" s="65"/>
    </row>
    <row r="38" spans="1:8" ht="26.25" customHeight="1" x14ac:dyDescent="0.4">
      <c r="A38" s="76" t="s">
        <v>57</v>
      </c>
      <c r="B38" s="77">
        <v>1</v>
      </c>
      <c r="C38" s="243">
        <v>1</v>
      </c>
      <c r="D38" s="250">
        <f>'Insulin Aspartate (2)'!B36</f>
        <v>656216657</v>
      </c>
      <c r="E38" s="253">
        <f>IF(ISBLANK(D38),"-",$D$48/$D$45*D38)</f>
        <v>657531142.96381032</v>
      </c>
      <c r="F38" s="250">
        <f>'Insulin Aspartate (2)'!D36</f>
        <v>656306937</v>
      </c>
      <c r="G38" s="254">
        <f>IF(ISBLANK(F38),"-",$D$48/$F$45*F38)</f>
        <v>657621603.8062067</v>
      </c>
      <c r="H38" s="65"/>
    </row>
    <row r="39" spans="1:8" ht="26.25" customHeight="1" x14ac:dyDescent="0.4">
      <c r="A39" s="76" t="s">
        <v>58</v>
      </c>
      <c r="B39" s="77">
        <v>1</v>
      </c>
      <c r="C39" s="244">
        <v>2</v>
      </c>
      <c r="D39" s="251">
        <f>'Insulin Aspartate (2)'!B37</f>
        <v>658848611</v>
      </c>
      <c r="E39" s="246">
        <f>IF(ISBLANK(D39),"-",$D$48/$D$45*D39)</f>
        <v>660168369.10457885</v>
      </c>
      <c r="F39" s="251">
        <f>'Insulin Aspartate (2)'!D37</f>
        <v>656590238</v>
      </c>
      <c r="G39" s="255">
        <f>IF(ISBLANK(F39),"-",$D$48/$F$45*F39)</f>
        <v>657905472.29437399</v>
      </c>
      <c r="H39" s="65"/>
    </row>
    <row r="40" spans="1:8" ht="26.25" customHeight="1" x14ac:dyDescent="0.4">
      <c r="A40" s="76" t="s">
        <v>59</v>
      </c>
      <c r="B40" s="77">
        <v>1</v>
      </c>
      <c r="C40" s="244">
        <v>3</v>
      </c>
      <c r="D40" s="251">
        <f>'Insulin Aspartate (2)'!B38</f>
        <v>659109001</v>
      </c>
      <c r="E40" s="246">
        <f>IF(ISBLANK(D40),"-",$D$48/$D$45*D40)</f>
        <v>660429280.69908047</v>
      </c>
      <c r="F40" s="251">
        <f>'Insulin Aspartate (2)'!D38</f>
        <v>659241983</v>
      </c>
      <c r="G40" s="255">
        <f>IF(ISBLANK(F40),"-",$D$48/$F$45*F40)</f>
        <v>660562529.07904899</v>
      </c>
      <c r="H40" s="52"/>
    </row>
    <row r="41" spans="1:8" ht="26.25" customHeight="1" thickBot="1" x14ac:dyDescent="0.45">
      <c r="A41" s="76" t="s">
        <v>60</v>
      </c>
      <c r="B41" s="77">
        <v>1</v>
      </c>
      <c r="C41" s="245">
        <v>4</v>
      </c>
      <c r="D41" s="252"/>
      <c r="E41" s="256" t="str">
        <f>IF(ISBLANK(D41),"-",$D$48/$D$45*D41)</f>
        <v>-</v>
      </c>
      <c r="F41" s="252"/>
      <c r="G41" s="257" t="str">
        <f>IF(ISBLANK(F41),"-",$D$48/$F$45*F41)</f>
        <v>-</v>
      </c>
      <c r="H41" s="52"/>
    </row>
    <row r="42" spans="1:8" ht="27" customHeight="1" thickBot="1" x14ac:dyDescent="0.45">
      <c r="A42" s="76" t="s">
        <v>61</v>
      </c>
      <c r="B42" s="77">
        <v>1</v>
      </c>
      <c r="C42" s="81" t="s">
        <v>62</v>
      </c>
      <c r="D42" s="249">
        <f>AVERAGE(D38:D41)</f>
        <v>658058089.66666663</v>
      </c>
      <c r="E42" s="82">
        <f>AVERAGE(E38:E41)</f>
        <v>659376264.25582325</v>
      </c>
      <c r="F42" s="248">
        <f>AVERAGE(F38:F41)</f>
        <v>657379719.33333337</v>
      </c>
      <c r="G42" s="82">
        <f>AVERAGE(G38:G41)</f>
        <v>658696535.05987656</v>
      </c>
      <c r="H42" s="52"/>
    </row>
    <row r="43" spans="1:8" ht="26.25" customHeight="1" x14ac:dyDescent="0.4">
      <c r="A43" s="76" t="s">
        <v>63</v>
      </c>
      <c r="B43" s="63">
        <v>1</v>
      </c>
      <c r="C43" s="83" t="s">
        <v>64</v>
      </c>
      <c r="D43" s="145">
        <f>((602*5825.54)/1000000)/0.035*2</f>
        <v>200.39857599999999</v>
      </c>
      <c r="E43" s="84"/>
      <c r="F43" s="145">
        <f>((602*5825.54)/1000000)/0.035*2</f>
        <v>200.39857599999999</v>
      </c>
      <c r="G43" s="52"/>
      <c r="H43" s="52"/>
    </row>
    <row r="44" spans="1:8" ht="26.25" customHeight="1" x14ac:dyDescent="0.4">
      <c r="A44" s="76" t="s">
        <v>65</v>
      </c>
      <c r="B44" s="63">
        <v>1</v>
      </c>
      <c r="C44" s="85" t="s">
        <v>66</v>
      </c>
      <c r="D44" s="86">
        <f>D43*$B$34</f>
        <v>200.39857599999999</v>
      </c>
      <c r="E44" s="87"/>
      <c r="F44" s="88">
        <f>F43*$B$34</f>
        <v>200.39857599999999</v>
      </c>
      <c r="G44" s="52"/>
      <c r="H44" s="52"/>
    </row>
    <row r="45" spans="1:8" ht="19.5" customHeight="1" x14ac:dyDescent="0.3">
      <c r="A45" s="76" t="s">
        <v>67</v>
      </c>
      <c r="B45" s="87">
        <f>(B44/B43)*(B42/B41)*(B40/B39)*(B38/B37)*B36</f>
        <v>2.008</v>
      </c>
      <c r="C45" s="85" t="s">
        <v>68</v>
      </c>
      <c r="D45" s="89">
        <f>D44*$B$30/100</f>
        <v>200.39857599999999</v>
      </c>
      <c r="E45" s="90"/>
      <c r="F45" s="91">
        <f>F44*$B$30/100</f>
        <v>200.39857599999999</v>
      </c>
      <c r="G45" s="52"/>
      <c r="H45" s="52"/>
    </row>
    <row r="46" spans="1:8" ht="19.5" customHeight="1" x14ac:dyDescent="0.3">
      <c r="A46" s="279" t="s">
        <v>69</v>
      </c>
      <c r="B46" s="280"/>
      <c r="C46" s="85" t="s">
        <v>70</v>
      </c>
      <c r="D46" s="86">
        <f>D45/$B$45</f>
        <v>99.800087649402386</v>
      </c>
      <c r="E46" s="90"/>
      <c r="F46" s="92">
        <f>F45/$B$45</f>
        <v>99.800087649402386</v>
      </c>
      <c r="G46" s="52"/>
      <c r="H46" s="52"/>
    </row>
    <row r="47" spans="1:8" ht="27" customHeight="1" x14ac:dyDescent="0.4">
      <c r="A47" s="281"/>
      <c r="B47" s="282"/>
      <c r="C47" s="85" t="s">
        <v>71</v>
      </c>
      <c r="D47" s="93">
        <v>100</v>
      </c>
      <c r="E47" s="52"/>
      <c r="F47" s="94"/>
      <c r="G47" s="52"/>
      <c r="H47" s="52"/>
    </row>
    <row r="48" spans="1:8" ht="18.75" customHeight="1" x14ac:dyDescent="0.3">
      <c r="A48" s="52"/>
      <c r="B48" s="52"/>
      <c r="C48" s="85" t="s">
        <v>72</v>
      </c>
      <c r="D48" s="91">
        <f>D47*$B$45</f>
        <v>200.8</v>
      </c>
      <c r="E48" s="52"/>
      <c r="F48" s="94"/>
      <c r="G48" s="52"/>
      <c r="H48" s="52"/>
    </row>
    <row r="49" spans="1:8" ht="19.5" customHeight="1" x14ac:dyDescent="0.3">
      <c r="A49" s="52"/>
      <c r="B49" s="52"/>
      <c r="C49" s="95" t="s">
        <v>73</v>
      </c>
      <c r="D49" s="96">
        <f>D48/B34</f>
        <v>200.8</v>
      </c>
      <c r="E49" s="52"/>
      <c r="F49" s="97"/>
      <c r="G49" s="52"/>
      <c r="H49" s="52"/>
    </row>
    <row r="50" spans="1:8" ht="18.75" customHeight="1" x14ac:dyDescent="0.3">
      <c r="A50" s="52"/>
      <c r="B50" s="52"/>
      <c r="C50" s="98" t="s">
        <v>74</v>
      </c>
      <c r="D50" s="99">
        <f>AVERAGE(E38:E41,G38:G41)</f>
        <v>659036399.65784991</v>
      </c>
      <c r="E50" s="52"/>
      <c r="F50" s="97"/>
      <c r="G50" s="52"/>
      <c r="H50" s="52"/>
    </row>
    <row r="51" spans="1:8" ht="18.75" customHeight="1" x14ac:dyDescent="0.3">
      <c r="A51" s="52"/>
      <c r="B51" s="52"/>
      <c r="C51" s="100" t="s">
        <v>75</v>
      </c>
      <c r="D51" s="101">
        <f>STDEV(E38:E41,G38:G41)/D50</f>
        <v>2.2605186697531704E-3</v>
      </c>
      <c r="E51" s="52"/>
      <c r="F51" s="97"/>
      <c r="G51" s="52"/>
      <c r="H51" s="52"/>
    </row>
    <row r="52" spans="1:8" ht="19.5" customHeight="1" x14ac:dyDescent="0.3">
      <c r="A52" s="52"/>
      <c r="B52" s="52"/>
      <c r="C52" s="102" t="s">
        <v>19</v>
      </c>
      <c r="D52" s="103">
        <f>COUNT(E38:E41,G38:G41)</f>
        <v>6</v>
      </c>
      <c r="E52" s="52"/>
      <c r="F52" s="97"/>
      <c r="G52" s="52"/>
      <c r="H52" s="52"/>
    </row>
    <row r="53" spans="1:8" ht="18.75" customHeight="1" x14ac:dyDescent="0.3">
      <c r="A53" s="52"/>
      <c r="B53" s="52"/>
      <c r="C53" s="52"/>
      <c r="D53" s="52"/>
      <c r="E53" s="52"/>
      <c r="F53" s="52"/>
      <c r="G53" s="52"/>
      <c r="H53" s="52"/>
    </row>
    <row r="54" spans="1:8" ht="18.75" customHeight="1" x14ac:dyDescent="0.3">
      <c r="A54" s="53" t="s">
        <v>1</v>
      </c>
      <c r="B54" s="104" t="s">
        <v>76</v>
      </c>
      <c r="C54" s="52"/>
      <c r="D54" s="52"/>
      <c r="E54" s="52"/>
      <c r="F54" s="52"/>
      <c r="G54" s="52"/>
      <c r="H54" s="52"/>
    </row>
    <row r="55" spans="1:8" ht="45" customHeight="1" x14ac:dyDescent="0.3">
      <c r="A55" s="52" t="s">
        <v>77</v>
      </c>
      <c r="B55" s="292" t="str">
        <f>B21</f>
        <v>1 mL suspension contains 100 U (3.5 mg) of insulin aspart (rDNA) (soluble insulin aspart 50% and insulin aspart crystalised with protamine 50%), glycerol, phenol,metacresol, zinc (as chloride), sodium chloride, disodium  phosphate dihydrate, protamine sul</v>
      </c>
      <c r="C55" s="292"/>
      <c r="D55" s="292"/>
      <c r="E55" s="292"/>
      <c r="F55" s="292"/>
      <c r="G55" s="292"/>
      <c r="H55" s="292"/>
    </row>
    <row r="56" spans="1:8" ht="26.25" customHeight="1" x14ac:dyDescent="0.4">
      <c r="A56" s="62" t="s">
        <v>78</v>
      </c>
      <c r="B56" s="105">
        <v>1</v>
      </c>
      <c r="C56" s="106" t="s">
        <v>79</v>
      </c>
      <c r="D56" s="107">
        <v>100</v>
      </c>
      <c r="E56" s="52" t="str">
        <f>B20</f>
        <v>Insulin Aspart</v>
      </c>
      <c r="F56" s="106"/>
      <c r="G56" s="52"/>
      <c r="H56" s="52"/>
    </row>
    <row r="57" spans="1:8" ht="19.5" customHeight="1" x14ac:dyDescent="0.3">
      <c r="A57" s="52"/>
      <c r="B57" s="52"/>
      <c r="C57" s="52"/>
      <c r="D57" s="52"/>
      <c r="E57" s="52"/>
      <c r="F57" s="106"/>
      <c r="G57" s="52"/>
      <c r="H57" s="52"/>
    </row>
    <row r="58" spans="1:8" ht="27" customHeight="1" thickBot="1" x14ac:dyDescent="0.45">
      <c r="A58" s="74" t="s">
        <v>80</v>
      </c>
      <c r="B58" s="108">
        <v>2.008</v>
      </c>
      <c r="C58" s="52"/>
      <c r="D58" s="109" t="s">
        <v>81</v>
      </c>
      <c r="E58" s="110" t="s">
        <v>54</v>
      </c>
      <c r="F58" s="110" t="s">
        <v>55</v>
      </c>
      <c r="G58" s="110" t="s">
        <v>82</v>
      </c>
      <c r="H58" s="78" t="s">
        <v>83</v>
      </c>
    </row>
    <row r="59" spans="1:8" ht="26.25" customHeight="1" x14ac:dyDescent="0.4">
      <c r="A59" s="76" t="s">
        <v>84</v>
      </c>
      <c r="B59" s="111">
        <v>1</v>
      </c>
      <c r="C59" s="283" t="s">
        <v>85</v>
      </c>
      <c r="D59" s="286">
        <v>2</v>
      </c>
      <c r="E59" s="258">
        <v>1</v>
      </c>
      <c r="F59" s="264">
        <f>'Insulin Aspartate (2)'!H35</f>
        <v>640390477</v>
      </c>
      <c r="G59" s="261">
        <f>IF(ISBLANK(F59),"-",(F59/$D$50*$D$47*$B$67)*$B$56/$D$59)</f>
        <v>97.559412384778682</v>
      </c>
      <c r="H59" s="112">
        <f t="shared" ref="H59:H70" si="0">IF(ISBLANK(F59),"-",G59/$D$56)</f>
        <v>0.97559412384778676</v>
      </c>
    </row>
    <row r="60" spans="1:8" ht="26.25" customHeight="1" x14ac:dyDescent="0.4">
      <c r="A60" s="76" t="s">
        <v>86</v>
      </c>
      <c r="B60" s="111">
        <v>1</v>
      </c>
      <c r="C60" s="284"/>
      <c r="D60" s="287"/>
      <c r="E60" s="259">
        <v>2</v>
      </c>
      <c r="F60" s="265">
        <f>'Insulin Aspartate (2)'!H36</f>
        <v>641366782</v>
      </c>
      <c r="G60" s="262">
        <f>IF(ISBLANK(F60),"-",(F60/$D$50*$D$47*$B$67)*$B$56/$D$59)</f>
        <v>97.708146236278978</v>
      </c>
      <c r="H60" s="113">
        <f t="shared" si="0"/>
        <v>0.97708146236278981</v>
      </c>
    </row>
    <row r="61" spans="1:8" ht="26.25" customHeight="1" x14ac:dyDescent="0.4">
      <c r="A61" s="76" t="s">
        <v>87</v>
      </c>
      <c r="B61" s="111">
        <v>1</v>
      </c>
      <c r="C61" s="284"/>
      <c r="D61" s="287"/>
      <c r="E61" s="259">
        <v>3</v>
      </c>
      <c r="F61" s="265">
        <f>'Insulin Aspartate (2)'!H37</f>
        <v>642711109</v>
      </c>
      <c r="G61" s="262">
        <f>IF(ISBLANK(F61),"-",(F61/$D$50*$D$47*$B$67)*$B$56/$D$59)</f>
        <v>97.91294589661652</v>
      </c>
      <c r="H61" s="113">
        <f t="shared" si="0"/>
        <v>0.97912945896616521</v>
      </c>
    </row>
    <row r="62" spans="1:8" ht="27" customHeight="1" thickBot="1" x14ac:dyDescent="0.45">
      <c r="A62" s="76" t="s">
        <v>88</v>
      </c>
      <c r="B62" s="111">
        <v>1</v>
      </c>
      <c r="C62" s="285"/>
      <c r="D62" s="288"/>
      <c r="E62" s="260">
        <v>4</v>
      </c>
      <c r="F62" s="265"/>
      <c r="G62" s="263" t="str">
        <f>IF(ISBLANK(F62),"-",(F62/$D$50*$D$47*$B$67)*$B$56/$D$59)</f>
        <v>-</v>
      </c>
      <c r="H62" s="113" t="str">
        <f t="shared" si="0"/>
        <v>-</v>
      </c>
    </row>
    <row r="63" spans="1:8" ht="26.25" customHeight="1" x14ac:dyDescent="0.4">
      <c r="A63" s="76" t="s">
        <v>89</v>
      </c>
      <c r="B63" s="111">
        <v>1</v>
      </c>
      <c r="C63" s="283" t="s">
        <v>90</v>
      </c>
      <c r="D63" s="286">
        <v>2</v>
      </c>
      <c r="E63" s="258">
        <v>1</v>
      </c>
      <c r="F63" s="264">
        <f>'Insulin Aspartate (2)'!H39</f>
        <v>633743843</v>
      </c>
      <c r="G63" s="261">
        <f>IF(ISBLANK(F63),"-",(F63/$D$50*$D$47*$B$67)*$B$56/$D$63)</f>
        <v>96.546840007977579</v>
      </c>
      <c r="H63" s="141">
        <f t="shared" si="0"/>
        <v>0.96546840007977575</v>
      </c>
    </row>
    <row r="64" spans="1:8" ht="26.25" customHeight="1" x14ac:dyDescent="0.4">
      <c r="A64" s="76" t="s">
        <v>91</v>
      </c>
      <c r="B64" s="111">
        <v>1</v>
      </c>
      <c r="C64" s="284"/>
      <c r="D64" s="287"/>
      <c r="E64" s="259">
        <v>2</v>
      </c>
      <c r="F64" s="265">
        <f>'Insulin Aspartate (2)'!H40</f>
        <v>632608142</v>
      </c>
      <c r="G64" s="262">
        <f>IF(ISBLANK(F64),"-",(F64/$D$50*$D$47*$B$67)*$B$56/$D$63)</f>
        <v>96.37382319060724</v>
      </c>
      <c r="H64" s="113">
        <f t="shared" si="0"/>
        <v>0.96373823190607244</v>
      </c>
    </row>
    <row r="65" spans="1:8" ht="26.25" customHeight="1" x14ac:dyDescent="0.4">
      <c r="A65" s="76" t="s">
        <v>92</v>
      </c>
      <c r="B65" s="111">
        <v>1</v>
      </c>
      <c r="C65" s="284"/>
      <c r="D65" s="287"/>
      <c r="E65" s="259">
        <v>3</v>
      </c>
      <c r="F65" s="265">
        <f>'Insulin Aspartate (2)'!H41</f>
        <v>629941591</v>
      </c>
      <c r="G65" s="262">
        <f>IF(ISBLANK(F65),"-",(F65/$D$50*$D$47*$B$67)*$B$56/$D$63)</f>
        <v>95.967591121272392</v>
      </c>
      <c r="H65" s="113">
        <f t="shared" si="0"/>
        <v>0.95967591121272389</v>
      </c>
    </row>
    <row r="66" spans="1:8" ht="27" customHeight="1" thickBot="1" x14ac:dyDescent="0.45">
      <c r="A66" s="76" t="s">
        <v>93</v>
      </c>
      <c r="B66" s="111">
        <v>1</v>
      </c>
      <c r="C66" s="285"/>
      <c r="D66" s="288"/>
      <c r="E66" s="260">
        <v>4</v>
      </c>
      <c r="F66" s="266"/>
      <c r="G66" s="263" t="str">
        <f>IF(ISBLANK(F66),"-",(F66/$D$50*$D$47*$B$67)*$B$56/$D$63)</f>
        <v>-</v>
      </c>
      <c r="H66" s="142" t="str">
        <f t="shared" si="0"/>
        <v>-</v>
      </c>
    </row>
    <row r="67" spans="1:8" ht="26.25" customHeight="1" x14ac:dyDescent="0.4">
      <c r="A67" s="76" t="s">
        <v>94</v>
      </c>
      <c r="B67" s="80">
        <f>(B66/B65)*(B64/B63)*(B62/B61)*(B60/B59)*B58</f>
        <v>2.008</v>
      </c>
      <c r="C67" s="283" t="s">
        <v>95</v>
      </c>
      <c r="D67" s="286">
        <v>2</v>
      </c>
      <c r="E67" s="258">
        <v>1</v>
      </c>
      <c r="F67" s="265">
        <f>'Insulin Aspartate (2)'!H43</f>
        <v>639970732</v>
      </c>
      <c r="G67" s="261">
        <f>IF(ISBLANK(F67),"-",(F67/$D$50*$D$47*$B$67)*$B$56/$D$67)</f>
        <v>97.49546690616495</v>
      </c>
      <c r="H67" s="113">
        <f t="shared" si="0"/>
        <v>0.97495466906164951</v>
      </c>
    </row>
    <row r="68" spans="1:8" ht="27" customHeight="1" thickBot="1" x14ac:dyDescent="0.45">
      <c r="A68" s="115" t="s">
        <v>96</v>
      </c>
      <c r="B68" s="116">
        <f>(D47*B67)/D56*B56</f>
        <v>2.008</v>
      </c>
      <c r="C68" s="284"/>
      <c r="D68" s="287"/>
      <c r="E68" s="259">
        <v>2</v>
      </c>
      <c r="F68" s="265">
        <f>'Insulin Aspartate (2)'!H44</f>
        <v>640164227</v>
      </c>
      <c r="G68" s="262">
        <f>IF(ISBLANK(F68),"-",(F68/$D$50*$D$47*$B$67)*$B$56/$D$67)</f>
        <v>97.524944637607533</v>
      </c>
      <c r="H68" s="113">
        <f t="shared" si="0"/>
        <v>0.97524944637607536</v>
      </c>
    </row>
    <row r="69" spans="1:8" ht="26.25" customHeight="1" x14ac:dyDescent="0.4">
      <c r="A69" s="279" t="s">
        <v>69</v>
      </c>
      <c r="B69" s="290"/>
      <c r="C69" s="284"/>
      <c r="D69" s="287"/>
      <c r="E69" s="259">
        <v>3</v>
      </c>
      <c r="F69" s="265">
        <f>'Insulin Aspartate (2)'!H45</f>
        <v>639659850</v>
      </c>
      <c r="G69" s="262">
        <f>IF(ISBLANK(F69),"-",(F69/$D$50*$D$47*$B$67)*$B$56/$D$67)</f>
        <v>97.448106012569085</v>
      </c>
      <c r="H69" s="113">
        <f t="shared" si="0"/>
        <v>0.9744810601256908</v>
      </c>
    </row>
    <row r="70" spans="1:8" ht="27" customHeight="1" thickBot="1" x14ac:dyDescent="0.45">
      <c r="A70" s="281"/>
      <c r="B70" s="291"/>
      <c r="C70" s="289"/>
      <c r="D70" s="288"/>
      <c r="E70" s="260">
        <v>4</v>
      </c>
      <c r="F70" s="266"/>
      <c r="G70" s="263" t="str">
        <f>IF(ISBLANK(F70),"-",(F70/$D$50*$D$47*$B$67)*$B$56/$D$67)</f>
        <v>-</v>
      </c>
      <c r="H70" s="114" t="str">
        <f t="shared" si="0"/>
        <v>-</v>
      </c>
    </row>
    <row r="71" spans="1:8" ht="26.25" customHeight="1" x14ac:dyDescent="0.4">
      <c r="A71" s="117"/>
      <c r="B71" s="117"/>
      <c r="C71" s="117"/>
      <c r="D71" s="52"/>
      <c r="E71" s="117"/>
      <c r="F71" s="118"/>
      <c r="G71" s="98" t="s">
        <v>62</v>
      </c>
      <c r="H71" s="119">
        <f>AVERAGE(H59:H70)</f>
        <v>0.97170808488208094</v>
      </c>
    </row>
    <row r="72" spans="1:8" ht="26.25" customHeight="1" x14ac:dyDescent="0.4">
      <c r="A72" s="52"/>
      <c r="B72" s="52"/>
      <c r="C72" s="117"/>
      <c r="D72" s="52"/>
      <c r="E72" s="117"/>
      <c r="F72" s="118"/>
      <c r="G72" s="100" t="s">
        <v>75</v>
      </c>
      <c r="H72" s="120">
        <f>STDEV(H59:H70)/H71</f>
        <v>7.0650836287114386E-3</v>
      </c>
    </row>
    <row r="73" spans="1:8" ht="27" customHeight="1" x14ac:dyDescent="0.4">
      <c r="A73" s="117"/>
      <c r="B73" s="117"/>
      <c r="C73" s="118"/>
      <c r="D73" s="52"/>
      <c r="E73" s="121"/>
      <c r="F73" s="118"/>
      <c r="G73" s="102" t="s">
        <v>19</v>
      </c>
      <c r="H73" s="122">
        <f>COUNT(H59:H70)</f>
        <v>9</v>
      </c>
    </row>
    <row r="74" spans="1:8" ht="18.75" customHeight="1" x14ac:dyDescent="0.3">
      <c r="A74" s="123"/>
      <c r="B74" s="123"/>
      <c r="C74" s="87"/>
      <c r="D74" s="124"/>
      <c r="E74" s="90"/>
      <c r="F74" s="87"/>
      <c r="G74" s="125"/>
      <c r="H74" s="126"/>
    </row>
    <row r="75" spans="1:8" ht="26.25" customHeight="1" x14ac:dyDescent="0.4">
      <c r="A75" s="127" t="s">
        <v>97</v>
      </c>
      <c r="B75" s="128" t="s">
        <v>98</v>
      </c>
      <c r="C75" s="278" t="str">
        <f>B20</f>
        <v>Insulin Aspart</v>
      </c>
      <c r="D75" s="278"/>
      <c r="E75" s="129" t="s">
        <v>99</v>
      </c>
      <c r="F75" s="129"/>
      <c r="G75" s="130">
        <f>H71</f>
        <v>0.97170808488208094</v>
      </c>
      <c r="H75" s="126"/>
    </row>
    <row r="76" spans="1:8" ht="19.5" customHeight="1" x14ac:dyDescent="0.3">
      <c r="A76" s="131"/>
      <c r="B76" s="132"/>
      <c r="C76" s="132"/>
      <c r="D76" s="132"/>
      <c r="E76" s="132"/>
      <c r="F76" s="132"/>
      <c r="G76" s="132"/>
      <c r="H76" s="132"/>
    </row>
    <row r="77" spans="1:8" ht="18.75" customHeight="1" x14ac:dyDescent="0.3">
      <c r="A77" s="52"/>
      <c r="B77" s="106" t="s">
        <v>25</v>
      </c>
      <c r="C77" s="52"/>
      <c r="D77" s="52"/>
      <c r="E77" s="118" t="s">
        <v>26</v>
      </c>
      <c r="F77" s="133"/>
      <c r="G77" s="118" t="s">
        <v>27</v>
      </c>
      <c r="H77" s="52"/>
    </row>
    <row r="78" spans="1:8" ht="60" customHeight="1" x14ac:dyDescent="0.3">
      <c r="A78" s="134" t="s">
        <v>28</v>
      </c>
      <c r="B78" s="135" t="s">
        <v>102</v>
      </c>
      <c r="C78" s="135"/>
      <c r="D78" s="52"/>
      <c r="E78" s="136"/>
      <c r="F78" s="52"/>
      <c r="G78" s="137"/>
      <c r="H78" s="137"/>
    </row>
    <row r="79" spans="1:8" ht="60" customHeight="1" x14ac:dyDescent="0.3">
      <c r="A79" s="134" t="s">
        <v>29</v>
      </c>
      <c r="B79" s="138"/>
      <c r="C79" s="138"/>
      <c r="D79" s="52"/>
      <c r="E79" s="139"/>
      <c r="F79" s="133"/>
      <c r="G79" s="140"/>
      <c r="H79" s="140"/>
    </row>
    <row r="250" spans="1:1" x14ac:dyDescent="0.2">
      <c r="A250">
        <v>5</v>
      </c>
    </row>
  </sheetData>
  <sheetProtection formatCells="0" formatColumns="0"/>
  <mergeCells count="23">
    <mergeCell ref="A1:H7"/>
    <mergeCell ref="A8:H14"/>
    <mergeCell ref="B26:C26"/>
    <mergeCell ref="A16:H16"/>
    <mergeCell ref="B18:E18"/>
    <mergeCell ref="B20:E20"/>
    <mergeCell ref="B21:H21"/>
    <mergeCell ref="B27:C27"/>
    <mergeCell ref="C29:G29"/>
    <mergeCell ref="C31:G31"/>
    <mergeCell ref="C32:G32"/>
    <mergeCell ref="D36:E36"/>
    <mergeCell ref="F36:G36"/>
    <mergeCell ref="C75:D75"/>
    <mergeCell ref="A46:B47"/>
    <mergeCell ref="C59:C62"/>
    <mergeCell ref="D59:D62"/>
    <mergeCell ref="C63:C66"/>
    <mergeCell ref="D63:D66"/>
    <mergeCell ref="C67:C70"/>
    <mergeCell ref="D67:D70"/>
    <mergeCell ref="A69:B70"/>
    <mergeCell ref="B55:H55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  <pageSetup scale="34" orientation="portrait" horizontalDpi="4294967295" verticalDpi="4294967295" r:id="rId1"/>
  <headerFooter>
    <oddFooter>&amp;LNQCL/ADDO/014&amp;CPage &amp;P of &amp;N&amp;R&amp;D &amp;T</oddFooter>
  </headerFooter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Insulin Aspartate (2)</vt:lpstr>
      <vt:lpstr>sst insulin aspart</vt:lpstr>
      <vt:lpstr>Insulin Aspartate</vt:lpstr>
      <vt:lpstr>'Insulin Aspartate'!Print_Area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Dr. Ernest Mbae</cp:lastModifiedBy>
  <cp:lastPrinted>2018-04-04T08:35:00Z</cp:lastPrinted>
  <dcterms:created xsi:type="dcterms:W3CDTF">2005-07-05T10:19:27Z</dcterms:created>
  <dcterms:modified xsi:type="dcterms:W3CDTF">2018-04-20T12:49:33Z</dcterms:modified>
</cp:coreProperties>
</file>