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 Artemether" sheetId="1" r:id="rId1"/>
    <sheet name="SST Lumefantrine" sheetId="5" r:id="rId2"/>
    <sheet name="RD" sheetId="2" r:id="rId3"/>
    <sheet name="Artemether " sheetId="3" r:id="rId4"/>
    <sheet name="Lumefantrine" sheetId="4" r:id="rId5"/>
  </sheets>
  <definedNames>
    <definedName name="_xlnm.Print_Area" localSheetId="3">'Artemether '!$A$1:$H$135</definedName>
    <definedName name="_xlnm.Print_Area" localSheetId="4">Lumefantrine!$A$1:$H$135</definedName>
    <definedName name="_xlnm.Print_Area" localSheetId="2">RD!$A$1:$F$43</definedName>
    <definedName name="_xlnm.Print_Area" localSheetId="0">'SST Artemether'!$A$15:$G$61</definedName>
    <definedName name="_xlnm.Print_Area" localSheetId="1">'SST Lumefantrine'!$A$15:$H$61</definedName>
  </definedNames>
  <calcPr calcId="145621"/>
</workbook>
</file>

<file path=xl/calcChain.xml><?xml version="1.0" encoding="utf-8"?>
<calcChain xmlns="http://schemas.openxmlformats.org/spreadsheetml/2006/main">
  <c r="B42" i="1" l="1"/>
  <c r="B42" i="5"/>
  <c r="E51" i="5" l="1"/>
  <c r="E30" i="5"/>
  <c r="B21" i="5"/>
  <c r="D30" i="1"/>
  <c r="B21" i="1"/>
  <c r="B53" i="5"/>
  <c r="F51" i="5"/>
  <c r="D51" i="5"/>
  <c r="C51" i="5"/>
  <c r="B51" i="5"/>
  <c r="B52" i="5" s="1"/>
  <c r="B32" i="5"/>
  <c r="D30" i="5"/>
  <c r="C30" i="5"/>
  <c r="B30" i="5"/>
  <c r="B31" i="5" s="1"/>
  <c r="B112" i="3"/>
  <c r="B112" i="4"/>
  <c r="B58" i="4" l="1"/>
  <c r="B58" i="3"/>
  <c r="C132" i="4"/>
  <c r="H127" i="4"/>
  <c r="G127" i="4"/>
  <c r="B124" i="4"/>
  <c r="H123" i="4"/>
  <c r="G123" i="4"/>
  <c r="H119" i="4"/>
  <c r="G119" i="4"/>
  <c r="G117" i="4"/>
  <c r="H117" i="4" s="1"/>
  <c r="G116" i="4"/>
  <c r="H116" i="4" s="1"/>
  <c r="B113" i="4"/>
  <c r="E111" i="4"/>
  <c r="B110" i="4"/>
  <c r="B100" i="4"/>
  <c r="D103" i="4" s="1"/>
  <c r="E94" i="4" s="1"/>
  <c r="D99" i="4"/>
  <c r="F97" i="4"/>
  <c r="D97" i="4"/>
  <c r="G96" i="4"/>
  <c r="E96" i="4"/>
  <c r="B89" i="4"/>
  <c r="F99" i="4" s="1"/>
  <c r="B85" i="4"/>
  <c r="C78" i="4"/>
  <c r="H73" i="4"/>
  <c r="G73" i="4"/>
  <c r="B70" i="4"/>
  <c r="H69" i="4"/>
  <c r="G69" i="4"/>
  <c r="H65" i="4"/>
  <c r="G65" i="4"/>
  <c r="B59" i="4"/>
  <c r="D113" i="4"/>
  <c r="B125" i="4" s="1"/>
  <c r="E57" i="4"/>
  <c r="B56" i="4"/>
  <c r="B46" i="4"/>
  <c r="D49" i="4" s="1"/>
  <c r="F45" i="4"/>
  <c r="F43" i="4"/>
  <c r="D43" i="4"/>
  <c r="G42" i="4"/>
  <c r="E42" i="4"/>
  <c r="B35" i="4"/>
  <c r="D45" i="4" s="1"/>
  <c r="D46" i="4" s="1"/>
  <c r="D47" i="4" s="1"/>
  <c r="B31" i="4"/>
  <c r="C132" i="3"/>
  <c r="H127" i="3"/>
  <c r="G127" i="3"/>
  <c r="B124" i="3"/>
  <c r="H123" i="3"/>
  <c r="G123" i="3"/>
  <c r="H119" i="3"/>
  <c r="G119" i="3"/>
  <c r="G117" i="3"/>
  <c r="H117" i="3" s="1"/>
  <c r="B113" i="3"/>
  <c r="E111" i="3"/>
  <c r="B110" i="3"/>
  <c r="B100" i="3"/>
  <c r="D103" i="3" s="1"/>
  <c r="E94" i="3" s="1"/>
  <c r="D99" i="3"/>
  <c r="F97" i="3"/>
  <c r="D97" i="3"/>
  <c r="G96" i="3"/>
  <c r="E96" i="3"/>
  <c r="B89" i="3"/>
  <c r="F99" i="3" s="1"/>
  <c r="B85" i="3"/>
  <c r="C78" i="3"/>
  <c r="H73" i="3"/>
  <c r="G73" i="3"/>
  <c r="B70" i="3"/>
  <c r="H69" i="3"/>
  <c r="G69" i="3"/>
  <c r="H65" i="3"/>
  <c r="G65" i="3"/>
  <c r="B59" i="3"/>
  <c r="D113" i="3"/>
  <c r="B125" i="3" s="1"/>
  <c r="E57" i="3"/>
  <c r="B56" i="3"/>
  <c r="B46" i="3"/>
  <c r="D49" i="3" s="1"/>
  <c r="F45" i="3"/>
  <c r="F43" i="3"/>
  <c r="D43" i="3"/>
  <c r="G42" i="3"/>
  <c r="E42" i="3"/>
  <c r="B35" i="3"/>
  <c r="D45" i="3" s="1"/>
  <c r="B31" i="3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F100" i="3" l="1"/>
  <c r="D100" i="3"/>
  <c r="D101" i="3" s="1"/>
  <c r="D46" i="3"/>
  <c r="E39" i="3" s="1"/>
  <c r="F46" i="3"/>
  <c r="G41" i="3" s="1"/>
  <c r="D104" i="3"/>
  <c r="D100" i="4"/>
  <c r="D101" i="4" s="1"/>
  <c r="F100" i="4"/>
  <c r="F101" i="4" s="1"/>
  <c r="F46" i="4"/>
  <c r="F47" i="4" s="1"/>
  <c r="D104" i="4"/>
  <c r="C35" i="2"/>
  <c r="C37" i="2"/>
  <c r="C39" i="2" s="1"/>
  <c r="D50" i="4"/>
  <c r="E41" i="4"/>
  <c r="E39" i="4"/>
  <c r="E40" i="4"/>
  <c r="G94" i="3"/>
  <c r="F101" i="3"/>
  <c r="B71" i="4"/>
  <c r="E95" i="3"/>
  <c r="E93" i="3"/>
  <c r="G94" i="4"/>
  <c r="D50" i="3"/>
  <c r="E41" i="3"/>
  <c r="E95" i="4"/>
  <c r="E93" i="4"/>
  <c r="G93" i="3"/>
  <c r="G95" i="3"/>
  <c r="G93" i="4"/>
  <c r="G95" i="4"/>
  <c r="D59" i="3"/>
  <c r="B71" i="3" s="1"/>
  <c r="D59" i="4"/>
  <c r="G39" i="3" l="1"/>
  <c r="D47" i="3"/>
  <c r="G40" i="3"/>
  <c r="F47" i="3"/>
  <c r="E40" i="3"/>
  <c r="G40" i="4"/>
  <c r="G39" i="4"/>
  <c r="G43" i="4" s="1"/>
  <c r="G41" i="4"/>
  <c r="G43" i="3"/>
  <c r="D107" i="4"/>
  <c r="D105" i="4"/>
  <c r="E97" i="4"/>
  <c r="G97" i="3"/>
  <c r="G97" i="4"/>
  <c r="D107" i="3"/>
  <c r="D105" i="3"/>
  <c r="G116" i="3" s="1"/>
  <c r="H116" i="3" s="1"/>
  <c r="E97" i="3"/>
  <c r="D51" i="4"/>
  <c r="E43" i="4"/>
  <c r="D51" i="3"/>
  <c r="E43" i="3"/>
  <c r="D53" i="3"/>
  <c r="D53" i="4" l="1"/>
  <c r="G62" i="4"/>
  <c r="H62" i="4" s="1"/>
  <c r="G63" i="4"/>
  <c r="H63" i="4" s="1"/>
  <c r="G62" i="3"/>
  <c r="H62" i="3" s="1"/>
  <c r="G63" i="3"/>
  <c r="H63" i="3" s="1"/>
  <c r="G126" i="3"/>
  <c r="H126" i="3" s="1"/>
  <c r="G121" i="3"/>
  <c r="H121" i="3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G71" i="4"/>
  <c r="H71" i="4" s="1"/>
  <c r="G68" i="4"/>
  <c r="H68" i="4" s="1"/>
  <c r="G66" i="4"/>
  <c r="H66" i="4" s="1"/>
  <c r="G64" i="4"/>
  <c r="H64" i="4" s="1"/>
  <c r="G70" i="4"/>
  <c r="H70" i="4" s="1"/>
  <c r="D52" i="4"/>
  <c r="G72" i="4"/>
  <c r="H72" i="4" s="1"/>
  <c r="G67" i="4"/>
  <c r="H67" i="4" s="1"/>
  <c r="G126" i="4"/>
  <c r="H126" i="4" s="1"/>
  <c r="G121" i="4"/>
  <c r="H121" i="4" s="1"/>
  <c r="G124" i="4"/>
  <c r="H124" i="4" s="1"/>
  <c r="D106" i="4"/>
  <c r="G125" i="4"/>
  <c r="H125" i="4" s="1"/>
  <c r="G122" i="4"/>
  <c r="H122" i="4" s="1"/>
  <c r="G120" i="4"/>
  <c r="H120" i="4" s="1"/>
  <c r="G118" i="4"/>
  <c r="H118" i="4" s="1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G70" i="3"/>
  <c r="H70" i="3" s="1"/>
  <c r="D52" i="3"/>
  <c r="H74" i="3" l="1"/>
  <c r="H76" i="3"/>
  <c r="H76" i="4"/>
  <c r="H74" i="4"/>
  <c r="H130" i="3"/>
  <c r="H128" i="3"/>
  <c r="H128" i="4"/>
  <c r="H130" i="4"/>
  <c r="H75" i="4" l="1"/>
  <c r="G78" i="4"/>
  <c r="G132" i="4"/>
  <c r="H129" i="4"/>
  <c r="H75" i="3"/>
  <c r="G78" i="3"/>
  <c r="G132" i="3"/>
  <c r="H129" i="3"/>
  <c r="F30" i="5" l="1"/>
</calcChain>
</file>

<file path=xl/sharedStrings.xml><?xml version="1.0" encoding="utf-8"?>
<sst xmlns="http://schemas.openxmlformats.org/spreadsheetml/2006/main" count="473" uniqueCount="120">
  <si>
    <t>HPLC System Suitability Report</t>
  </si>
  <si>
    <t>Analysis Data</t>
  </si>
  <si>
    <t>Sample(s)</t>
  </si>
  <si>
    <t>Reference Substance:</t>
  </si>
  <si>
    <t>COMBIART SUSPENSION</t>
  </si>
  <si>
    <t>% age Purity:</t>
  </si>
  <si>
    <t>NDQD201804394</t>
  </si>
  <si>
    <t>Weight (mg):</t>
  </si>
  <si>
    <t>Artemether &amp; Lumefantrine</t>
  </si>
  <si>
    <t>Standard Conc (mg/mL):</t>
  </si>
  <si>
    <t>Each 5ml reconstituted suspension contains: Artemether 15 mg and Lumefantrine 90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</si>
  <si>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</si>
  <si>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</si>
  <si>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</si>
  <si>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</si>
  <si>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</si>
  <si>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</si>
  <si>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</si>
  <si>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</si>
  <si>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</si>
  <si>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</si>
  <si>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</si>
  <si>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</si>
  <si>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</si>
  <si>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</si>
  <si>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</si>
  <si>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</si>
  <si>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</si>
  <si>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</si>
  <si>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</si>
  <si>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</si>
  <si>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</si>
  <si>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</si>
  <si>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</si>
  <si>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</si>
  <si>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</si>
  <si>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</si>
  <si>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</si>
  <si>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</si>
  <si>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</si>
  <si>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</si>
  <si>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</si>
  <si>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</si>
  <si>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</si>
  <si>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</si>
  <si>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</si>
  <si>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</si>
  <si>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</si>
  <si>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</si>
  <si>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</si>
  <si>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</si>
  <si>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</si>
  <si>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</si>
  <si>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</si>
  <si>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</si>
  <si>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</si>
  <si>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</si>
  <si>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</si>
  <si>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</si>
  <si>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</si>
  <si>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</si>
  <si>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</si>
  <si>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</si>
  <si>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</si>
  <si>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</si>
  <si>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</si>
  <si>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</si>
  <si>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</si>
  <si>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</si>
  <si>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</si>
  <si>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</si>
  <si>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</si>
  <si>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</si>
  <si>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</si>
  <si>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</si>
  <si>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</si>
  <si>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</si>
  <si>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</si>
  <si>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</si>
  <si>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</si>
  <si>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</si>
  <si>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</si>
  <si>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</si>
  <si>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</si>
  <si>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</si>
  <si>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</si>
  <si>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</si>
  <si>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</si>
  <si>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</si>
  <si>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</si>
  <si>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</si>
  <si>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</si>
  <si>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</si>
  <si>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</si>
  <si>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</si>
  <si>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</si>
  <si>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</si>
  <si>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</si>
  <si>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</si>
  <si>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</si>
  <si>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</si>
  <si>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</si>
  <si>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</si>
  <si>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</si>
  <si>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</si>
  <si>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</si>
  <si>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</si>
  <si>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</si>
  <si>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</si>
  <si>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</si>
  <si>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Lumefantrine</t>
  </si>
  <si>
    <t>L1-0</t>
  </si>
  <si>
    <t>Artemether</t>
  </si>
  <si>
    <t>A5-12</t>
  </si>
  <si>
    <t>RUTTO   KENNEDY</t>
  </si>
  <si>
    <t>Resolution(USP)</t>
  </si>
  <si>
    <t>Assay-DAY 1</t>
  </si>
  <si>
    <t>Assay-DAY 5</t>
  </si>
  <si>
    <t>RUTTO KENNEDY</t>
  </si>
  <si>
    <t>9th 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</si>
</sst>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0" fontId="1" fillId="2" borderId="0" xfId="0" applyFont="1" applyFill="1" applyProtection="1">
      <protection locked="0"/>
    </xf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A29" sqref="A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6" t="s">
        <v>0</v>
      </c>
      <c r="B15" s="376"/>
      <c r="C15" s="376"/>
      <c r="D15" s="376"/>
      <c r="E15" s="376"/>
    </row>
    <row r="16" spans="1:6" ht="16.5" customHeight="1" x14ac:dyDescent="0.3">
      <c r="A16" s="5" t="s">
        <v>1</v>
      </c>
      <c r="B16" s="6" t="s">
        <v>116</v>
      </c>
    </row>
    <row r="17" spans="1:6" ht="16.5" customHeight="1" x14ac:dyDescent="0.3">
      <c r="A17" s="7" t="s">
        <v>2</v>
      </c>
      <c r="B17" s="8" t="s">
        <v>4</v>
      </c>
      <c r="D17" s="9"/>
      <c r="E17" s="10"/>
    </row>
    <row r="18" spans="1:6" ht="16.5" customHeight="1" x14ac:dyDescent="0.3">
      <c r="A18" s="11" t="s">
        <v>3</v>
      </c>
      <c r="B18" s="8" t="s">
        <v>112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</v>
      </c>
      <c r="C19" s="10"/>
      <c r="D19" s="10"/>
      <c r="E19" s="10"/>
    </row>
    <row r="20" spans="1:6" ht="16.5" customHeight="1" x14ac:dyDescent="0.3">
      <c r="A20" s="7" t="s">
        <v>7</v>
      </c>
      <c r="B20" s="12">
        <v>18.899999999999999</v>
      </c>
      <c r="C20" s="10"/>
      <c r="D20" s="10"/>
      <c r="E20" s="10"/>
    </row>
    <row r="21" spans="1:6" ht="16.5" customHeight="1" x14ac:dyDescent="0.3">
      <c r="A21" s="7" t="s">
        <v>9</v>
      </c>
      <c r="B21" s="13">
        <f>18.9/100</f>
        <v>0.18899999999999997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648221</v>
      </c>
      <c r="C24" s="18">
        <v>14353.51</v>
      </c>
      <c r="D24" s="19">
        <v>0.79</v>
      </c>
      <c r="E24" s="20">
        <v>22.44</v>
      </c>
    </row>
    <row r="25" spans="1:6" ht="16.5" customHeight="1" x14ac:dyDescent="0.3">
      <c r="A25" s="17">
        <v>2</v>
      </c>
      <c r="B25" s="18">
        <v>644517</v>
      </c>
      <c r="C25" s="18">
        <v>13960.92</v>
      </c>
      <c r="D25" s="19">
        <v>0.79</v>
      </c>
      <c r="E25" s="19">
        <v>22.44</v>
      </c>
    </row>
    <row r="26" spans="1:6" ht="16.5" customHeight="1" x14ac:dyDescent="0.3">
      <c r="A26" s="17">
        <v>3</v>
      </c>
      <c r="B26" s="18">
        <v>648631</v>
      </c>
      <c r="C26" s="18">
        <v>14051.91</v>
      </c>
      <c r="D26" s="19">
        <v>0.8</v>
      </c>
      <c r="E26" s="19">
        <v>22.44</v>
      </c>
    </row>
    <row r="27" spans="1:6" ht="16.5" customHeight="1" x14ac:dyDescent="0.3">
      <c r="A27" s="17">
        <v>4</v>
      </c>
      <c r="B27" s="18">
        <v>635869</v>
      </c>
      <c r="C27" s="18">
        <v>14231.03</v>
      </c>
      <c r="D27" s="19">
        <v>0.79</v>
      </c>
      <c r="E27" s="19">
        <v>22.46</v>
      </c>
    </row>
    <row r="28" spans="1:6" ht="16.5" customHeight="1" x14ac:dyDescent="0.3">
      <c r="A28" s="17">
        <v>5</v>
      </c>
      <c r="B28" s="18">
        <v>636830</v>
      </c>
      <c r="C28" s="19">
        <v>14204.7</v>
      </c>
      <c r="D28" s="19">
        <v>0.79</v>
      </c>
      <c r="E28" s="19">
        <v>22.47</v>
      </c>
    </row>
    <row r="29" spans="1:6" ht="16.5" customHeight="1" x14ac:dyDescent="0.3">
      <c r="A29" s="17">
        <v>6</v>
      </c>
      <c r="B29" s="21">
        <v>636801</v>
      </c>
      <c r="C29" s="21">
        <v>14334.73</v>
      </c>
      <c r="D29" s="22">
        <v>0.79</v>
      </c>
      <c r="E29" s="22">
        <v>22.47</v>
      </c>
    </row>
    <row r="30" spans="1:6" ht="16.5" customHeight="1" x14ac:dyDescent="0.3">
      <c r="A30" s="23" t="s">
        <v>16</v>
      </c>
      <c r="B30" s="24">
        <f>AVERAGE(B24:B29)</f>
        <v>641811.5</v>
      </c>
      <c r="C30" s="25">
        <f>AVERAGE(C24:C29)</f>
        <v>14189.466666666665</v>
      </c>
      <c r="D30" s="26">
        <f>AVERAGE(D24:D29)</f>
        <v>0.79166666666666663</v>
      </c>
      <c r="E30" s="26">
        <f>AVERAGE(E24:E29)</f>
        <v>22.453333333333333</v>
      </c>
    </row>
    <row r="31" spans="1:6" ht="16.5" customHeight="1" x14ac:dyDescent="0.3">
      <c r="A31" s="27" t="s">
        <v>17</v>
      </c>
      <c r="B31" s="28">
        <f>(STDEV(B24:B29)/B30)</f>
        <v>9.3521938033303623E-3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117</v>
      </c>
    </row>
    <row r="39" spans="1:6" ht="16.5" customHeight="1" x14ac:dyDescent="0.3">
      <c r="A39" s="11" t="s">
        <v>3</v>
      </c>
      <c r="B39" s="8" t="s">
        <v>112</v>
      </c>
      <c r="C39" s="10"/>
      <c r="D39" s="10"/>
      <c r="E39" s="10"/>
    </row>
    <row r="40" spans="1:6" ht="16.5" customHeight="1" x14ac:dyDescent="0.3">
      <c r="A40" s="11" t="s">
        <v>5</v>
      </c>
      <c r="B40" s="12">
        <v>99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20.170000000000002</v>
      </c>
      <c r="C41" s="10"/>
      <c r="D41" s="10"/>
      <c r="E41" s="10"/>
    </row>
    <row r="42" spans="1:6" ht="16.5" customHeight="1" x14ac:dyDescent="0.3">
      <c r="A42" s="7" t="s">
        <v>9</v>
      </c>
      <c r="B42" s="13">
        <f>20.17/100</f>
        <v>0.20170000000000002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675088</v>
      </c>
      <c r="C45" s="18">
        <v>13977.54</v>
      </c>
      <c r="D45" s="19">
        <v>0.78</v>
      </c>
      <c r="E45" s="20">
        <v>23.24</v>
      </c>
    </row>
    <row r="46" spans="1:6" ht="16.5" customHeight="1" x14ac:dyDescent="0.3">
      <c r="A46" s="17">
        <v>2</v>
      </c>
      <c r="B46" s="18">
        <v>688192</v>
      </c>
      <c r="C46" s="18">
        <v>13944.49</v>
      </c>
      <c r="D46" s="19">
        <v>0.79</v>
      </c>
      <c r="E46" s="19">
        <v>23.26</v>
      </c>
    </row>
    <row r="47" spans="1:6" ht="16.5" customHeight="1" x14ac:dyDescent="0.3">
      <c r="A47" s="17">
        <v>3</v>
      </c>
      <c r="B47" s="18">
        <v>677467</v>
      </c>
      <c r="C47" s="18">
        <v>14318.73</v>
      </c>
      <c r="D47" s="19">
        <v>0.79</v>
      </c>
      <c r="E47" s="19">
        <v>23.3</v>
      </c>
    </row>
    <row r="48" spans="1:6" ht="16.5" customHeight="1" x14ac:dyDescent="0.3">
      <c r="A48" s="17">
        <v>4</v>
      </c>
      <c r="B48" s="18">
        <v>678201</v>
      </c>
      <c r="C48" s="18">
        <v>14132.3</v>
      </c>
      <c r="D48" s="19">
        <v>0.79</v>
      </c>
      <c r="E48" s="19">
        <v>23.3</v>
      </c>
    </row>
    <row r="49" spans="1:7" ht="16.5" customHeight="1" x14ac:dyDescent="0.3">
      <c r="A49" s="17">
        <v>5</v>
      </c>
      <c r="B49" s="18">
        <v>677565</v>
      </c>
      <c r="C49" s="18">
        <v>14117.83</v>
      </c>
      <c r="D49" s="19">
        <v>0.8</v>
      </c>
      <c r="E49" s="19">
        <v>23.31</v>
      </c>
    </row>
    <row r="50" spans="1:7" ht="16.5" customHeight="1" x14ac:dyDescent="0.3">
      <c r="A50" s="17">
        <v>6</v>
      </c>
      <c r="B50" s="21">
        <v>679086</v>
      </c>
      <c r="C50" s="21">
        <v>14498.25</v>
      </c>
      <c r="D50" s="22">
        <v>0.78</v>
      </c>
      <c r="E50" s="22">
        <v>23.31</v>
      </c>
    </row>
    <row r="51" spans="1:7" ht="16.5" customHeight="1" x14ac:dyDescent="0.3">
      <c r="A51" s="23" t="s">
        <v>16</v>
      </c>
      <c r="B51" s="24">
        <f>AVERAGE(B45:B50)</f>
        <v>679266.5</v>
      </c>
      <c r="C51" s="25">
        <f>AVERAGE(C45:C50)</f>
        <v>14164.856666666667</v>
      </c>
      <c r="D51" s="26">
        <f>AVERAGE(D45:D50)</f>
        <v>0.78833333333333344</v>
      </c>
      <c r="E51" s="26">
        <f>AVERAGE(E45:E50)</f>
        <v>23.286666666666665</v>
      </c>
    </row>
    <row r="52" spans="1:7" ht="16.5" customHeight="1" x14ac:dyDescent="0.3">
      <c r="A52" s="27" t="s">
        <v>17</v>
      </c>
      <c r="B52" s="28">
        <f>(STDEV(B45:B50)/B51)</f>
        <v>6.7278803719504829E-3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7" t="s">
        <v>23</v>
      </c>
      <c r="C59" s="377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 t="s">
        <v>118</v>
      </c>
      <c r="C60" s="48"/>
      <c r="E60" s="48" t="s">
        <v>119</v>
      </c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C24" sqref="C24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5" width="25.85546875" style="82" customWidth="1"/>
    <col min="6" max="6" width="25.7109375" style="82" customWidth="1"/>
    <col min="7" max="7" width="23.140625" style="82" customWidth="1"/>
    <col min="8" max="8" width="28.42578125" style="82" customWidth="1"/>
    <col min="9" max="9" width="21.5703125" style="82" customWidth="1"/>
    <col min="10" max="10" width="9.140625" style="82" customWidth="1"/>
    <col min="11" max="16384" width="9.140625" style="86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376" t="s">
        <v>0</v>
      </c>
      <c r="B15" s="376"/>
      <c r="C15" s="376"/>
      <c r="D15" s="376"/>
      <c r="E15" s="376"/>
      <c r="F15" s="376"/>
    </row>
    <row r="16" spans="1:7" ht="16.5" customHeight="1" x14ac:dyDescent="0.3">
      <c r="A16" s="5" t="s">
        <v>1</v>
      </c>
      <c r="B16" s="6" t="s">
        <v>116</v>
      </c>
    </row>
    <row r="17" spans="1:6" ht="16.5" customHeight="1" x14ac:dyDescent="0.3">
      <c r="A17" s="8" t="s">
        <v>2</v>
      </c>
      <c r="B17" s="8" t="s">
        <v>4</v>
      </c>
      <c r="D17" s="9"/>
      <c r="E17" s="9"/>
      <c r="F17" s="93"/>
    </row>
    <row r="18" spans="1:6" ht="16.5" customHeight="1" x14ac:dyDescent="0.3">
      <c r="A18" s="96" t="s">
        <v>3</v>
      </c>
      <c r="B18" s="8" t="s">
        <v>110</v>
      </c>
      <c r="C18" s="93"/>
      <c r="D18" s="93"/>
      <c r="E18" s="93"/>
      <c r="F18" s="93"/>
    </row>
    <row r="19" spans="1:6" ht="16.5" customHeight="1" x14ac:dyDescent="0.3">
      <c r="A19" s="96" t="s">
        <v>5</v>
      </c>
      <c r="B19" s="12">
        <v>99.1</v>
      </c>
      <c r="C19" s="93"/>
      <c r="D19" s="93"/>
      <c r="E19" s="93"/>
      <c r="F19" s="93"/>
    </row>
    <row r="20" spans="1:6" ht="16.5" customHeight="1" x14ac:dyDescent="0.3">
      <c r="A20" s="8" t="s">
        <v>7</v>
      </c>
      <c r="B20" s="12">
        <v>16.82</v>
      </c>
      <c r="C20" s="93"/>
      <c r="D20" s="93"/>
      <c r="E20" s="93"/>
      <c r="F20" s="93"/>
    </row>
    <row r="21" spans="1:6" ht="16.5" customHeight="1" x14ac:dyDescent="0.3">
      <c r="A21" s="8" t="s">
        <v>9</v>
      </c>
      <c r="B21" s="13">
        <f>16.82/100</f>
        <v>0.16820000000000002</v>
      </c>
      <c r="C21" s="93"/>
      <c r="D21" s="93"/>
      <c r="E21" s="93"/>
      <c r="F21" s="93"/>
    </row>
    <row r="22" spans="1:6" ht="15.75" customHeight="1" x14ac:dyDescent="0.25">
      <c r="A22" s="93"/>
      <c r="B22" s="93"/>
      <c r="C22" s="93"/>
      <c r="D22" s="93"/>
      <c r="E22" s="93"/>
      <c r="F22" s="93"/>
    </row>
    <row r="23" spans="1:6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115</v>
      </c>
      <c r="F23" s="16" t="s">
        <v>15</v>
      </c>
    </row>
    <row r="24" spans="1:6" ht="16.5" customHeight="1" x14ac:dyDescent="0.3">
      <c r="A24" s="17">
        <v>1</v>
      </c>
      <c r="B24" s="18">
        <v>5444338</v>
      </c>
      <c r="C24" s="18">
        <v>132582.92000000001</v>
      </c>
      <c r="D24" s="19">
        <v>1.02</v>
      </c>
      <c r="E24" s="19">
        <v>32.03</v>
      </c>
      <c r="F24" s="20">
        <v>41.79</v>
      </c>
    </row>
    <row r="25" spans="1:6" ht="16.5" customHeight="1" x14ac:dyDescent="0.3">
      <c r="A25" s="17">
        <v>2</v>
      </c>
      <c r="B25" s="18">
        <v>5472194</v>
      </c>
      <c r="C25" s="19">
        <v>132625</v>
      </c>
      <c r="D25" s="19">
        <v>1.02</v>
      </c>
      <c r="E25" s="19">
        <v>31.74</v>
      </c>
      <c r="F25" s="19">
        <v>41.78</v>
      </c>
    </row>
    <row r="26" spans="1:6" ht="16.5" customHeight="1" x14ac:dyDescent="0.3">
      <c r="A26" s="17">
        <v>3</v>
      </c>
      <c r="B26" s="18">
        <v>5443033</v>
      </c>
      <c r="C26" s="19">
        <v>133074.9</v>
      </c>
      <c r="D26" s="19">
        <v>1.03</v>
      </c>
      <c r="E26" s="19">
        <v>31.81</v>
      </c>
      <c r="F26" s="19">
        <v>41.77</v>
      </c>
    </row>
    <row r="27" spans="1:6" ht="16.5" customHeight="1" x14ac:dyDescent="0.3">
      <c r="A27" s="17">
        <v>4</v>
      </c>
      <c r="B27" s="18">
        <v>5483092</v>
      </c>
      <c r="C27" s="18">
        <v>133008.78</v>
      </c>
      <c r="D27" s="19">
        <v>1.02</v>
      </c>
      <c r="E27" s="19">
        <v>31.89</v>
      </c>
      <c r="F27" s="19">
        <v>41.77</v>
      </c>
    </row>
    <row r="28" spans="1:6" ht="16.5" customHeight="1" x14ac:dyDescent="0.3">
      <c r="A28" s="17">
        <v>5</v>
      </c>
      <c r="B28" s="18">
        <v>5459606</v>
      </c>
      <c r="C28" s="18">
        <v>130157.11</v>
      </c>
      <c r="D28" s="19">
        <v>1.01</v>
      </c>
      <c r="E28" s="19">
        <v>31.73</v>
      </c>
      <c r="F28" s="19">
        <v>41.78</v>
      </c>
    </row>
    <row r="29" spans="1:6" ht="16.5" customHeight="1" x14ac:dyDescent="0.3">
      <c r="A29" s="17">
        <v>6</v>
      </c>
      <c r="B29" s="21">
        <v>5492373</v>
      </c>
      <c r="C29" s="21">
        <v>130054.27</v>
      </c>
      <c r="D29" s="22">
        <v>1.01</v>
      </c>
      <c r="E29" s="22">
        <v>31.8</v>
      </c>
      <c r="F29" s="22">
        <v>41.78</v>
      </c>
    </row>
    <row r="30" spans="1:6" ht="16.5" customHeight="1" x14ac:dyDescent="0.3">
      <c r="A30" s="23" t="s">
        <v>16</v>
      </c>
      <c r="B30" s="24">
        <f>AVERAGE(B24:B29)</f>
        <v>5465772.666666667</v>
      </c>
      <c r="C30" s="25">
        <f>AVERAGE(C24:C29)</f>
        <v>131917.16333333336</v>
      </c>
      <c r="D30" s="26">
        <f>AVERAGE(D24:D29)</f>
        <v>1.0183333333333333</v>
      </c>
      <c r="E30" s="26">
        <f>AVERAGE(E24:E29)</f>
        <v>31.833333333333332</v>
      </c>
      <c r="F30" s="26">
        <f>AVERAGE(F24:F29)</f>
        <v>41.778333333333336</v>
      </c>
    </row>
    <row r="31" spans="1:6" ht="16.5" customHeight="1" x14ac:dyDescent="0.3">
      <c r="A31" s="27" t="s">
        <v>17</v>
      </c>
      <c r="B31" s="28">
        <f>(STDEV(B24:B29)/B30)</f>
        <v>3.7166218962226727E-3</v>
      </c>
      <c r="C31" s="29"/>
      <c r="D31" s="29"/>
      <c r="E31" s="29"/>
      <c r="F31" s="30"/>
    </row>
    <row r="32" spans="1:6" s="82" customFormat="1" ht="16.5" customHeight="1" x14ac:dyDescent="0.3">
      <c r="A32" s="31" t="s">
        <v>18</v>
      </c>
      <c r="B32" s="32">
        <f>COUNT(B24:B29)</f>
        <v>6</v>
      </c>
      <c r="C32" s="33"/>
      <c r="D32" s="94"/>
      <c r="E32" s="94"/>
      <c r="F32" s="35"/>
    </row>
    <row r="33" spans="1:6" s="82" customFormat="1" ht="15.75" customHeight="1" x14ac:dyDescent="0.25">
      <c r="A33" s="93"/>
      <c r="B33" s="93"/>
      <c r="C33" s="93"/>
      <c r="D33" s="93"/>
      <c r="E33" s="93"/>
      <c r="F33" s="93"/>
    </row>
    <row r="34" spans="1:6" s="82" customFormat="1" ht="16.5" customHeight="1" x14ac:dyDescent="0.3">
      <c r="A34" s="96" t="s">
        <v>19</v>
      </c>
      <c r="B34" s="40" t="s">
        <v>20</v>
      </c>
      <c r="C34" s="107"/>
      <c r="D34" s="107"/>
      <c r="E34" s="107"/>
      <c r="F34" s="107"/>
    </row>
    <row r="35" spans="1:6" ht="16.5" customHeight="1" x14ac:dyDescent="0.3">
      <c r="A35" s="96"/>
      <c r="B35" s="40" t="s">
        <v>21</v>
      </c>
      <c r="C35" s="107"/>
      <c r="D35" s="107"/>
      <c r="E35" s="107"/>
      <c r="F35" s="107"/>
    </row>
    <row r="36" spans="1:6" ht="16.5" customHeight="1" x14ac:dyDescent="0.3">
      <c r="A36" s="96"/>
      <c r="B36" s="40" t="s">
        <v>22</v>
      </c>
      <c r="C36" s="107"/>
      <c r="D36" s="107"/>
      <c r="E36" s="107"/>
      <c r="F36" s="107"/>
    </row>
    <row r="37" spans="1:6" ht="15.75" customHeight="1" x14ac:dyDescent="0.25">
      <c r="A37" s="93"/>
      <c r="B37" s="93"/>
      <c r="C37" s="93"/>
      <c r="D37" s="93"/>
      <c r="E37" s="93"/>
      <c r="F37" s="93"/>
    </row>
    <row r="38" spans="1:6" ht="16.5" customHeight="1" x14ac:dyDescent="0.3">
      <c r="A38" s="5" t="s">
        <v>1</v>
      </c>
      <c r="B38" s="6" t="s">
        <v>117</v>
      </c>
    </row>
    <row r="39" spans="1:6" ht="16.5" customHeight="1" x14ac:dyDescent="0.3">
      <c r="A39" s="96" t="s">
        <v>3</v>
      </c>
      <c r="B39" s="8" t="s">
        <v>110</v>
      </c>
      <c r="C39" s="93"/>
      <c r="D39" s="93"/>
      <c r="E39" s="93"/>
      <c r="F39" s="93"/>
    </row>
    <row r="40" spans="1:6" ht="16.5" customHeight="1" x14ac:dyDescent="0.3">
      <c r="A40" s="96" t="s">
        <v>5</v>
      </c>
      <c r="B40" s="12">
        <v>99.1</v>
      </c>
      <c r="C40" s="93"/>
      <c r="D40" s="93"/>
      <c r="E40" s="93"/>
      <c r="F40" s="93"/>
    </row>
    <row r="41" spans="1:6" ht="16.5" customHeight="1" x14ac:dyDescent="0.3">
      <c r="A41" s="8" t="s">
        <v>7</v>
      </c>
      <c r="B41" s="12">
        <v>17.38</v>
      </c>
      <c r="C41" s="93"/>
      <c r="D41" s="93"/>
      <c r="E41" s="93"/>
      <c r="F41" s="93"/>
    </row>
    <row r="42" spans="1:6" ht="16.5" customHeight="1" x14ac:dyDescent="0.3">
      <c r="A42" s="8" t="s">
        <v>9</v>
      </c>
      <c r="B42" s="13">
        <f>17.38/100</f>
        <v>0.17379999999999998</v>
      </c>
      <c r="C42" s="93"/>
      <c r="D42" s="93"/>
      <c r="E42" s="93"/>
      <c r="F42" s="93"/>
    </row>
    <row r="43" spans="1:6" ht="15.75" customHeight="1" x14ac:dyDescent="0.25">
      <c r="A43" s="93"/>
      <c r="B43" s="93"/>
      <c r="C43" s="93"/>
      <c r="D43" s="93"/>
      <c r="E43" s="93"/>
      <c r="F43" s="93"/>
    </row>
    <row r="44" spans="1:6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115</v>
      </c>
      <c r="F44" s="16" t="s">
        <v>15</v>
      </c>
    </row>
    <row r="45" spans="1:6" ht="16.5" customHeight="1" x14ac:dyDescent="0.3">
      <c r="A45" s="17">
        <v>1</v>
      </c>
      <c r="B45" s="18">
        <v>5797232</v>
      </c>
      <c r="C45" s="19">
        <v>128128.76</v>
      </c>
      <c r="D45" s="19">
        <v>1.02</v>
      </c>
      <c r="E45" s="19">
        <v>29.85</v>
      </c>
      <c r="F45" s="20">
        <v>41.96</v>
      </c>
    </row>
    <row r="46" spans="1:6" ht="16.5" customHeight="1" x14ac:dyDescent="0.3">
      <c r="A46" s="17">
        <v>2</v>
      </c>
      <c r="B46" s="18">
        <v>5934466</v>
      </c>
      <c r="C46" s="18">
        <v>129649.26</v>
      </c>
      <c r="D46" s="19">
        <v>1.04</v>
      </c>
      <c r="E46" s="19">
        <v>29.82</v>
      </c>
      <c r="F46" s="19">
        <v>41.96</v>
      </c>
    </row>
    <row r="47" spans="1:6" ht="16.5" customHeight="1" x14ac:dyDescent="0.3">
      <c r="A47" s="17">
        <v>3</v>
      </c>
      <c r="B47" s="18">
        <v>5959374</v>
      </c>
      <c r="C47" s="18">
        <v>127784.09</v>
      </c>
      <c r="D47" s="19">
        <v>1.03</v>
      </c>
      <c r="E47" s="19">
        <v>29.91</v>
      </c>
      <c r="F47" s="19">
        <v>41.97</v>
      </c>
    </row>
    <row r="48" spans="1:6" ht="16.5" customHeight="1" x14ac:dyDescent="0.3">
      <c r="A48" s="17">
        <v>4</v>
      </c>
      <c r="B48" s="18">
        <v>5943651</v>
      </c>
      <c r="C48" s="19">
        <v>127453.41</v>
      </c>
      <c r="D48" s="19">
        <v>1.03</v>
      </c>
      <c r="E48" s="19">
        <v>29.78</v>
      </c>
      <c r="F48" s="19">
        <v>41.98</v>
      </c>
    </row>
    <row r="49" spans="1:8" ht="16.5" customHeight="1" x14ac:dyDescent="0.3">
      <c r="A49" s="17">
        <v>5</v>
      </c>
      <c r="B49" s="18">
        <v>5985873</v>
      </c>
      <c r="C49" s="18">
        <v>126520.01</v>
      </c>
      <c r="D49" s="19">
        <v>1.03</v>
      </c>
      <c r="E49" s="19">
        <v>29.71</v>
      </c>
      <c r="F49" s="19">
        <v>41.98</v>
      </c>
    </row>
    <row r="50" spans="1:8" ht="16.5" customHeight="1" x14ac:dyDescent="0.3">
      <c r="A50" s="17">
        <v>6</v>
      </c>
      <c r="B50" s="21">
        <v>6128589</v>
      </c>
      <c r="C50" s="21">
        <v>127208.98</v>
      </c>
      <c r="D50" s="22">
        <v>1.03</v>
      </c>
      <c r="E50" s="22">
        <v>29.98</v>
      </c>
      <c r="F50" s="22">
        <v>41.98</v>
      </c>
    </row>
    <row r="51" spans="1:8" ht="16.5" customHeight="1" x14ac:dyDescent="0.3">
      <c r="A51" s="23" t="s">
        <v>16</v>
      </c>
      <c r="B51" s="24">
        <f>AVERAGE(B45:B50)</f>
        <v>5958197.5</v>
      </c>
      <c r="C51" s="25">
        <f>AVERAGE(C45:C50)</f>
        <v>127790.75166666666</v>
      </c>
      <c r="D51" s="26">
        <f>AVERAGE(D45:D50)</f>
        <v>1.03</v>
      </c>
      <c r="E51" s="26">
        <f>AVERAGE(E45:E50)</f>
        <v>29.841666666666665</v>
      </c>
      <c r="F51" s="26">
        <f>AVERAGE(F45:F50)</f>
        <v>41.971666666666664</v>
      </c>
    </row>
    <row r="52" spans="1:8" ht="16.5" customHeight="1" x14ac:dyDescent="0.3">
      <c r="A52" s="27" t="s">
        <v>17</v>
      </c>
      <c r="B52" s="28">
        <f>(STDEV(B45:B50)/B51)</f>
        <v>1.783888311936959E-2</v>
      </c>
      <c r="C52" s="29"/>
      <c r="D52" s="29"/>
      <c r="E52" s="29"/>
      <c r="F52" s="30"/>
    </row>
    <row r="53" spans="1:8" s="82" customFormat="1" ht="16.5" customHeight="1" x14ac:dyDescent="0.3">
      <c r="A53" s="31" t="s">
        <v>18</v>
      </c>
      <c r="B53" s="32">
        <f>COUNT(B45:B50)</f>
        <v>6</v>
      </c>
      <c r="C53" s="33"/>
      <c r="D53" s="94"/>
      <c r="E53" s="94"/>
      <c r="F53" s="35"/>
    </row>
    <row r="54" spans="1:8" s="82" customFormat="1" ht="15.75" customHeight="1" x14ac:dyDescent="0.25">
      <c r="A54" s="93"/>
      <c r="B54" s="93"/>
      <c r="C54" s="93"/>
      <c r="D54" s="93"/>
      <c r="E54" s="93"/>
      <c r="F54" s="93"/>
    </row>
    <row r="55" spans="1:8" s="82" customFormat="1" ht="16.5" customHeight="1" x14ac:dyDescent="0.3">
      <c r="A55" s="96" t="s">
        <v>19</v>
      </c>
      <c r="B55" s="40" t="s">
        <v>20</v>
      </c>
      <c r="C55" s="107"/>
      <c r="D55" s="107"/>
      <c r="E55" s="107"/>
      <c r="F55" s="107"/>
    </row>
    <row r="56" spans="1:8" ht="16.5" customHeight="1" x14ac:dyDescent="0.3">
      <c r="A56" s="96"/>
      <c r="B56" s="40" t="s">
        <v>21</v>
      </c>
      <c r="C56" s="107"/>
      <c r="D56" s="107"/>
      <c r="E56" s="107"/>
      <c r="F56" s="107"/>
    </row>
    <row r="57" spans="1:8" ht="16.5" customHeight="1" x14ac:dyDescent="0.3">
      <c r="A57" s="96"/>
      <c r="B57" s="40" t="s">
        <v>22</v>
      </c>
      <c r="C57" s="107"/>
      <c r="D57" s="107"/>
      <c r="E57" s="107"/>
      <c r="F57" s="107"/>
    </row>
    <row r="58" spans="1:8" ht="14.25" customHeight="1" thickBot="1" x14ac:dyDescent="0.3">
      <c r="A58" s="80"/>
      <c r="B58" s="81"/>
      <c r="D58" s="83"/>
      <c r="E58" s="375"/>
      <c r="G58" s="86"/>
      <c r="H58" s="86"/>
    </row>
    <row r="59" spans="1:8" ht="15" customHeight="1" x14ac:dyDescent="0.3">
      <c r="B59" s="377" t="s">
        <v>23</v>
      </c>
      <c r="C59" s="377"/>
      <c r="F59" s="374" t="s">
        <v>24</v>
      </c>
      <c r="G59" s="46"/>
      <c r="H59" s="374" t="s">
        <v>25</v>
      </c>
    </row>
    <row r="60" spans="1:8" ht="15" customHeight="1" x14ac:dyDescent="0.3">
      <c r="A60" s="47" t="s">
        <v>26</v>
      </c>
      <c r="B60" s="49" t="s">
        <v>118</v>
      </c>
      <c r="C60" s="49"/>
      <c r="F60" s="49" t="s">
        <v>119</v>
      </c>
      <c r="H60" s="49"/>
    </row>
    <row r="61" spans="1:8" ht="15" customHeight="1" x14ac:dyDescent="0.3">
      <c r="A61" s="47" t="s">
        <v>27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C25" sqref="C2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3" t="s">
        <v>28</v>
      </c>
      <c r="B1" s="383"/>
      <c r="C1" s="383"/>
      <c r="D1" s="383"/>
      <c r="E1" s="383"/>
      <c r="F1" s="383"/>
      <c r="G1" s="105"/>
    </row>
    <row r="2" spans="1:7" ht="12.75" customHeight="1" x14ac:dyDescent="0.3">
      <c r="A2" s="383"/>
      <c r="B2" s="383"/>
      <c r="C2" s="383"/>
      <c r="D2" s="383"/>
      <c r="E2" s="383"/>
      <c r="F2" s="383"/>
      <c r="G2" s="105"/>
    </row>
    <row r="3" spans="1:7" ht="12.75" customHeight="1" x14ac:dyDescent="0.3">
      <c r="A3" s="383"/>
      <c r="B3" s="383"/>
      <c r="C3" s="383"/>
      <c r="D3" s="383"/>
      <c r="E3" s="383"/>
      <c r="F3" s="383"/>
      <c r="G3" s="105"/>
    </row>
    <row r="4" spans="1:7" ht="12.75" customHeight="1" x14ac:dyDescent="0.3">
      <c r="A4" s="383"/>
      <c r="B4" s="383"/>
      <c r="C4" s="383"/>
      <c r="D4" s="383"/>
      <c r="E4" s="383"/>
      <c r="F4" s="383"/>
      <c r="G4" s="105"/>
    </row>
    <row r="5" spans="1:7" ht="12.75" customHeight="1" x14ac:dyDescent="0.3">
      <c r="A5" s="383"/>
      <c r="B5" s="383"/>
      <c r="C5" s="383"/>
      <c r="D5" s="383"/>
      <c r="E5" s="383"/>
      <c r="F5" s="383"/>
      <c r="G5" s="105"/>
    </row>
    <row r="6" spans="1:7" ht="12.75" customHeight="1" x14ac:dyDescent="0.3">
      <c r="A6" s="383"/>
      <c r="B6" s="383"/>
      <c r="C6" s="383"/>
      <c r="D6" s="383"/>
      <c r="E6" s="383"/>
      <c r="F6" s="383"/>
      <c r="G6" s="105"/>
    </row>
    <row r="7" spans="1:7" ht="12.75" customHeight="1" x14ac:dyDescent="0.3">
      <c r="A7" s="383"/>
      <c r="B7" s="383"/>
      <c r="C7" s="383"/>
      <c r="D7" s="383"/>
      <c r="E7" s="383"/>
      <c r="F7" s="383"/>
      <c r="G7" s="105"/>
    </row>
    <row r="8" spans="1:7" ht="15" customHeight="1" x14ac:dyDescent="0.3">
      <c r="A8" s="382" t="s">
        <v>29</v>
      </c>
      <c r="B8" s="382"/>
      <c r="C8" s="382"/>
      <c r="D8" s="382"/>
      <c r="E8" s="382"/>
      <c r="F8" s="382"/>
      <c r="G8" s="106"/>
    </row>
    <row r="9" spans="1:7" ht="12.75" customHeight="1" x14ac:dyDescent="0.3">
      <c r="A9" s="382"/>
      <c r="B9" s="382"/>
      <c r="C9" s="382"/>
      <c r="D9" s="382"/>
      <c r="E9" s="382"/>
      <c r="F9" s="382"/>
      <c r="G9" s="106"/>
    </row>
    <row r="10" spans="1:7" ht="12.75" customHeight="1" x14ac:dyDescent="0.3">
      <c r="A10" s="382"/>
      <c r="B10" s="382"/>
      <c r="C10" s="382"/>
      <c r="D10" s="382"/>
      <c r="E10" s="382"/>
      <c r="F10" s="382"/>
      <c r="G10" s="106"/>
    </row>
    <row r="11" spans="1:7" ht="12.75" customHeight="1" x14ac:dyDescent="0.3">
      <c r="A11" s="382"/>
      <c r="B11" s="382"/>
      <c r="C11" s="382"/>
      <c r="D11" s="382"/>
      <c r="E11" s="382"/>
      <c r="F11" s="382"/>
      <c r="G11" s="106"/>
    </row>
    <row r="12" spans="1:7" ht="12.75" customHeight="1" x14ac:dyDescent="0.3">
      <c r="A12" s="382"/>
      <c r="B12" s="382"/>
      <c r="C12" s="382"/>
      <c r="D12" s="382"/>
      <c r="E12" s="382"/>
      <c r="F12" s="382"/>
      <c r="G12" s="106"/>
    </row>
    <row r="13" spans="1:7" ht="12.75" customHeight="1" x14ac:dyDescent="0.3">
      <c r="A13" s="382"/>
      <c r="B13" s="382"/>
      <c r="C13" s="382"/>
      <c r="D13" s="382"/>
      <c r="E13" s="382"/>
      <c r="F13" s="382"/>
      <c r="G13" s="106"/>
    </row>
    <row r="14" spans="1:7" ht="12.75" customHeight="1" x14ac:dyDescent="0.3">
      <c r="A14" s="382"/>
      <c r="B14" s="382"/>
      <c r="C14" s="382"/>
      <c r="D14" s="382"/>
      <c r="E14" s="382"/>
      <c r="F14" s="382"/>
      <c r="G14" s="106"/>
    </row>
    <row r="15" spans="1:7" ht="13.5" customHeight="1" x14ac:dyDescent="0.3"/>
    <row r="16" spans="1:7" ht="19.5" customHeight="1" x14ac:dyDescent="0.3">
      <c r="A16" s="378" t="s">
        <v>30</v>
      </c>
      <c r="B16" s="379"/>
      <c r="C16" s="379"/>
      <c r="D16" s="379"/>
      <c r="E16" s="379"/>
      <c r="F16" s="380"/>
    </row>
    <row r="17" spans="1:13" ht="18.75" customHeight="1" x14ac:dyDescent="0.3">
      <c r="A17" s="381" t="s">
        <v>31</v>
      </c>
      <c r="B17" s="381"/>
      <c r="C17" s="381"/>
      <c r="D17" s="381"/>
      <c r="E17" s="381"/>
      <c r="F17" s="381"/>
    </row>
    <row r="18" spans="1:13" x14ac:dyDescent="0.3">
      <c r="B18" s="1" t="s">
        <v>4</v>
      </c>
    </row>
    <row r="19" spans="1:13" x14ac:dyDescent="0.3">
      <c r="B19" s="1" t="s">
        <v>6</v>
      </c>
    </row>
    <row r="20" spans="1:13" ht="16.5" customHeight="1" x14ac:dyDescent="0.3">
      <c r="A20" s="52" t="s">
        <v>32</v>
      </c>
      <c r="B20" s="412" t="s">
        <v>4</v>
      </c>
    </row>
    <row r="21" spans="1:13" ht="16.5" customHeight="1" x14ac:dyDescent="0.3">
      <c r="A21" s="52" t="s">
        <v>33</v>
      </c>
      <c r="B21" s="412" t="s">
        <v>6</v>
      </c>
    </row>
    <row r="22" spans="1:13" ht="16.5" customHeight="1" x14ac:dyDescent="0.3">
      <c r="A22" s="52" t="s">
        <v>34</v>
      </c>
      <c r="B22" s="107" t="s">
        <v>8</v>
      </c>
    </row>
    <row r="23" spans="1:13" ht="16.5" customHeight="1" x14ac:dyDescent="0.3">
      <c r="A23" s="52" t="s">
        <v>35</v>
      </c>
      <c r="B23" s="107" t="s">
        <v>10</v>
      </c>
    </row>
    <row r="24" spans="1:13" ht="16.5" customHeight="1" x14ac:dyDescent="0.3">
      <c r="A24" s="52" t="s">
        <v>36</v>
      </c>
      <c r="B24" s="108">
        <v>43164</v>
      </c>
    </row>
    <row r="25" spans="1:13" ht="16.5" customHeight="1" x14ac:dyDescent="0.3">
      <c r="A25" s="52" t="s">
        <v>37</v>
      </c>
      <c r="B25" s="108">
        <v>43164</v>
      </c>
    </row>
    <row r="27" spans="1:13" ht="13.5" customHeight="1" x14ac:dyDescent="0.3"/>
    <row r="28" spans="1:13" ht="17.25" customHeight="1" x14ac:dyDescent="0.3">
      <c r="B28" s="54"/>
      <c r="C28" s="55" t="s">
        <v>38</v>
      </c>
      <c r="D28" s="55" t="s">
        <v>39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15.35633</v>
      </c>
      <c r="C29" s="60">
        <v>27.164670000000001</v>
      </c>
      <c r="D29" s="60">
        <v>28.677389999999999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27.164670000000001</v>
      </c>
      <c r="D30" s="60">
        <v>28.733059999999998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27.190380000000001</v>
      </c>
      <c r="D31" s="63">
        <v>28.70797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15.35633</v>
      </c>
      <c r="C33" s="66">
        <f>AVERAGE(C29:C32)</f>
        <v>27.173240000000003</v>
      </c>
      <c r="D33" s="66">
        <f>AVERAGE(D29:D32)</f>
        <v>28.706140000000001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40</v>
      </c>
      <c r="C35" s="70">
        <f>C33-B33</f>
        <v>11.816910000000004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41</v>
      </c>
      <c r="C37" s="70">
        <f>D33-B33</f>
        <v>13.349810000000002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42</v>
      </c>
      <c r="C39" s="76">
        <f>C37/C35</f>
        <v>1.1297208830396439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23</v>
      </c>
      <c r="C41" s="87"/>
      <c r="D41" s="88" t="s">
        <v>24</v>
      </c>
      <c r="E41" s="89"/>
      <c r="F41" s="88" t="s">
        <v>25</v>
      </c>
      <c r="G41" s="84"/>
      <c r="H41" s="84"/>
      <c r="I41" s="85"/>
      <c r="J41" s="86"/>
    </row>
    <row r="42" spans="1:13" ht="59.25" customHeight="1" x14ac:dyDescent="0.3">
      <c r="A42" s="90" t="s">
        <v>26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27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C39" sqref="C3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4" t="s">
        <v>28</v>
      </c>
      <c r="B1" s="384"/>
      <c r="C1" s="384"/>
      <c r="D1" s="384"/>
      <c r="E1" s="384"/>
      <c r="F1" s="384"/>
      <c r="G1" s="384"/>
      <c r="H1" s="384"/>
    </row>
    <row r="2" spans="1:8" x14ac:dyDescent="0.25">
      <c r="A2" s="384"/>
      <c r="B2" s="384"/>
      <c r="C2" s="384"/>
      <c r="D2" s="384"/>
      <c r="E2" s="384"/>
      <c r="F2" s="384"/>
      <c r="G2" s="384"/>
      <c r="H2" s="384"/>
    </row>
    <row r="3" spans="1:8" x14ac:dyDescent="0.25">
      <c r="A3" s="384"/>
      <c r="B3" s="384"/>
      <c r="C3" s="384"/>
      <c r="D3" s="384"/>
      <c r="E3" s="384"/>
      <c r="F3" s="384"/>
      <c r="G3" s="384"/>
      <c r="H3" s="384"/>
    </row>
    <row r="4" spans="1:8" x14ac:dyDescent="0.25">
      <c r="A4" s="384"/>
      <c r="B4" s="384"/>
      <c r="C4" s="384"/>
      <c r="D4" s="384"/>
      <c r="E4" s="384"/>
      <c r="F4" s="384"/>
      <c r="G4" s="384"/>
      <c r="H4" s="384"/>
    </row>
    <row r="5" spans="1:8" x14ac:dyDescent="0.25">
      <c r="A5" s="384"/>
      <c r="B5" s="384"/>
      <c r="C5" s="384"/>
      <c r="D5" s="384"/>
      <c r="E5" s="384"/>
      <c r="F5" s="384"/>
      <c r="G5" s="384"/>
      <c r="H5" s="384"/>
    </row>
    <row r="6" spans="1:8" x14ac:dyDescent="0.25">
      <c r="A6" s="384"/>
      <c r="B6" s="384"/>
      <c r="C6" s="384"/>
      <c r="D6" s="384"/>
      <c r="E6" s="384"/>
      <c r="F6" s="384"/>
      <c r="G6" s="384"/>
      <c r="H6" s="384"/>
    </row>
    <row r="7" spans="1:8" x14ac:dyDescent="0.25">
      <c r="A7" s="384"/>
      <c r="B7" s="384"/>
      <c r="C7" s="384"/>
      <c r="D7" s="384"/>
      <c r="E7" s="384"/>
      <c r="F7" s="384"/>
      <c r="G7" s="384"/>
      <c r="H7" s="384"/>
    </row>
    <row r="8" spans="1:8" x14ac:dyDescent="0.25">
      <c r="A8" s="385" t="s">
        <v>29</v>
      </c>
      <c r="B8" s="385"/>
      <c r="C8" s="385"/>
      <c r="D8" s="385"/>
      <c r="E8" s="385"/>
      <c r="F8" s="385"/>
      <c r="G8" s="385"/>
      <c r="H8" s="385"/>
    </row>
    <row r="9" spans="1:8" x14ac:dyDescent="0.25">
      <c r="A9" s="385"/>
      <c r="B9" s="385"/>
      <c r="C9" s="385"/>
      <c r="D9" s="385"/>
      <c r="E9" s="385"/>
      <c r="F9" s="385"/>
      <c r="G9" s="385"/>
      <c r="H9" s="385"/>
    </row>
    <row r="10" spans="1:8" x14ac:dyDescent="0.25">
      <c r="A10" s="385"/>
      <c r="B10" s="385"/>
      <c r="C10" s="385"/>
      <c r="D10" s="385"/>
      <c r="E10" s="385"/>
      <c r="F10" s="385"/>
      <c r="G10" s="385"/>
      <c r="H10" s="385"/>
    </row>
    <row r="11" spans="1:8" x14ac:dyDescent="0.25">
      <c r="A11" s="385"/>
      <c r="B11" s="385"/>
      <c r="C11" s="385"/>
      <c r="D11" s="385"/>
      <c r="E11" s="385"/>
      <c r="F11" s="385"/>
      <c r="G11" s="385"/>
      <c r="H11" s="385"/>
    </row>
    <row r="12" spans="1:8" x14ac:dyDescent="0.25">
      <c r="A12" s="385"/>
      <c r="B12" s="385"/>
      <c r="C12" s="385"/>
      <c r="D12" s="385"/>
      <c r="E12" s="385"/>
      <c r="F12" s="385"/>
      <c r="G12" s="385"/>
      <c r="H12" s="385"/>
    </row>
    <row r="13" spans="1:8" x14ac:dyDescent="0.25">
      <c r="A13" s="385"/>
      <c r="B13" s="385"/>
      <c r="C13" s="385"/>
      <c r="D13" s="385"/>
      <c r="E13" s="385"/>
      <c r="F13" s="385"/>
      <c r="G13" s="385"/>
      <c r="H13" s="385"/>
    </row>
    <row r="14" spans="1:8" ht="19.5" customHeight="1" x14ac:dyDescent="0.25">
      <c r="A14" s="385"/>
      <c r="B14" s="385"/>
      <c r="C14" s="385"/>
      <c r="D14" s="385"/>
      <c r="E14" s="385"/>
      <c r="F14" s="385"/>
      <c r="G14" s="385"/>
      <c r="H14" s="385"/>
    </row>
    <row r="15" spans="1:8" ht="19.5" customHeight="1" x14ac:dyDescent="0.25"/>
    <row r="16" spans="1:8" ht="19.5" customHeight="1" x14ac:dyDescent="0.3">
      <c r="A16" s="378" t="s">
        <v>30</v>
      </c>
      <c r="B16" s="379"/>
      <c r="C16" s="379"/>
      <c r="D16" s="379"/>
      <c r="E16" s="379"/>
      <c r="F16" s="379"/>
      <c r="G16" s="379"/>
      <c r="H16" s="380"/>
    </row>
    <row r="17" spans="1:12" ht="20.25" customHeight="1" x14ac:dyDescent="0.25">
      <c r="A17" s="386" t="s">
        <v>43</v>
      </c>
      <c r="B17" s="386"/>
      <c r="C17" s="386"/>
      <c r="D17" s="386"/>
      <c r="E17" s="386"/>
      <c r="F17" s="386"/>
      <c r="G17" s="386"/>
      <c r="H17" s="386"/>
    </row>
    <row r="18" spans="1:12" ht="26.25" customHeight="1" x14ac:dyDescent="0.4">
      <c r="A18" s="111" t="s">
        <v>32</v>
      </c>
      <c r="B18" s="387" t="s">
        <v>4</v>
      </c>
      <c r="C18" s="387"/>
    </row>
    <row r="19" spans="1:12" ht="26.25" customHeight="1" x14ac:dyDescent="0.4">
      <c r="A19" s="111" t="s">
        <v>33</v>
      </c>
      <c r="B19" s="213" t="s">
        <v>6</v>
      </c>
      <c r="C19" s="235">
        <v>23</v>
      </c>
    </row>
    <row r="20" spans="1:12" ht="26.25" customHeight="1" x14ac:dyDescent="0.4">
      <c r="A20" s="111" t="s">
        <v>34</v>
      </c>
      <c r="B20" s="213" t="s">
        <v>112</v>
      </c>
      <c r="C20" s="214"/>
    </row>
    <row r="21" spans="1:12" ht="26.25" customHeight="1" x14ac:dyDescent="0.4">
      <c r="A21" s="111" t="s">
        <v>35</v>
      </c>
      <c r="B21" s="410" t="s">
        <v>10</v>
      </c>
      <c r="C21" s="410"/>
      <c r="D21" s="410"/>
      <c r="E21" s="410"/>
      <c r="F21" s="410"/>
      <c r="G21" s="410"/>
      <c r="H21" s="410"/>
      <c r="I21" s="237"/>
    </row>
    <row r="22" spans="1:12" ht="26.25" customHeight="1" x14ac:dyDescent="0.4">
      <c r="A22" s="111" t="s">
        <v>36</v>
      </c>
      <c r="B22" s="347">
        <v>43224</v>
      </c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37</v>
      </c>
      <c r="B23" s="347">
        <v>43229</v>
      </c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388" t="s">
        <v>44</v>
      </c>
      <c r="C26" s="388"/>
      <c r="D26" s="388"/>
      <c r="E26" s="388"/>
      <c r="F26" s="388"/>
      <c r="G26" s="388"/>
      <c r="H26" s="388"/>
    </row>
    <row r="27" spans="1:12" ht="26.25" customHeight="1" x14ac:dyDescent="0.4">
      <c r="A27" s="114" t="s">
        <v>3</v>
      </c>
      <c r="B27" s="387" t="s">
        <v>112</v>
      </c>
      <c r="C27" s="387"/>
    </row>
    <row r="28" spans="1:12" ht="26.25" customHeight="1" x14ac:dyDescent="0.4">
      <c r="A28" s="116" t="s">
        <v>45</v>
      </c>
      <c r="B28" s="410" t="s">
        <v>113</v>
      </c>
      <c r="C28" s="410"/>
    </row>
    <row r="29" spans="1:12" ht="27" customHeight="1" x14ac:dyDescent="0.4">
      <c r="A29" s="116" t="s">
        <v>5</v>
      </c>
      <c r="B29" s="212">
        <v>99</v>
      </c>
    </row>
    <row r="30" spans="1:12" s="8" customFormat="1" ht="27" customHeight="1" x14ac:dyDescent="0.4">
      <c r="A30" s="116" t="s">
        <v>46</v>
      </c>
      <c r="B30" s="211">
        <v>0</v>
      </c>
      <c r="C30" s="389" t="s">
        <v>47</v>
      </c>
      <c r="D30" s="390"/>
      <c r="E30" s="390"/>
      <c r="F30" s="390"/>
      <c r="G30" s="390"/>
      <c r="H30" s="391"/>
      <c r="I30" s="118"/>
      <c r="J30" s="118"/>
      <c r="K30" s="118"/>
      <c r="L30" s="118"/>
    </row>
    <row r="31" spans="1:12" s="8" customFormat="1" ht="19.5" customHeight="1" x14ac:dyDescent="0.3">
      <c r="A31" s="116" t="s">
        <v>48</v>
      </c>
      <c r="B31" s="115">
        <f>B29-B30</f>
        <v>99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49</v>
      </c>
      <c r="B32" s="231">
        <v>1</v>
      </c>
      <c r="C32" s="392" t="s">
        <v>50</v>
      </c>
      <c r="D32" s="393"/>
      <c r="E32" s="393"/>
      <c r="F32" s="393"/>
      <c r="G32" s="393"/>
      <c r="H32" s="394"/>
      <c r="I32" s="118"/>
      <c r="J32" s="118"/>
      <c r="K32" s="118"/>
      <c r="L32" s="118"/>
    </row>
    <row r="33" spans="1:14" s="8" customFormat="1" ht="27" customHeight="1" x14ac:dyDescent="0.4">
      <c r="A33" s="116" t="s">
        <v>51</v>
      </c>
      <c r="B33" s="231">
        <v>1</v>
      </c>
      <c r="C33" s="392" t="s">
        <v>52</v>
      </c>
      <c r="D33" s="393"/>
      <c r="E33" s="393"/>
      <c r="F33" s="393"/>
      <c r="G33" s="393"/>
      <c r="H33" s="394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53</v>
      </c>
      <c r="B35" s="125">
        <f>B32/B33</f>
        <v>1</v>
      </c>
      <c r="C35" s="110" t="s">
        <v>54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55</v>
      </c>
      <c r="B37" s="215">
        <v>100</v>
      </c>
      <c r="C37" s="110"/>
      <c r="D37" s="395" t="s">
        <v>56</v>
      </c>
      <c r="E37" s="396"/>
      <c r="F37" s="172" t="s">
        <v>57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58</v>
      </c>
      <c r="B38" s="216">
        <v>1</v>
      </c>
      <c r="C38" s="129" t="s">
        <v>59</v>
      </c>
      <c r="D38" s="130" t="s">
        <v>60</v>
      </c>
      <c r="E38" s="162" t="s">
        <v>61</v>
      </c>
      <c r="F38" s="130" t="s">
        <v>60</v>
      </c>
      <c r="G38" s="131" t="s">
        <v>61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62</v>
      </c>
      <c r="B39" s="216">
        <v>1</v>
      </c>
      <c r="C39" s="132">
        <v>1</v>
      </c>
      <c r="D39" s="217">
        <v>628053</v>
      </c>
      <c r="E39" s="176">
        <f>IF(ISBLANK(D39),"-",$D$49/$D$46*D39)</f>
        <v>671319.54465287796</v>
      </c>
      <c r="F39" s="217">
        <v>690043</v>
      </c>
      <c r="G39" s="168">
        <f>IF(ISBLANK(F39),"-",$D$49/$F$46*F39)</f>
        <v>675073.25066647097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63</v>
      </c>
      <c r="B40" s="216">
        <v>1</v>
      </c>
      <c r="C40" s="128">
        <v>2</v>
      </c>
      <c r="D40" s="218">
        <v>642751</v>
      </c>
      <c r="E40" s="177">
        <f>IF(ISBLANK(D40),"-",$D$49/$D$46*D40)</f>
        <v>687030.0892523115</v>
      </c>
      <c r="F40" s="218">
        <v>693243</v>
      </c>
      <c r="G40" s="169">
        <f>IF(ISBLANK(F40),"-",$D$49/$F$46*F40)</f>
        <v>678203.8300682368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64</v>
      </c>
      <c r="B41" s="216">
        <v>1</v>
      </c>
      <c r="C41" s="128">
        <v>3</v>
      </c>
      <c r="D41" s="218">
        <v>635162</v>
      </c>
      <c r="E41" s="177">
        <f>IF(ISBLANK(D41),"-",$D$49/$D$46*D41)</f>
        <v>678918.28336272785</v>
      </c>
      <c r="F41" s="218">
        <v>689695</v>
      </c>
      <c r="G41" s="169">
        <f>IF(ISBLANK(F41),"-",$D$49/$F$46*F41)</f>
        <v>674732.80015652895</v>
      </c>
      <c r="L41" s="122"/>
      <c r="M41" s="122"/>
      <c r="N41" s="133"/>
    </row>
    <row r="42" spans="1:14" ht="26.25" customHeight="1" x14ac:dyDescent="0.4">
      <c r="A42" s="127" t="s">
        <v>65</v>
      </c>
      <c r="B42" s="216">
        <v>1</v>
      </c>
      <c r="C42" s="134">
        <v>4</v>
      </c>
      <c r="D42" s="219"/>
      <c r="E42" s="178" t="str">
        <f>IF(ISBLANK(D42),"-",$D$49/$D$46*D42)</f>
        <v>-</v>
      </c>
      <c r="F42" s="219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66</v>
      </c>
      <c r="B43" s="216">
        <v>1</v>
      </c>
      <c r="C43" s="135" t="s">
        <v>67</v>
      </c>
      <c r="D43" s="197">
        <f>AVERAGE(D39:D42)</f>
        <v>635322</v>
      </c>
      <c r="E43" s="158">
        <f>AVERAGE(E39:E42)</f>
        <v>679089.30575597251</v>
      </c>
      <c r="F43" s="136">
        <f>AVERAGE(F39:F42)</f>
        <v>690993.66666666663</v>
      </c>
      <c r="G43" s="137">
        <f>AVERAGE(G39:G42)</f>
        <v>676003.29363041231</v>
      </c>
    </row>
    <row r="44" spans="1:14" ht="26.25" customHeight="1" x14ac:dyDescent="0.4">
      <c r="A44" s="127" t="s">
        <v>68</v>
      </c>
      <c r="B44" s="212">
        <v>1</v>
      </c>
      <c r="C44" s="198" t="s">
        <v>69</v>
      </c>
      <c r="D44" s="221">
        <v>18.899999999999999</v>
      </c>
      <c r="E44" s="133"/>
      <c r="F44" s="220">
        <v>20.65</v>
      </c>
      <c r="G44" s="174"/>
    </row>
    <row r="45" spans="1:14" ht="26.25" customHeight="1" x14ac:dyDescent="0.4">
      <c r="A45" s="127" t="s">
        <v>70</v>
      </c>
      <c r="B45" s="212">
        <v>1</v>
      </c>
      <c r="C45" s="199" t="s">
        <v>71</v>
      </c>
      <c r="D45" s="200">
        <f>D44*$B$35</f>
        <v>18.899999999999999</v>
      </c>
      <c r="E45" s="139"/>
      <c r="F45" s="138">
        <f>F44*$B$35</f>
        <v>20.65</v>
      </c>
      <c r="G45" s="141"/>
    </row>
    <row r="46" spans="1:14" ht="19.5" customHeight="1" x14ac:dyDescent="0.3">
      <c r="A46" s="127" t="s">
        <v>72</v>
      </c>
      <c r="B46" s="196">
        <f>(B45/B44)*(B43/B42)*(B41/B40)*(B39/B38)*B37</f>
        <v>100</v>
      </c>
      <c r="C46" s="199" t="s">
        <v>73</v>
      </c>
      <c r="D46" s="201">
        <f>D45*$B$31/100</f>
        <v>18.710999999999999</v>
      </c>
      <c r="E46" s="141"/>
      <c r="F46" s="140">
        <f>F45*$B$31/100</f>
        <v>20.4435</v>
      </c>
      <c r="G46" s="141"/>
    </row>
    <row r="47" spans="1:14" ht="19.5" customHeight="1" x14ac:dyDescent="0.3">
      <c r="A47" s="397" t="s">
        <v>74</v>
      </c>
      <c r="B47" s="408"/>
      <c r="C47" s="199" t="s">
        <v>75</v>
      </c>
      <c r="D47" s="200">
        <f>D46/$B$46</f>
        <v>0.18711</v>
      </c>
      <c r="E47" s="141"/>
      <c r="F47" s="142">
        <f>F46/$B$46</f>
        <v>0.20443500000000001</v>
      </c>
      <c r="G47" s="141"/>
    </row>
    <row r="48" spans="1:14" ht="27" customHeight="1" x14ac:dyDescent="0.4">
      <c r="A48" s="399"/>
      <c r="B48" s="409"/>
      <c r="C48" s="199" t="s">
        <v>76</v>
      </c>
      <c r="D48" s="222">
        <v>0.2</v>
      </c>
      <c r="E48" s="174"/>
      <c r="F48" s="174"/>
      <c r="G48" s="174"/>
    </row>
    <row r="49" spans="1:12" ht="18.75" x14ac:dyDescent="0.3">
      <c r="C49" s="199" t="s">
        <v>77</v>
      </c>
      <c r="D49" s="201">
        <f>D48*$B$46</f>
        <v>20</v>
      </c>
      <c r="E49" s="141"/>
      <c r="F49" s="141"/>
      <c r="G49" s="141"/>
    </row>
    <row r="50" spans="1:12" ht="19.5" customHeight="1" x14ac:dyDescent="0.3">
      <c r="C50" s="202" t="s">
        <v>78</v>
      </c>
      <c r="D50" s="203">
        <f>D49/B35</f>
        <v>20</v>
      </c>
      <c r="E50" s="160"/>
      <c r="F50" s="160"/>
      <c r="G50" s="160"/>
    </row>
    <row r="51" spans="1:12" ht="18.75" x14ac:dyDescent="0.3">
      <c r="C51" s="204" t="s">
        <v>79</v>
      </c>
      <c r="D51" s="205">
        <f>AVERAGE(E39:E42,G39:G42)</f>
        <v>677546.29969319236</v>
      </c>
      <c r="E51" s="159"/>
      <c r="F51" s="159"/>
      <c r="G51" s="159"/>
    </row>
    <row r="52" spans="1:12" ht="18.75" x14ac:dyDescent="0.3">
      <c r="C52" s="143" t="s">
        <v>80</v>
      </c>
      <c r="D52" s="146">
        <f>STDEV(E39:E42,G39:G42)/D51</f>
        <v>7.949716144700289E-3</v>
      </c>
      <c r="E52" s="139"/>
      <c r="F52" s="139"/>
      <c r="G52" s="139"/>
    </row>
    <row r="53" spans="1:12" ht="19.5" customHeight="1" x14ac:dyDescent="0.3">
      <c r="C53" s="144" t="s">
        <v>18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81</v>
      </c>
    </row>
    <row r="56" spans="1:12" ht="18.75" x14ac:dyDescent="0.3">
      <c r="A56" s="110" t="s">
        <v>82</v>
      </c>
      <c r="B56" s="112" t="str">
        <f>B21</f>
        <v>Each 5ml reconstituted suspension contains: Artemether 15 mg and Lumefantrine 90 mg</v>
      </c>
    </row>
    <row r="57" spans="1:12" ht="26.25" customHeight="1" x14ac:dyDescent="0.4">
      <c r="A57" s="207" t="s">
        <v>83</v>
      </c>
      <c r="B57" s="223">
        <v>5</v>
      </c>
      <c r="C57" s="187" t="s">
        <v>84</v>
      </c>
      <c r="D57" s="224">
        <v>15</v>
      </c>
      <c r="E57" s="187" t="str">
        <f>B20</f>
        <v>Artemether</v>
      </c>
    </row>
    <row r="58" spans="1:12" ht="18.75" x14ac:dyDescent="0.3">
      <c r="A58" s="112" t="s">
        <v>85</v>
      </c>
      <c r="B58" s="234">
        <f>RD!C39</f>
        <v>1.1297208830396439</v>
      </c>
    </row>
    <row r="59" spans="1:12" s="74" customFormat="1" ht="18.75" x14ac:dyDescent="0.3">
      <c r="A59" s="185" t="s">
        <v>86</v>
      </c>
      <c r="B59" s="186">
        <f>B57</f>
        <v>5</v>
      </c>
      <c r="C59" s="187" t="s">
        <v>87</v>
      </c>
      <c r="D59" s="208">
        <f>B58*B57</f>
        <v>5.6486044151982195</v>
      </c>
    </row>
    <row r="60" spans="1:12" ht="19.5" customHeight="1" x14ac:dyDescent="0.25"/>
    <row r="61" spans="1:12" s="8" customFormat="1" ht="27" customHeight="1" x14ac:dyDescent="0.4">
      <c r="A61" s="126" t="s">
        <v>88</v>
      </c>
      <c r="B61" s="215">
        <v>100</v>
      </c>
      <c r="C61" s="110"/>
      <c r="D61" s="150" t="s">
        <v>89</v>
      </c>
      <c r="E61" s="149" t="s">
        <v>90</v>
      </c>
      <c r="F61" s="149" t="s">
        <v>60</v>
      </c>
      <c r="G61" s="149" t="s">
        <v>91</v>
      </c>
      <c r="H61" s="129" t="s">
        <v>92</v>
      </c>
      <c r="L61" s="118"/>
    </row>
    <row r="62" spans="1:12" s="8" customFormat="1" ht="24" customHeight="1" x14ac:dyDescent="0.4">
      <c r="A62" s="127" t="s">
        <v>93</v>
      </c>
      <c r="B62" s="216">
        <v>1</v>
      </c>
      <c r="C62" s="404" t="s">
        <v>94</v>
      </c>
      <c r="D62" s="401">
        <v>7.15388</v>
      </c>
      <c r="E62" s="180">
        <v>1</v>
      </c>
      <c r="F62" s="225">
        <v>486209</v>
      </c>
      <c r="G62" s="192">
        <f>IF(ISBLANK(F62),"-",(F62/$D$51*$D$48*$B$70)*$D$59/$D$62)</f>
        <v>11.332181498983967</v>
      </c>
      <c r="H62" s="189">
        <f t="shared" ref="H62:H73" si="0">IF(ISBLANK(F62),"-",G62/$D$57)</f>
        <v>0.75547876659893121</v>
      </c>
      <c r="L62" s="118"/>
    </row>
    <row r="63" spans="1:12" s="8" customFormat="1" ht="26.25" customHeight="1" x14ac:dyDescent="0.4">
      <c r="A63" s="127" t="s">
        <v>95</v>
      </c>
      <c r="B63" s="216">
        <v>1</v>
      </c>
      <c r="C63" s="405"/>
      <c r="D63" s="402"/>
      <c r="E63" s="181">
        <v>2</v>
      </c>
      <c r="F63" s="218">
        <v>466470</v>
      </c>
      <c r="G63" s="193">
        <f>IF(ISBLANK(F63),"-",(F63/$D$51*$D$48*$B$70)*$D$59/$D$62)</f>
        <v>10.872120227784862</v>
      </c>
      <c r="H63" s="190">
        <f t="shared" si="0"/>
        <v>0.72480801518565741</v>
      </c>
      <c r="L63" s="118"/>
    </row>
    <row r="64" spans="1:12" s="8" customFormat="1" ht="24.75" customHeight="1" x14ac:dyDescent="0.4">
      <c r="A64" s="127" t="s">
        <v>96</v>
      </c>
      <c r="B64" s="216">
        <v>1</v>
      </c>
      <c r="C64" s="405"/>
      <c r="D64" s="402"/>
      <c r="E64" s="181">
        <v>3</v>
      </c>
      <c r="F64" s="218">
        <v>473756</v>
      </c>
      <c r="G64" s="193">
        <f>IF(ISBLANK(F64),"-",(F64/$D$51*$D$48*$B$70)*$D$59/$D$62)</f>
        <v>11.041936653234819</v>
      </c>
      <c r="H64" s="190">
        <f t="shared" si="0"/>
        <v>0.73612911021565464</v>
      </c>
      <c r="L64" s="118"/>
    </row>
    <row r="65" spans="1:11" ht="27" customHeight="1" x14ac:dyDescent="0.4">
      <c r="A65" s="127" t="s">
        <v>97</v>
      </c>
      <c r="B65" s="216">
        <v>1</v>
      </c>
      <c r="C65" s="406"/>
      <c r="D65" s="403"/>
      <c r="E65" s="182">
        <v>4</v>
      </c>
      <c r="F65" s="226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98</v>
      </c>
      <c r="B66" s="216">
        <v>1</v>
      </c>
      <c r="C66" s="404" t="s">
        <v>99</v>
      </c>
      <c r="D66" s="401">
        <v>7.77583</v>
      </c>
      <c r="E66" s="151">
        <v>1</v>
      </c>
      <c r="F66" s="218">
        <v>507711</v>
      </c>
      <c r="G66" s="192">
        <f>IF(ISBLANK(F66),"-",(F66/$D$51*$D$48*$B$70)*$D$59/$D$66)</f>
        <v>10.886843870337213</v>
      </c>
      <c r="H66" s="189">
        <f t="shared" si="0"/>
        <v>0.72578959135581422</v>
      </c>
    </row>
    <row r="67" spans="1:11" ht="23.25" customHeight="1" x14ac:dyDescent="0.4">
      <c r="A67" s="127" t="s">
        <v>100</v>
      </c>
      <c r="B67" s="216">
        <v>1</v>
      </c>
      <c r="C67" s="405"/>
      <c r="D67" s="402"/>
      <c r="E67" s="152">
        <v>2</v>
      </c>
      <c r="F67" s="218">
        <v>507284</v>
      </c>
      <c r="G67" s="193">
        <f>IF(ISBLANK(F67),"-",(F67/$D$51*$D$48*$B$70)*$D$59/$D$66)</f>
        <v>10.877687711946646</v>
      </c>
      <c r="H67" s="190">
        <f t="shared" si="0"/>
        <v>0.72517918079644306</v>
      </c>
    </row>
    <row r="68" spans="1:11" ht="24.75" customHeight="1" x14ac:dyDescent="0.4">
      <c r="A68" s="127" t="s">
        <v>101</v>
      </c>
      <c r="B68" s="216">
        <v>1</v>
      </c>
      <c r="C68" s="405"/>
      <c r="D68" s="402"/>
      <c r="E68" s="152">
        <v>3</v>
      </c>
      <c r="F68" s="218">
        <v>512390</v>
      </c>
      <c r="G68" s="193">
        <f>IF(ISBLANK(F68),"-",(F68/$D$51*$D$48*$B$70)*$D$59/$D$66)</f>
        <v>10.987175638743469</v>
      </c>
      <c r="H68" s="190">
        <f t="shared" si="0"/>
        <v>0.73247837591623133</v>
      </c>
    </row>
    <row r="69" spans="1:11" ht="27" customHeight="1" x14ac:dyDescent="0.4">
      <c r="A69" s="127" t="s">
        <v>102</v>
      </c>
      <c r="B69" s="216">
        <v>1</v>
      </c>
      <c r="C69" s="406"/>
      <c r="D69" s="403"/>
      <c r="E69" s="153">
        <v>4</v>
      </c>
      <c r="F69" s="226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 x14ac:dyDescent="0.4">
      <c r="A70" s="127" t="s">
        <v>103</v>
      </c>
      <c r="B70" s="195">
        <f>(B69/B68)*(B67/B66)*(B65/B64)*(B63/B62)*B61</f>
        <v>100</v>
      </c>
      <c r="C70" s="404" t="s">
        <v>104</v>
      </c>
      <c r="D70" s="401">
        <v>7.5184899999999999</v>
      </c>
      <c r="E70" s="151">
        <v>1</v>
      </c>
      <c r="F70" s="225">
        <v>513198</v>
      </c>
      <c r="G70" s="192">
        <f>IF(ISBLANK(F70),"-",(F70/$D$51*$D$48*$B$70)*$D$59/$D$70)</f>
        <v>11.381159448738913</v>
      </c>
      <c r="H70" s="190">
        <f t="shared" si="0"/>
        <v>0.75874396324926086</v>
      </c>
    </row>
    <row r="71" spans="1:11" ht="22.5" customHeight="1" x14ac:dyDescent="0.4">
      <c r="A71" s="206" t="s">
        <v>105</v>
      </c>
      <c r="B71" s="227">
        <f>(D48*B70)/D57*D59</f>
        <v>7.5314725535976255</v>
      </c>
      <c r="C71" s="405"/>
      <c r="D71" s="402"/>
      <c r="E71" s="152">
        <v>2</v>
      </c>
      <c r="F71" s="218">
        <v>508503</v>
      </c>
      <c r="G71" s="193">
        <f>IF(ISBLANK(F71),"-",(F71/$D$51*$D$48*$B$70)*$D$59/$D$70)</f>
        <v>11.277038731955471</v>
      </c>
      <c r="H71" s="190">
        <f t="shared" si="0"/>
        <v>0.75180258213036477</v>
      </c>
    </row>
    <row r="72" spans="1:11" ht="23.25" customHeight="1" x14ac:dyDescent="0.4">
      <c r="A72" s="397" t="s">
        <v>74</v>
      </c>
      <c r="B72" s="398"/>
      <c r="C72" s="405"/>
      <c r="D72" s="402"/>
      <c r="E72" s="152">
        <v>3</v>
      </c>
      <c r="F72" s="218">
        <v>496519</v>
      </c>
      <c r="G72" s="193">
        <f>IF(ISBLANK(F72),"-",(F72/$D$51*$D$48*$B$70)*$D$59/$D$70)</f>
        <v>11.011270325154028</v>
      </c>
      <c r="H72" s="190">
        <f t="shared" si="0"/>
        <v>0.73408468834360185</v>
      </c>
    </row>
    <row r="73" spans="1:11" ht="23.25" customHeight="1" x14ac:dyDescent="0.4">
      <c r="A73" s="399"/>
      <c r="B73" s="400"/>
      <c r="C73" s="407"/>
      <c r="D73" s="403"/>
      <c r="E73" s="153">
        <v>4</v>
      </c>
      <c r="F73" s="226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67</v>
      </c>
      <c r="H74" s="228">
        <f>AVERAGE(H62:H73)</f>
        <v>0.73827714153243984</v>
      </c>
    </row>
    <row r="75" spans="1:11" ht="26.25" customHeight="1" x14ac:dyDescent="0.4">
      <c r="C75" s="154"/>
      <c r="D75" s="154"/>
      <c r="E75" s="154"/>
      <c r="F75" s="155"/>
      <c r="G75" s="143" t="s">
        <v>80</v>
      </c>
      <c r="H75" s="229">
        <f>STDEV(H62:H73)/H74</f>
        <v>1.831372184427036E-2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18</v>
      </c>
      <c r="H76" s="230">
        <f>COUNT(H62:H73)</f>
        <v>9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106</v>
      </c>
      <c r="B78" s="232" t="s">
        <v>107</v>
      </c>
      <c r="C78" s="388" t="str">
        <f>B20</f>
        <v>Artemether</v>
      </c>
      <c r="D78" s="388"/>
      <c r="E78" s="179" t="s">
        <v>108</v>
      </c>
      <c r="F78" s="179"/>
      <c r="G78" s="233">
        <f>H74</f>
        <v>0.73827714153243984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388" t="s">
        <v>109</v>
      </c>
      <c r="C80" s="388"/>
      <c r="D80" s="388"/>
      <c r="E80" s="388"/>
      <c r="F80" s="388"/>
      <c r="G80" s="388"/>
      <c r="H80" s="388"/>
    </row>
    <row r="81" spans="1:8" ht="26.25" customHeight="1" x14ac:dyDescent="0.4">
      <c r="A81" s="114" t="s">
        <v>3</v>
      </c>
      <c r="B81" s="387" t="s">
        <v>112</v>
      </c>
      <c r="C81" s="387"/>
    </row>
    <row r="82" spans="1:8" ht="26.25" customHeight="1" x14ac:dyDescent="0.4">
      <c r="A82" s="116" t="s">
        <v>45</v>
      </c>
      <c r="B82" s="410" t="s">
        <v>113</v>
      </c>
      <c r="C82" s="410"/>
    </row>
    <row r="83" spans="1:8" ht="27" customHeight="1" x14ac:dyDescent="0.4">
      <c r="A83" s="116" t="s">
        <v>5</v>
      </c>
      <c r="B83" s="212">
        <v>99</v>
      </c>
    </row>
    <row r="84" spans="1:8" ht="27" customHeight="1" x14ac:dyDescent="0.4">
      <c r="A84" s="116" t="s">
        <v>46</v>
      </c>
      <c r="B84" s="211">
        <v>0</v>
      </c>
      <c r="C84" s="389" t="s">
        <v>47</v>
      </c>
      <c r="D84" s="390"/>
      <c r="E84" s="390"/>
      <c r="F84" s="390"/>
      <c r="G84" s="390"/>
      <c r="H84" s="391"/>
    </row>
    <row r="85" spans="1:8" ht="19.5" customHeight="1" x14ac:dyDescent="0.3">
      <c r="A85" s="116" t="s">
        <v>48</v>
      </c>
      <c r="B85" s="115">
        <f>B83-B84</f>
        <v>99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49</v>
      </c>
      <c r="B86" s="231">
        <v>1</v>
      </c>
      <c r="C86" s="392" t="s">
        <v>50</v>
      </c>
      <c r="D86" s="393"/>
      <c r="E86" s="393"/>
      <c r="F86" s="393"/>
      <c r="G86" s="393"/>
      <c r="H86" s="394"/>
    </row>
    <row r="87" spans="1:8" ht="27" customHeight="1" x14ac:dyDescent="0.4">
      <c r="A87" s="116" t="s">
        <v>51</v>
      </c>
      <c r="B87" s="231">
        <v>1</v>
      </c>
      <c r="C87" s="392" t="s">
        <v>52</v>
      </c>
      <c r="D87" s="393"/>
      <c r="E87" s="393"/>
      <c r="F87" s="393"/>
      <c r="G87" s="393"/>
      <c r="H87" s="394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53</v>
      </c>
      <c r="B89" s="125">
        <f>B86/B87</f>
        <v>1</v>
      </c>
      <c r="C89" s="110" t="s">
        <v>54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55</v>
      </c>
      <c r="B91" s="215">
        <v>100</v>
      </c>
      <c r="D91" s="395" t="s">
        <v>56</v>
      </c>
      <c r="E91" s="411"/>
      <c r="F91" s="172" t="s">
        <v>57</v>
      </c>
      <c r="G91" s="173"/>
      <c r="H91" s="117"/>
    </row>
    <row r="92" spans="1:8" ht="26.25" customHeight="1" x14ac:dyDescent="0.4">
      <c r="A92" s="127" t="s">
        <v>58</v>
      </c>
      <c r="B92" s="216">
        <v>1</v>
      </c>
      <c r="C92" s="129" t="s">
        <v>59</v>
      </c>
      <c r="D92" s="130" t="s">
        <v>60</v>
      </c>
      <c r="E92" s="131" t="s">
        <v>61</v>
      </c>
      <c r="F92" s="130" t="s">
        <v>60</v>
      </c>
      <c r="G92" s="131" t="s">
        <v>61</v>
      </c>
      <c r="H92" s="117"/>
    </row>
    <row r="93" spans="1:8" ht="26.25" customHeight="1" x14ac:dyDescent="0.4">
      <c r="A93" s="127" t="s">
        <v>62</v>
      </c>
      <c r="B93" s="216">
        <v>1</v>
      </c>
      <c r="C93" s="132">
        <v>1</v>
      </c>
      <c r="D93" s="217">
        <v>673392</v>
      </c>
      <c r="E93" s="168">
        <f>IF(ISBLANK(D93),"-",$D$103/$D$100*D93)</f>
        <v>674461.02071783761</v>
      </c>
      <c r="F93" s="217">
        <v>644285</v>
      </c>
      <c r="G93" s="168">
        <f>IF(ISBLANK(F93),"-",$D$103/$F$100*F93)</f>
        <v>659364.67000296805</v>
      </c>
      <c r="H93" s="117"/>
    </row>
    <row r="94" spans="1:8" ht="26.25" customHeight="1" x14ac:dyDescent="0.4">
      <c r="A94" s="127" t="s">
        <v>63</v>
      </c>
      <c r="B94" s="216">
        <v>1</v>
      </c>
      <c r="C94" s="128">
        <v>2</v>
      </c>
      <c r="D94" s="218">
        <v>668691</v>
      </c>
      <c r="E94" s="169">
        <f>IF(ISBLANK(D94),"-",$D$103/$D$100*D94)</f>
        <v>669752.55780411942</v>
      </c>
      <c r="F94" s="218">
        <v>651428</v>
      </c>
      <c r="G94" s="169">
        <f>IF(ISBLANK(F94),"-",$D$103/$F$100*F94)</f>
        <v>666674.85390889656</v>
      </c>
      <c r="H94" s="117"/>
    </row>
    <row r="95" spans="1:8" ht="26.25" customHeight="1" x14ac:dyDescent="0.4">
      <c r="A95" s="127" t="s">
        <v>64</v>
      </c>
      <c r="B95" s="216">
        <v>1</v>
      </c>
      <c r="C95" s="128">
        <v>3</v>
      </c>
      <c r="D95" s="218">
        <v>662140</v>
      </c>
      <c r="E95" s="169">
        <f>IF(ISBLANK(D95),"-",$D$103/$D$100*D95)</f>
        <v>663191.15798540681</v>
      </c>
      <c r="F95" s="218">
        <v>659005</v>
      </c>
      <c r="G95" s="169">
        <f>IF(ISBLANK(F95),"-",$D$103/$F$100*F95)</f>
        <v>674429.19570579159</v>
      </c>
    </row>
    <row r="96" spans="1:8" ht="26.25" customHeight="1" x14ac:dyDescent="0.4">
      <c r="A96" s="127" t="s">
        <v>65</v>
      </c>
      <c r="B96" s="216">
        <v>1</v>
      </c>
      <c r="C96" s="134">
        <v>4</v>
      </c>
      <c r="D96" s="219"/>
      <c r="E96" s="170" t="str">
        <f>IF(ISBLANK(D96),"-",$D$103/$D$100*D96)</f>
        <v>-</v>
      </c>
      <c r="F96" s="219"/>
      <c r="G96" s="170" t="str">
        <f>IF(ISBLANK(F96),"-",$D$103/$F$100*F96)</f>
        <v>-</v>
      </c>
    </row>
    <row r="97" spans="1:7" ht="27" customHeight="1" x14ac:dyDescent="0.4">
      <c r="A97" s="127" t="s">
        <v>66</v>
      </c>
      <c r="B97" s="216">
        <v>1</v>
      </c>
      <c r="C97" s="135" t="s">
        <v>67</v>
      </c>
      <c r="D97" s="136">
        <f>AVERAGE(D93:D96)</f>
        <v>668074.33333333337</v>
      </c>
      <c r="E97" s="137">
        <f>AVERAGE(E93:E96)</f>
        <v>669134.91216912132</v>
      </c>
      <c r="F97" s="136">
        <f>AVERAGE(F93:F96)</f>
        <v>651572.66666666663</v>
      </c>
      <c r="G97" s="137">
        <f>AVERAGE(G93:G96)</f>
        <v>666822.90653921862</v>
      </c>
    </row>
    <row r="98" spans="1:7" ht="26.25" customHeight="1" x14ac:dyDescent="0.4">
      <c r="A98" s="127" t="s">
        <v>68</v>
      </c>
      <c r="B98" s="212">
        <v>1</v>
      </c>
      <c r="C98" s="198" t="s">
        <v>69</v>
      </c>
      <c r="D98" s="221">
        <v>20.170000000000002</v>
      </c>
      <c r="E98" s="133"/>
      <c r="F98" s="220">
        <v>19.739999999999998</v>
      </c>
      <c r="G98" s="174"/>
    </row>
    <row r="99" spans="1:7" ht="26.25" customHeight="1" x14ac:dyDescent="0.4">
      <c r="A99" s="127" t="s">
        <v>70</v>
      </c>
      <c r="B99" s="212">
        <v>1</v>
      </c>
      <c r="C99" s="199" t="s">
        <v>71</v>
      </c>
      <c r="D99" s="200">
        <f>D98*$B$89</f>
        <v>20.170000000000002</v>
      </c>
      <c r="E99" s="139"/>
      <c r="F99" s="138">
        <f>F98*$B$89</f>
        <v>19.739999999999998</v>
      </c>
      <c r="G99" s="141"/>
    </row>
    <row r="100" spans="1:7" ht="19.5" customHeight="1" x14ac:dyDescent="0.3">
      <c r="A100" s="127" t="s">
        <v>72</v>
      </c>
      <c r="B100" s="196">
        <f>(B99/B98)*(B97/B96)*(B95/B94)*(B93/B92)*B91</f>
        <v>100</v>
      </c>
      <c r="C100" s="199" t="s">
        <v>73</v>
      </c>
      <c r="D100" s="201">
        <f>D99*$B$85/100</f>
        <v>19.968300000000003</v>
      </c>
      <c r="E100" s="141"/>
      <c r="F100" s="140">
        <f>F99*$B$85/100</f>
        <v>19.542599999999997</v>
      </c>
      <c r="G100" s="141"/>
    </row>
    <row r="101" spans="1:7" ht="19.5" customHeight="1" x14ac:dyDescent="0.3">
      <c r="A101" s="397" t="s">
        <v>74</v>
      </c>
      <c r="B101" s="408"/>
      <c r="C101" s="199" t="s">
        <v>75</v>
      </c>
      <c r="D101" s="200">
        <f>D100/$B$100</f>
        <v>0.19968300000000003</v>
      </c>
      <c r="E101" s="141"/>
      <c r="F101" s="142">
        <f>F100/$B$100</f>
        <v>0.19542599999999996</v>
      </c>
      <c r="G101" s="141"/>
    </row>
    <row r="102" spans="1:7" ht="27" customHeight="1" x14ac:dyDescent="0.4">
      <c r="A102" s="399"/>
      <c r="B102" s="409"/>
      <c r="C102" s="199" t="s">
        <v>76</v>
      </c>
      <c r="D102" s="222">
        <v>0.2</v>
      </c>
      <c r="E102" s="174"/>
      <c r="F102" s="174"/>
      <c r="G102" s="174"/>
    </row>
    <row r="103" spans="1:7" ht="18.75" x14ac:dyDescent="0.3">
      <c r="C103" s="199" t="s">
        <v>77</v>
      </c>
      <c r="D103" s="201">
        <f>D102*$B$100</f>
        <v>20</v>
      </c>
      <c r="E103" s="141"/>
      <c r="F103" s="141"/>
      <c r="G103" s="141"/>
    </row>
    <row r="104" spans="1:7" ht="19.5" customHeight="1" x14ac:dyDescent="0.3">
      <c r="C104" s="202" t="s">
        <v>78</v>
      </c>
      <c r="D104" s="203">
        <f>D103/B89</f>
        <v>20</v>
      </c>
      <c r="E104" s="160"/>
      <c r="F104" s="160"/>
      <c r="G104" s="160"/>
    </row>
    <row r="105" spans="1:7" ht="18.75" x14ac:dyDescent="0.3">
      <c r="C105" s="204" t="s">
        <v>79</v>
      </c>
      <c r="D105" s="205">
        <f>AVERAGE(E93:E96,G93:G96)</f>
        <v>667978.90935416997</v>
      </c>
      <c r="E105" s="159"/>
      <c r="F105" s="159"/>
      <c r="G105" s="159"/>
    </row>
    <row r="106" spans="1:7" ht="18.75" x14ac:dyDescent="0.3">
      <c r="C106" s="143" t="s">
        <v>80</v>
      </c>
      <c r="D106" s="146">
        <f>STDEV(E93:E96,G93:G96)/D105</f>
        <v>9.1209260200393188E-3</v>
      </c>
      <c r="E106" s="139"/>
      <c r="F106" s="139"/>
      <c r="G106" s="139"/>
    </row>
    <row r="107" spans="1:7" ht="19.5" customHeight="1" x14ac:dyDescent="0.3">
      <c r="C107" s="144" t="s">
        <v>18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81</v>
      </c>
    </row>
    <row r="110" spans="1:7" ht="18.75" x14ac:dyDescent="0.3">
      <c r="A110" s="110" t="s">
        <v>82</v>
      </c>
      <c r="B110" s="112" t="str">
        <f>B21</f>
        <v>Each 5ml reconstituted suspension contains: Artemether 15 mg and Lumefantrine 90 mg</v>
      </c>
    </row>
    <row r="111" spans="1:7" ht="26.25" customHeight="1" x14ac:dyDescent="0.4">
      <c r="A111" s="207" t="s">
        <v>83</v>
      </c>
      <c r="B111" s="223">
        <v>5</v>
      </c>
      <c r="C111" s="187" t="s">
        <v>84</v>
      </c>
      <c r="D111" s="224">
        <v>15</v>
      </c>
      <c r="E111" s="187" t="str">
        <f>B20</f>
        <v>Artemether</v>
      </c>
    </row>
    <row r="112" spans="1:7" ht="18.75" x14ac:dyDescent="0.3">
      <c r="A112" s="112" t="s">
        <v>85</v>
      </c>
      <c r="B112" s="234">
        <f>RD!C39</f>
        <v>1.1297208830396439</v>
      </c>
    </row>
    <row r="113" spans="1:8" ht="18.75" x14ac:dyDescent="0.3">
      <c r="A113" s="185" t="s">
        <v>86</v>
      </c>
      <c r="B113" s="186">
        <f>B111</f>
        <v>5</v>
      </c>
      <c r="C113" s="187" t="s">
        <v>87</v>
      </c>
      <c r="D113" s="208">
        <f>B112*B111</f>
        <v>5.6486044151982195</v>
      </c>
      <c r="E113" s="188"/>
      <c r="F113" s="188"/>
      <c r="G113" s="188"/>
      <c r="H113" s="188"/>
    </row>
    <row r="114" spans="1:8" ht="19.5" customHeight="1" x14ac:dyDescent="0.25"/>
    <row r="115" spans="1:8" ht="27" customHeight="1" x14ac:dyDescent="0.4">
      <c r="A115" s="126" t="s">
        <v>88</v>
      </c>
      <c r="B115" s="215">
        <v>100</v>
      </c>
      <c r="D115" s="150" t="s">
        <v>89</v>
      </c>
      <c r="E115" s="149" t="s">
        <v>90</v>
      </c>
      <c r="F115" s="149" t="s">
        <v>60</v>
      </c>
      <c r="G115" s="149" t="s">
        <v>91</v>
      </c>
      <c r="H115" s="129" t="s">
        <v>92</v>
      </c>
    </row>
    <row r="116" spans="1:8" ht="26.25" customHeight="1" x14ac:dyDescent="0.4">
      <c r="A116" s="127" t="s">
        <v>93</v>
      </c>
      <c r="B116" s="216">
        <v>1</v>
      </c>
      <c r="C116" s="404" t="s">
        <v>94</v>
      </c>
      <c r="D116" s="401">
        <v>7.0027100000000004</v>
      </c>
      <c r="E116" s="180">
        <v>1</v>
      </c>
      <c r="F116" s="225">
        <v>475579</v>
      </c>
      <c r="G116" s="192">
        <f>IF(ISBLANK(F116),"-",(F116/$D$105*$D$102*$B$124)*$D$113/$D$116)</f>
        <v>11.485897447504167</v>
      </c>
      <c r="H116" s="238">
        <f t="shared" ref="H116:H127" si="1">IF(ISBLANK(F116),"-",G116/$D$111)</f>
        <v>0.7657264965002778</v>
      </c>
    </row>
    <row r="117" spans="1:8" ht="26.25" customHeight="1" x14ac:dyDescent="0.4">
      <c r="A117" s="127" t="s">
        <v>95</v>
      </c>
      <c r="B117" s="216">
        <v>1</v>
      </c>
      <c r="C117" s="405"/>
      <c r="D117" s="402"/>
      <c r="E117" s="181">
        <v>2</v>
      </c>
      <c r="F117" s="218">
        <v>472844</v>
      </c>
      <c r="G117" s="193">
        <f>IF(ISBLANK(F117),"-",(F117/$D$105*$D$102*$B$124)*$D$113/$D$116)</f>
        <v>11.419843375480539</v>
      </c>
      <c r="H117" s="239">
        <f t="shared" si="1"/>
        <v>0.7613228916987026</v>
      </c>
    </row>
    <row r="118" spans="1:8" ht="26.25" customHeight="1" x14ac:dyDescent="0.4">
      <c r="A118" s="127" t="s">
        <v>96</v>
      </c>
      <c r="B118" s="216">
        <v>1</v>
      </c>
      <c r="C118" s="405"/>
      <c r="D118" s="402"/>
      <c r="E118" s="181">
        <v>3</v>
      </c>
      <c r="F118" s="218">
        <v>476892</v>
      </c>
      <c r="G118" s="193">
        <f>IF(ISBLANK(F118),"-",(F118/$D$105*$D$102*$B$124)*$D$113/$D$116)</f>
        <v>11.517608232354998</v>
      </c>
      <c r="H118" s="239">
        <f t="shared" si="1"/>
        <v>0.76784054882366659</v>
      </c>
    </row>
    <row r="119" spans="1:8" ht="27" customHeight="1" x14ac:dyDescent="0.4">
      <c r="A119" s="127" t="s">
        <v>97</v>
      </c>
      <c r="B119" s="216">
        <v>1</v>
      </c>
      <c r="C119" s="406"/>
      <c r="D119" s="403"/>
      <c r="E119" s="182">
        <v>4</v>
      </c>
      <c r="F119" s="226"/>
      <c r="G119" s="194" t="str">
        <f>IF(ISBLANK(F119),"-",(F119/$D$105*$D$102*$B$124)*$D$113/$D$116)</f>
        <v>-</v>
      </c>
      <c r="H119" s="240" t="str">
        <f t="shared" si="1"/>
        <v>-</v>
      </c>
    </row>
    <row r="120" spans="1:8" ht="26.25" customHeight="1" x14ac:dyDescent="0.4">
      <c r="A120" s="127" t="s">
        <v>98</v>
      </c>
      <c r="B120" s="216">
        <v>1</v>
      </c>
      <c r="C120" s="404" t="s">
        <v>99</v>
      </c>
      <c r="D120" s="401">
        <v>6.50366</v>
      </c>
      <c r="E120" s="151">
        <v>1</v>
      </c>
      <c r="F120" s="218">
        <v>444131</v>
      </c>
      <c r="G120" s="192">
        <f>IF(ISBLANK(F120),"-",(F120/$D$105*$D$102*$B$124)*$D$113/$D$120)</f>
        <v>11.549459628132679</v>
      </c>
      <c r="H120" s="238">
        <f t="shared" si="1"/>
        <v>0.7699639752088453</v>
      </c>
    </row>
    <row r="121" spans="1:8" ht="26.25" customHeight="1" x14ac:dyDescent="0.4">
      <c r="A121" s="127" t="s">
        <v>100</v>
      </c>
      <c r="B121" s="216">
        <v>1</v>
      </c>
      <c r="C121" s="405"/>
      <c r="D121" s="402"/>
      <c r="E121" s="152">
        <v>2</v>
      </c>
      <c r="F121" s="218">
        <v>439253</v>
      </c>
      <c r="G121" s="193">
        <f>IF(ISBLANK(F121),"-",(F121/$D$105*$D$102*$B$124)*$D$113/$D$120)</f>
        <v>11.422609072629838</v>
      </c>
      <c r="H121" s="239">
        <f t="shared" si="1"/>
        <v>0.76150727150865583</v>
      </c>
    </row>
    <row r="122" spans="1:8" ht="26.25" customHeight="1" x14ac:dyDescent="0.4">
      <c r="A122" s="127" t="s">
        <v>101</v>
      </c>
      <c r="B122" s="216">
        <v>1</v>
      </c>
      <c r="C122" s="405"/>
      <c r="D122" s="402"/>
      <c r="E122" s="152">
        <v>3</v>
      </c>
      <c r="F122" s="218">
        <v>425836</v>
      </c>
      <c r="G122" s="193">
        <f>IF(ISBLANK(F122),"-",(F122/$D$105*$D$102*$B$124)*$D$113/$D$120)</f>
        <v>11.073705033437223</v>
      </c>
      <c r="H122" s="239">
        <f t="shared" si="1"/>
        <v>0.73824700222914819</v>
      </c>
    </row>
    <row r="123" spans="1:8" ht="27" customHeight="1" x14ac:dyDescent="0.4">
      <c r="A123" s="127" t="s">
        <v>102</v>
      </c>
      <c r="B123" s="216">
        <v>1</v>
      </c>
      <c r="C123" s="406"/>
      <c r="D123" s="403"/>
      <c r="E123" s="153">
        <v>4</v>
      </c>
      <c r="F123" s="226"/>
      <c r="G123" s="194" t="str">
        <f>IF(ISBLANK(F123),"-",(F123/$D$105*$D$102*$B$124)*$D$113/$D$120)</f>
        <v>-</v>
      </c>
      <c r="H123" s="240" t="str">
        <f t="shared" si="1"/>
        <v>-</v>
      </c>
    </row>
    <row r="124" spans="1:8" ht="26.25" customHeight="1" x14ac:dyDescent="0.4">
      <c r="A124" s="127" t="s">
        <v>103</v>
      </c>
      <c r="B124" s="195">
        <f>(B123/B122)*(B121/B120)*(B119/B118)*(B117/B116)*B115</f>
        <v>100</v>
      </c>
      <c r="C124" s="404" t="s">
        <v>104</v>
      </c>
      <c r="D124" s="401">
        <v>7.3364099999999999</v>
      </c>
      <c r="E124" s="151">
        <v>1</v>
      </c>
      <c r="F124" s="225">
        <v>481774</v>
      </c>
      <c r="G124" s="192">
        <f>IF(ISBLANK(F124),"-",(F124/$D$105*$D$102*$B$124)*$D$113/$D$124)</f>
        <v>11.106268560443867</v>
      </c>
      <c r="H124" s="238">
        <f t="shared" si="1"/>
        <v>0.74041790402959118</v>
      </c>
    </row>
    <row r="125" spans="1:8" ht="27" customHeight="1" x14ac:dyDescent="0.4">
      <c r="A125" s="206" t="s">
        <v>105</v>
      </c>
      <c r="B125" s="227">
        <f>(D102*B124)/D111*D113</f>
        <v>7.5314725535976255</v>
      </c>
      <c r="C125" s="405"/>
      <c r="D125" s="402"/>
      <c r="E125" s="152">
        <v>2</v>
      </c>
      <c r="F125" s="218">
        <v>488360</v>
      </c>
      <c r="G125" s="193">
        <f>IF(ISBLANK(F125),"-",(F125/$D$105*$D$102*$B$124)*$D$113/$D$124)</f>
        <v>11.258094696223472</v>
      </c>
      <c r="H125" s="239">
        <f t="shared" si="1"/>
        <v>0.75053964641489812</v>
      </c>
    </row>
    <row r="126" spans="1:8" ht="26.25" customHeight="1" x14ac:dyDescent="0.4">
      <c r="A126" s="397" t="s">
        <v>74</v>
      </c>
      <c r="B126" s="398"/>
      <c r="C126" s="405"/>
      <c r="D126" s="402"/>
      <c r="E126" s="152">
        <v>3</v>
      </c>
      <c r="F126" s="218">
        <v>473936</v>
      </c>
      <c r="G126" s="193">
        <f>IF(ISBLANK(F126),"-",(F126/$D$105*$D$102*$B$124)*$D$113/$D$124)</f>
        <v>10.925580243978555</v>
      </c>
      <c r="H126" s="239">
        <f t="shared" si="1"/>
        <v>0.72837201626523695</v>
      </c>
    </row>
    <row r="127" spans="1:8" ht="27" customHeight="1" x14ac:dyDescent="0.4">
      <c r="A127" s="399"/>
      <c r="B127" s="400"/>
      <c r="C127" s="407"/>
      <c r="D127" s="403"/>
      <c r="E127" s="153">
        <v>4</v>
      </c>
      <c r="F127" s="226"/>
      <c r="G127" s="194" t="str">
        <f>IF(ISBLANK(F127),"-",(F127/$D$105*$D$102*$B$124)*$D$113/$D$124)</f>
        <v>-</v>
      </c>
      <c r="H127" s="240" t="str">
        <f t="shared" si="1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67</v>
      </c>
      <c r="H128" s="228">
        <f>AVERAGE(H116:H127)</f>
        <v>0.75377086140878036</v>
      </c>
    </row>
    <row r="129" spans="1:9" ht="26.25" customHeight="1" x14ac:dyDescent="0.4">
      <c r="C129" s="154"/>
      <c r="D129" s="154"/>
      <c r="E129" s="154"/>
      <c r="F129" s="155"/>
      <c r="G129" s="143" t="s">
        <v>80</v>
      </c>
      <c r="H129" s="229">
        <f>STDEV(H116:H127)/H128</f>
        <v>1.987134329350794E-2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18</v>
      </c>
      <c r="H130" s="230">
        <f>COUNT(H116:H127)</f>
        <v>9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106</v>
      </c>
      <c r="B132" s="232" t="s">
        <v>107</v>
      </c>
      <c r="C132" s="388" t="str">
        <f>B20</f>
        <v>Artemether</v>
      </c>
      <c r="D132" s="388"/>
      <c r="E132" s="179" t="s">
        <v>108</v>
      </c>
      <c r="F132" s="179"/>
      <c r="G132" s="233">
        <f>H128</f>
        <v>0.75377086140878036</v>
      </c>
      <c r="H132" s="155"/>
    </row>
    <row r="133" spans="1:9" ht="19.5" customHeight="1" x14ac:dyDescent="0.3">
      <c r="A133" s="236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26</v>
      </c>
      <c r="B134" s="209" t="s">
        <v>114</v>
      </c>
      <c r="C134" s="209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27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D27" sqref="D2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4" t="s">
        <v>28</v>
      </c>
      <c r="B1" s="384"/>
      <c r="C1" s="384"/>
      <c r="D1" s="384"/>
      <c r="E1" s="384"/>
      <c r="F1" s="384"/>
      <c r="G1" s="384"/>
      <c r="H1" s="384"/>
    </row>
    <row r="2" spans="1:8" x14ac:dyDescent="0.25">
      <c r="A2" s="384"/>
      <c r="B2" s="384"/>
      <c r="C2" s="384"/>
      <c r="D2" s="384"/>
      <c r="E2" s="384"/>
      <c r="F2" s="384"/>
      <c r="G2" s="384"/>
      <c r="H2" s="384"/>
    </row>
    <row r="3" spans="1:8" x14ac:dyDescent="0.25">
      <c r="A3" s="384"/>
      <c r="B3" s="384"/>
      <c r="C3" s="384"/>
      <c r="D3" s="384"/>
      <c r="E3" s="384"/>
      <c r="F3" s="384"/>
      <c r="G3" s="384"/>
      <c r="H3" s="384"/>
    </row>
    <row r="4" spans="1:8" x14ac:dyDescent="0.25">
      <c r="A4" s="384"/>
      <c r="B4" s="384"/>
      <c r="C4" s="384"/>
      <c r="D4" s="384"/>
      <c r="E4" s="384"/>
      <c r="F4" s="384"/>
      <c r="G4" s="384"/>
      <c r="H4" s="384"/>
    </row>
    <row r="5" spans="1:8" x14ac:dyDescent="0.25">
      <c r="A5" s="384"/>
      <c r="B5" s="384"/>
      <c r="C5" s="384"/>
      <c r="D5" s="384"/>
      <c r="E5" s="384"/>
      <c r="F5" s="384"/>
      <c r="G5" s="384"/>
      <c r="H5" s="384"/>
    </row>
    <row r="6" spans="1:8" x14ac:dyDescent="0.25">
      <c r="A6" s="384"/>
      <c r="B6" s="384"/>
      <c r="C6" s="384"/>
      <c r="D6" s="384"/>
      <c r="E6" s="384"/>
      <c r="F6" s="384"/>
      <c r="G6" s="384"/>
      <c r="H6" s="384"/>
    </row>
    <row r="7" spans="1:8" x14ac:dyDescent="0.25">
      <c r="A7" s="384"/>
      <c r="B7" s="384"/>
      <c r="C7" s="384"/>
      <c r="D7" s="384"/>
      <c r="E7" s="384"/>
      <c r="F7" s="384"/>
      <c r="G7" s="384"/>
      <c r="H7" s="384"/>
    </row>
    <row r="8" spans="1:8" x14ac:dyDescent="0.25">
      <c r="A8" s="385" t="s">
        <v>29</v>
      </c>
      <c r="B8" s="385"/>
      <c r="C8" s="385"/>
      <c r="D8" s="385"/>
      <c r="E8" s="385"/>
      <c r="F8" s="385"/>
      <c r="G8" s="385"/>
      <c r="H8" s="385"/>
    </row>
    <row r="9" spans="1:8" x14ac:dyDescent="0.25">
      <c r="A9" s="385"/>
      <c r="B9" s="385"/>
      <c r="C9" s="385"/>
      <c r="D9" s="385"/>
      <c r="E9" s="385"/>
      <c r="F9" s="385"/>
      <c r="G9" s="385"/>
      <c r="H9" s="385"/>
    </row>
    <row r="10" spans="1:8" x14ac:dyDescent="0.25">
      <c r="A10" s="385"/>
      <c r="B10" s="385"/>
      <c r="C10" s="385"/>
      <c r="D10" s="385"/>
      <c r="E10" s="385"/>
      <c r="F10" s="385"/>
      <c r="G10" s="385"/>
      <c r="H10" s="385"/>
    </row>
    <row r="11" spans="1:8" x14ac:dyDescent="0.25">
      <c r="A11" s="385"/>
      <c r="B11" s="385"/>
      <c r="C11" s="385"/>
      <c r="D11" s="385"/>
      <c r="E11" s="385"/>
      <c r="F11" s="385"/>
      <c r="G11" s="385"/>
      <c r="H11" s="385"/>
    </row>
    <row r="12" spans="1:8" x14ac:dyDescent="0.25">
      <c r="A12" s="385"/>
      <c r="B12" s="385"/>
      <c r="C12" s="385"/>
      <c r="D12" s="385"/>
      <c r="E12" s="385"/>
      <c r="F12" s="385"/>
      <c r="G12" s="385"/>
      <c r="H12" s="385"/>
    </row>
    <row r="13" spans="1:8" x14ac:dyDescent="0.25">
      <c r="A13" s="385"/>
      <c r="B13" s="385"/>
      <c r="C13" s="385"/>
      <c r="D13" s="385"/>
      <c r="E13" s="385"/>
      <c r="F13" s="385"/>
      <c r="G13" s="385"/>
      <c r="H13" s="385"/>
    </row>
    <row r="14" spans="1:8" ht="19.5" customHeight="1" x14ac:dyDescent="0.25">
      <c r="A14" s="385"/>
      <c r="B14" s="385"/>
      <c r="C14" s="385"/>
      <c r="D14" s="385"/>
      <c r="E14" s="385"/>
      <c r="F14" s="385"/>
      <c r="G14" s="385"/>
      <c r="H14" s="385"/>
    </row>
    <row r="15" spans="1:8" ht="19.5" customHeight="1" x14ac:dyDescent="0.25"/>
    <row r="16" spans="1:8" ht="19.5" customHeight="1" x14ac:dyDescent="0.3">
      <c r="A16" s="378" t="s">
        <v>30</v>
      </c>
      <c r="B16" s="379"/>
      <c r="C16" s="379"/>
      <c r="D16" s="379"/>
      <c r="E16" s="379"/>
      <c r="F16" s="379"/>
      <c r="G16" s="379"/>
      <c r="H16" s="380"/>
    </row>
    <row r="17" spans="1:12" ht="20.25" customHeight="1" x14ac:dyDescent="0.25">
      <c r="A17" s="386" t="s">
        <v>43</v>
      </c>
      <c r="B17" s="386"/>
      <c r="C17" s="386"/>
      <c r="D17" s="386"/>
      <c r="E17" s="386"/>
      <c r="F17" s="386"/>
      <c r="G17" s="386"/>
      <c r="H17" s="386"/>
    </row>
    <row r="18" spans="1:12" ht="26.25" customHeight="1" x14ac:dyDescent="0.4">
      <c r="A18" s="243" t="s">
        <v>32</v>
      </c>
      <c r="B18" s="387" t="s">
        <v>4</v>
      </c>
      <c r="C18" s="387"/>
    </row>
    <row r="19" spans="1:12" ht="26.25" customHeight="1" x14ac:dyDescent="0.4">
      <c r="A19" s="243" t="s">
        <v>33</v>
      </c>
      <c r="B19" s="345" t="s">
        <v>6</v>
      </c>
      <c r="C19" s="368">
        <v>23</v>
      </c>
    </row>
    <row r="20" spans="1:12" ht="26.25" customHeight="1" x14ac:dyDescent="0.4">
      <c r="A20" s="243" t="s">
        <v>34</v>
      </c>
      <c r="B20" s="345" t="s">
        <v>110</v>
      </c>
      <c r="C20" s="346"/>
    </row>
    <row r="21" spans="1:12" ht="26.25" customHeight="1" x14ac:dyDescent="0.4">
      <c r="A21" s="243" t="s">
        <v>35</v>
      </c>
      <c r="B21" s="410" t="s">
        <v>10</v>
      </c>
      <c r="C21" s="410"/>
      <c r="D21" s="410"/>
      <c r="E21" s="410"/>
      <c r="F21" s="410"/>
      <c r="G21" s="410"/>
      <c r="H21" s="410"/>
      <c r="I21" s="370"/>
    </row>
    <row r="22" spans="1:12" ht="26.25" customHeight="1" x14ac:dyDescent="0.4">
      <c r="A22" s="243" t="s">
        <v>36</v>
      </c>
      <c r="B22" s="347">
        <v>43224</v>
      </c>
      <c r="C22" s="346"/>
      <c r="D22" s="346"/>
      <c r="E22" s="346"/>
      <c r="F22" s="346"/>
      <c r="G22" s="346"/>
      <c r="H22" s="346"/>
      <c r="I22" s="346"/>
    </row>
    <row r="23" spans="1:12" ht="26.25" customHeight="1" x14ac:dyDescent="0.4">
      <c r="A23" s="243" t="s">
        <v>37</v>
      </c>
      <c r="B23" s="347">
        <v>43229</v>
      </c>
      <c r="C23" s="346"/>
      <c r="D23" s="346"/>
      <c r="E23" s="346"/>
      <c r="F23" s="346"/>
      <c r="G23" s="346"/>
      <c r="H23" s="346"/>
      <c r="I23" s="346"/>
    </row>
    <row r="24" spans="1:12" ht="18.75" x14ac:dyDescent="0.3">
      <c r="A24" s="243"/>
      <c r="B24" s="245"/>
    </row>
    <row r="25" spans="1:12" ht="18.75" x14ac:dyDescent="0.3">
      <c r="B25" s="245"/>
    </row>
    <row r="26" spans="1:12" ht="18.75" x14ac:dyDescent="0.3">
      <c r="A26" s="241" t="s">
        <v>1</v>
      </c>
      <c r="B26" s="388"/>
      <c r="C26" s="388"/>
      <c r="D26" s="388"/>
      <c r="E26" s="388"/>
      <c r="F26" s="388"/>
      <c r="G26" s="388"/>
      <c r="H26" s="388"/>
    </row>
    <row r="27" spans="1:12" ht="26.25" customHeight="1" x14ac:dyDescent="0.4">
      <c r="A27" s="246" t="s">
        <v>3</v>
      </c>
      <c r="B27" s="387" t="s">
        <v>110</v>
      </c>
      <c r="C27" s="387"/>
    </row>
    <row r="28" spans="1:12" ht="26.25" customHeight="1" x14ac:dyDescent="0.4">
      <c r="A28" s="248" t="s">
        <v>45</v>
      </c>
      <c r="B28" s="410" t="s">
        <v>111</v>
      </c>
      <c r="C28" s="410"/>
    </row>
    <row r="29" spans="1:12" ht="27" customHeight="1" x14ac:dyDescent="0.4">
      <c r="A29" s="248" t="s">
        <v>5</v>
      </c>
      <c r="B29" s="344">
        <v>99.1</v>
      </c>
    </row>
    <row r="30" spans="1:12" s="8" customFormat="1" ht="27" customHeight="1" x14ac:dyDescent="0.4">
      <c r="A30" s="248" t="s">
        <v>46</v>
      </c>
      <c r="B30" s="343">
        <v>0</v>
      </c>
      <c r="C30" s="389" t="s">
        <v>47</v>
      </c>
      <c r="D30" s="390"/>
      <c r="E30" s="390"/>
      <c r="F30" s="390"/>
      <c r="G30" s="390"/>
      <c r="H30" s="391"/>
      <c r="I30" s="250"/>
      <c r="J30" s="250"/>
      <c r="K30" s="250"/>
      <c r="L30" s="250"/>
    </row>
    <row r="31" spans="1:12" s="8" customFormat="1" ht="19.5" customHeight="1" x14ac:dyDescent="0.3">
      <c r="A31" s="248" t="s">
        <v>48</v>
      </c>
      <c r="B31" s="247">
        <f>B29-B30</f>
        <v>99.1</v>
      </c>
      <c r="C31" s="251"/>
      <c r="D31" s="251"/>
      <c r="E31" s="251"/>
      <c r="F31" s="251"/>
      <c r="G31" s="251"/>
      <c r="H31" s="252"/>
      <c r="I31" s="250"/>
      <c r="J31" s="250"/>
      <c r="K31" s="250"/>
      <c r="L31" s="250"/>
    </row>
    <row r="32" spans="1:12" s="8" customFormat="1" ht="27" customHeight="1" x14ac:dyDescent="0.4">
      <c r="A32" s="248" t="s">
        <v>49</v>
      </c>
      <c r="B32" s="364">
        <v>1</v>
      </c>
      <c r="C32" s="392" t="s">
        <v>50</v>
      </c>
      <c r="D32" s="393"/>
      <c r="E32" s="393"/>
      <c r="F32" s="393"/>
      <c r="G32" s="393"/>
      <c r="H32" s="394"/>
      <c r="I32" s="250"/>
      <c r="J32" s="250"/>
      <c r="K32" s="250"/>
      <c r="L32" s="250"/>
    </row>
    <row r="33" spans="1:14" s="8" customFormat="1" ht="27" customHeight="1" x14ac:dyDescent="0.4">
      <c r="A33" s="248" t="s">
        <v>51</v>
      </c>
      <c r="B33" s="364">
        <v>1</v>
      </c>
      <c r="C33" s="392" t="s">
        <v>52</v>
      </c>
      <c r="D33" s="393"/>
      <c r="E33" s="393"/>
      <c r="F33" s="393"/>
      <c r="G33" s="393"/>
      <c r="H33" s="394"/>
      <c r="I33" s="250"/>
      <c r="J33" s="250"/>
      <c r="K33" s="250"/>
      <c r="L33" s="254"/>
      <c r="M33" s="254"/>
      <c r="N33" s="255"/>
    </row>
    <row r="34" spans="1:14" s="8" customFormat="1" ht="17.25" customHeight="1" x14ac:dyDescent="0.3">
      <c r="A34" s="248"/>
      <c r="B34" s="253"/>
      <c r="C34" s="256"/>
      <c r="D34" s="256"/>
      <c r="E34" s="256"/>
      <c r="F34" s="256"/>
      <c r="G34" s="256"/>
      <c r="H34" s="256"/>
      <c r="I34" s="250"/>
      <c r="J34" s="250"/>
      <c r="K34" s="250"/>
      <c r="L34" s="254"/>
      <c r="M34" s="254"/>
      <c r="N34" s="255"/>
    </row>
    <row r="35" spans="1:14" s="8" customFormat="1" ht="18.75" x14ac:dyDescent="0.3">
      <c r="A35" s="248" t="s">
        <v>53</v>
      </c>
      <c r="B35" s="257">
        <f>B32/B33</f>
        <v>1</v>
      </c>
      <c r="C35" s="242" t="s">
        <v>54</v>
      </c>
      <c r="D35" s="242"/>
      <c r="E35" s="242"/>
      <c r="F35" s="242"/>
      <c r="G35" s="242"/>
      <c r="H35" s="242"/>
      <c r="I35" s="250"/>
      <c r="J35" s="250"/>
      <c r="K35" s="250"/>
      <c r="L35" s="254"/>
      <c r="M35" s="254"/>
      <c r="N35" s="255"/>
    </row>
    <row r="36" spans="1:14" s="8" customFormat="1" ht="19.5" customHeight="1" x14ac:dyDescent="0.3">
      <c r="A36" s="248"/>
      <c r="B36" s="247"/>
      <c r="H36" s="242"/>
      <c r="I36" s="250"/>
      <c r="J36" s="250"/>
      <c r="K36" s="250"/>
      <c r="L36" s="254"/>
      <c r="M36" s="254"/>
      <c r="N36" s="255"/>
    </row>
    <row r="37" spans="1:14" s="8" customFormat="1" ht="27" customHeight="1" x14ac:dyDescent="0.4">
      <c r="A37" s="258" t="s">
        <v>55</v>
      </c>
      <c r="B37" s="348">
        <v>100</v>
      </c>
      <c r="C37" s="242"/>
      <c r="D37" s="395" t="s">
        <v>56</v>
      </c>
      <c r="E37" s="396"/>
      <c r="F37" s="304" t="s">
        <v>57</v>
      </c>
      <c r="G37" s="305"/>
      <c r="J37" s="250"/>
      <c r="K37" s="250"/>
      <c r="L37" s="254"/>
      <c r="M37" s="254"/>
      <c r="N37" s="255"/>
    </row>
    <row r="38" spans="1:14" s="8" customFormat="1" ht="26.25" customHeight="1" x14ac:dyDescent="0.4">
      <c r="A38" s="259" t="s">
        <v>58</v>
      </c>
      <c r="B38" s="349">
        <v>1</v>
      </c>
      <c r="C38" s="261" t="s">
        <v>59</v>
      </c>
      <c r="D38" s="262" t="s">
        <v>60</v>
      </c>
      <c r="E38" s="294" t="s">
        <v>61</v>
      </c>
      <c r="F38" s="262" t="s">
        <v>60</v>
      </c>
      <c r="G38" s="263" t="s">
        <v>61</v>
      </c>
      <c r="J38" s="250"/>
      <c r="K38" s="250"/>
      <c r="L38" s="254"/>
      <c r="M38" s="254"/>
      <c r="N38" s="255"/>
    </row>
    <row r="39" spans="1:14" s="8" customFormat="1" ht="26.25" customHeight="1" x14ac:dyDescent="0.4">
      <c r="A39" s="259" t="s">
        <v>62</v>
      </c>
      <c r="B39" s="349">
        <v>1</v>
      </c>
      <c r="C39" s="264">
        <v>1</v>
      </c>
      <c r="D39" s="350">
        <v>5399310</v>
      </c>
      <c r="E39" s="308">
        <f>IF(ISBLANK(D39),"-",$D$49/$D$46*D39)</f>
        <v>5182730.1840224341</v>
      </c>
      <c r="F39" s="350">
        <v>5724579</v>
      </c>
      <c r="G39" s="300">
        <f>IF(ISBLANK(F39),"-",$D$49/$F$46*F39)</f>
        <v>5266386.8836623635</v>
      </c>
      <c r="J39" s="250"/>
      <c r="K39" s="250"/>
      <c r="L39" s="254"/>
      <c r="M39" s="254"/>
      <c r="N39" s="255"/>
    </row>
    <row r="40" spans="1:14" s="8" customFormat="1" ht="26.25" customHeight="1" x14ac:dyDescent="0.4">
      <c r="A40" s="259" t="s">
        <v>63</v>
      </c>
      <c r="B40" s="349">
        <v>1</v>
      </c>
      <c r="C40" s="260">
        <v>2</v>
      </c>
      <c r="D40" s="351">
        <v>5407283</v>
      </c>
      <c r="E40" s="309">
        <f>IF(ISBLANK(D40),"-",$D$49/$D$46*D40)</f>
        <v>5190383.3670693804</v>
      </c>
      <c r="F40" s="351">
        <v>5697790</v>
      </c>
      <c r="G40" s="301">
        <f>IF(ISBLANK(F40),"-",$D$49/$F$46*F40)</f>
        <v>5241742.0603091652</v>
      </c>
      <c r="J40" s="250"/>
      <c r="K40" s="250"/>
      <c r="L40" s="254"/>
      <c r="M40" s="254"/>
      <c r="N40" s="255"/>
    </row>
    <row r="41" spans="1:14" ht="26.25" customHeight="1" x14ac:dyDescent="0.4">
      <c r="A41" s="259" t="s">
        <v>64</v>
      </c>
      <c r="B41" s="349">
        <v>1</v>
      </c>
      <c r="C41" s="260">
        <v>3</v>
      </c>
      <c r="D41" s="351">
        <v>5413477</v>
      </c>
      <c r="E41" s="309">
        <f>IF(ISBLANK(D41),"-",$D$49/$D$46*D41)</f>
        <v>5196328.9102517199</v>
      </c>
      <c r="F41" s="351">
        <v>5674276</v>
      </c>
      <c r="G41" s="301">
        <f>IF(ISBLANK(F41),"-",$D$49/$F$46*F41)</f>
        <v>5220110.1077791294</v>
      </c>
      <c r="L41" s="254"/>
      <c r="M41" s="254"/>
      <c r="N41" s="265"/>
    </row>
    <row r="42" spans="1:14" ht="26.25" customHeight="1" x14ac:dyDescent="0.4">
      <c r="A42" s="259" t="s">
        <v>65</v>
      </c>
      <c r="B42" s="349">
        <v>1</v>
      </c>
      <c r="C42" s="266">
        <v>4</v>
      </c>
      <c r="D42" s="352"/>
      <c r="E42" s="310" t="str">
        <f>IF(ISBLANK(D42),"-",$D$49/$D$46*D42)</f>
        <v>-</v>
      </c>
      <c r="F42" s="352"/>
      <c r="G42" s="302" t="str">
        <f>IF(ISBLANK(F42),"-",$D$49/$F$46*F42)</f>
        <v>-</v>
      </c>
      <c r="L42" s="254"/>
      <c r="M42" s="254"/>
      <c r="N42" s="265"/>
    </row>
    <row r="43" spans="1:14" ht="27" customHeight="1" x14ac:dyDescent="0.4">
      <c r="A43" s="259" t="s">
        <v>66</v>
      </c>
      <c r="B43" s="349">
        <v>1</v>
      </c>
      <c r="C43" s="267" t="s">
        <v>67</v>
      </c>
      <c r="D43" s="329">
        <f>AVERAGE(D39:D42)</f>
        <v>5406690</v>
      </c>
      <c r="E43" s="290">
        <f>AVERAGE(E39:E42)</f>
        <v>5189814.1537811784</v>
      </c>
      <c r="F43" s="268">
        <f>AVERAGE(F39:F42)</f>
        <v>5698881.666666667</v>
      </c>
      <c r="G43" s="269">
        <f>AVERAGE(G39:G42)</f>
        <v>5242746.3505835533</v>
      </c>
    </row>
    <row r="44" spans="1:14" ht="26.25" customHeight="1" x14ac:dyDescent="0.4">
      <c r="A44" s="259" t="s">
        <v>68</v>
      </c>
      <c r="B44" s="344">
        <v>1</v>
      </c>
      <c r="C44" s="330" t="s">
        <v>69</v>
      </c>
      <c r="D44" s="354">
        <v>16.82</v>
      </c>
      <c r="E44" s="265"/>
      <c r="F44" s="353">
        <v>17.55</v>
      </c>
      <c r="G44" s="306"/>
    </row>
    <row r="45" spans="1:14" ht="26.25" customHeight="1" x14ac:dyDescent="0.4">
      <c r="A45" s="259" t="s">
        <v>70</v>
      </c>
      <c r="B45" s="344">
        <v>1</v>
      </c>
      <c r="C45" s="331" t="s">
        <v>71</v>
      </c>
      <c r="D45" s="332">
        <f>D44*$B$35</f>
        <v>16.82</v>
      </c>
      <c r="E45" s="271"/>
      <c r="F45" s="270">
        <f>F44*$B$35</f>
        <v>17.55</v>
      </c>
      <c r="G45" s="273"/>
    </row>
    <row r="46" spans="1:14" ht="19.5" customHeight="1" x14ac:dyDescent="0.3">
      <c r="A46" s="259" t="s">
        <v>72</v>
      </c>
      <c r="B46" s="328">
        <f>(B45/B44)*(B43/B42)*(B41/B40)*(B39/B38)*B37</f>
        <v>100</v>
      </c>
      <c r="C46" s="331" t="s">
        <v>73</v>
      </c>
      <c r="D46" s="333">
        <f>D45*$B$31/100</f>
        <v>16.668619999999997</v>
      </c>
      <c r="E46" s="273"/>
      <c r="F46" s="272">
        <f>F45*$B$31/100</f>
        <v>17.392049999999998</v>
      </c>
      <c r="G46" s="273"/>
    </row>
    <row r="47" spans="1:14" ht="19.5" customHeight="1" x14ac:dyDescent="0.3">
      <c r="A47" s="397" t="s">
        <v>74</v>
      </c>
      <c r="B47" s="408"/>
      <c r="C47" s="331" t="s">
        <v>75</v>
      </c>
      <c r="D47" s="332">
        <f>D46/$B$46</f>
        <v>0.16668619999999998</v>
      </c>
      <c r="E47" s="273"/>
      <c r="F47" s="274">
        <f>F46/$B$46</f>
        <v>0.17392049999999998</v>
      </c>
      <c r="G47" s="273"/>
    </row>
    <row r="48" spans="1:14" ht="27" customHeight="1" x14ac:dyDescent="0.4">
      <c r="A48" s="399"/>
      <c r="B48" s="409"/>
      <c r="C48" s="331" t="s">
        <v>76</v>
      </c>
      <c r="D48" s="355">
        <v>0.16</v>
      </c>
      <c r="E48" s="306"/>
      <c r="F48" s="306"/>
      <c r="G48" s="306"/>
    </row>
    <row r="49" spans="1:12" ht="18.75" x14ac:dyDescent="0.3">
      <c r="C49" s="331" t="s">
        <v>77</v>
      </c>
      <c r="D49" s="333">
        <f>D48*$B$46</f>
        <v>16</v>
      </c>
      <c r="E49" s="273"/>
      <c r="F49" s="273"/>
      <c r="G49" s="273"/>
    </row>
    <row r="50" spans="1:12" ht="19.5" customHeight="1" x14ac:dyDescent="0.3">
      <c r="C50" s="334" t="s">
        <v>78</v>
      </c>
      <c r="D50" s="335">
        <f>D49/B35</f>
        <v>16</v>
      </c>
      <c r="E50" s="292"/>
      <c r="F50" s="292"/>
      <c r="G50" s="292"/>
    </row>
    <row r="51" spans="1:12" ht="18.75" x14ac:dyDescent="0.3">
      <c r="C51" s="336" t="s">
        <v>79</v>
      </c>
      <c r="D51" s="337">
        <f>AVERAGE(E39:E42,G39:G42)</f>
        <v>5216280.2521823654</v>
      </c>
      <c r="E51" s="291"/>
      <c r="F51" s="291"/>
      <c r="G51" s="291"/>
    </row>
    <row r="52" spans="1:12" ht="18.75" x14ac:dyDescent="0.3">
      <c r="C52" s="275" t="s">
        <v>80</v>
      </c>
      <c r="D52" s="278">
        <f>STDEV(E39:E42,G39:G42)/D51</f>
        <v>6.2814314748422676E-3</v>
      </c>
      <c r="E52" s="271"/>
      <c r="F52" s="271"/>
      <c r="G52" s="271"/>
    </row>
    <row r="53" spans="1:12" ht="19.5" customHeight="1" x14ac:dyDescent="0.3">
      <c r="C53" s="276" t="s">
        <v>18</v>
      </c>
      <c r="D53" s="279">
        <f>COUNT(E39:E42,G39:G42)</f>
        <v>6</v>
      </c>
      <c r="E53" s="271"/>
      <c r="F53" s="271"/>
      <c r="G53" s="271"/>
    </row>
    <row r="55" spans="1:12" ht="18.75" x14ac:dyDescent="0.3">
      <c r="A55" s="241" t="s">
        <v>1</v>
      </c>
      <c r="B55" s="280" t="s">
        <v>81</v>
      </c>
    </row>
    <row r="56" spans="1:12" ht="18.75" x14ac:dyDescent="0.3">
      <c r="A56" s="242" t="s">
        <v>82</v>
      </c>
      <c r="B56" s="244" t="str">
        <f>B21</f>
        <v>Each 5ml reconstituted suspension contains: Artemether 15 mg and Lumefantrine 90 mg</v>
      </c>
    </row>
    <row r="57" spans="1:12" ht="26.25" customHeight="1" x14ac:dyDescent="0.4">
      <c r="A57" s="339" t="s">
        <v>83</v>
      </c>
      <c r="B57" s="356">
        <v>5</v>
      </c>
      <c r="C57" s="319" t="s">
        <v>84</v>
      </c>
      <c r="D57" s="357">
        <v>90</v>
      </c>
      <c r="E57" s="319" t="str">
        <f>B20</f>
        <v>Lumefantrine</v>
      </c>
    </row>
    <row r="58" spans="1:12" ht="18.75" x14ac:dyDescent="0.3">
      <c r="A58" s="244" t="s">
        <v>85</v>
      </c>
      <c r="B58" s="367">
        <f>RD!C39</f>
        <v>1.1297208830396439</v>
      </c>
    </row>
    <row r="59" spans="1:12" s="74" customFormat="1" ht="18.75" x14ac:dyDescent="0.3">
      <c r="A59" s="317" t="s">
        <v>86</v>
      </c>
      <c r="B59" s="318">
        <f>B57</f>
        <v>5</v>
      </c>
      <c r="C59" s="319" t="s">
        <v>87</v>
      </c>
      <c r="D59" s="340">
        <f>B58*B57</f>
        <v>5.6486044151982195</v>
      </c>
    </row>
    <row r="60" spans="1:12" ht="19.5" customHeight="1" x14ac:dyDescent="0.25"/>
    <row r="61" spans="1:12" s="8" customFormat="1" ht="27" customHeight="1" x14ac:dyDescent="0.4">
      <c r="A61" s="258" t="s">
        <v>88</v>
      </c>
      <c r="B61" s="348">
        <v>100</v>
      </c>
      <c r="C61" s="242"/>
      <c r="D61" s="282" t="s">
        <v>89</v>
      </c>
      <c r="E61" s="281" t="s">
        <v>90</v>
      </c>
      <c r="F61" s="281" t="s">
        <v>60</v>
      </c>
      <c r="G61" s="281" t="s">
        <v>91</v>
      </c>
      <c r="H61" s="261" t="s">
        <v>92</v>
      </c>
      <c r="L61" s="250"/>
    </row>
    <row r="62" spans="1:12" s="8" customFormat="1" ht="24" customHeight="1" x14ac:dyDescent="0.4">
      <c r="A62" s="259" t="s">
        <v>93</v>
      </c>
      <c r="B62" s="349">
        <v>1</v>
      </c>
      <c r="C62" s="404" t="s">
        <v>94</v>
      </c>
      <c r="D62" s="401">
        <v>7.15388</v>
      </c>
      <c r="E62" s="312">
        <v>1</v>
      </c>
      <c r="F62" s="358">
        <v>35577063</v>
      </c>
      <c r="G62" s="324">
        <f>IF(ISBLANK(F62),"-",(F62/$D$51*$D$48*$B$70)*$D$59/$D$62)</f>
        <v>86.164558929074516</v>
      </c>
      <c r="H62" s="321">
        <f t="shared" ref="H62:H73" si="0">IF(ISBLANK(F62),"-",G62/$D$57)</f>
        <v>0.95738398810082792</v>
      </c>
      <c r="L62" s="250"/>
    </row>
    <row r="63" spans="1:12" s="8" customFormat="1" ht="26.25" customHeight="1" x14ac:dyDescent="0.4">
      <c r="A63" s="259" t="s">
        <v>95</v>
      </c>
      <c r="B63" s="349">
        <v>1</v>
      </c>
      <c r="C63" s="405"/>
      <c r="D63" s="402"/>
      <c r="E63" s="313">
        <v>2</v>
      </c>
      <c r="F63" s="351">
        <v>35513391</v>
      </c>
      <c r="G63" s="325">
        <f>IF(ISBLANK(F63),"-",(F63/$D$51*$D$48*$B$70)*$D$59/$D$62)</f>
        <v>86.010350871030724</v>
      </c>
      <c r="H63" s="322">
        <f t="shared" si="0"/>
        <v>0.95567056523367466</v>
      </c>
      <c r="L63" s="250"/>
    </row>
    <row r="64" spans="1:12" s="8" customFormat="1" ht="24.75" customHeight="1" x14ac:dyDescent="0.4">
      <c r="A64" s="259" t="s">
        <v>96</v>
      </c>
      <c r="B64" s="349">
        <v>1</v>
      </c>
      <c r="C64" s="405"/>
      <c r="D64" s="402"/>
      <c r="E64" s="313">
        <v>3</v>
      </c>
      <c r="F64" s="351">
        <v>35594736</v>
      </c>
      <c r="G64" s="325">
        <f>IF(ISBLANK(F64),"-",(F64/$D$51*$D$48*$B$70)*$D$59/$D$62)</f>
        <v>86.207361401272777</v>
      </c>
      <c r="H64" s="322">
        <f t="shared" si="0"/>
        <v>0.95785957112525311</v>
      </c>
      <c r="L64" s="250"/>
    </row>
    <row r="65" spans="1:11" ht="27" customHeight="1" x14ac:dyDescent="0.4">
      <c r="A65" s="259" t="s">
        <v>97</v>
      </c>
      <c r="B65" s="349">
        <v>1</v>
      </c>
      <c r="C65" s="406"/>
      <c r="D65" s="403"/>
      <c r="E65" s="314">
        <v>4</v>
      </c>
      <c r="F65" s="359"/>
      <c r="G65" s="325" t="str">
        <f>IF(ISBLANK(F65),"-",(F65/$D$51*$D$48*$B$70)*$D$59/$D$62)</f>
        <v>-</v>
      </c>
      <c r="H65" s="322" t="str">
        <f t="shared" si="0"/>
        <v>-</v>
      </c>
    </row>
    <row r="66" spans="1:11" ht="24.75" customHeight="1" x14ac:dyDescent="0.4">
      <c r="A66" s="259" t="s">
        <v>98</v>
      </c>
      <c r="B66" s="349">
        <v>1</v>
      </c>
      <c r="C66" s="404" t="s">
        <v>99</v>
      </c>
      <c r="D66" s="401">
        <v>7.77583</v>
      </c>
      <c r="E66" s="283">
        <v>1</v>
      </c>
      <c r="F66" s="351">
        <v>38481405</v>
      </c>
      <c r="G66" s="324">
        <f>IF(ISBLANK(F66),"-",(F66/$D$51*$D$48*$B$70)*$D$59/$D$66)</f>
        <v>85.744128469497412</v>
      </c>
      <c r="H66" s="321">
        <f t="shared" si="0"/>
        <v>0.95271253854997129</v>
      </c>
    </row>
    <row r="67" spans="1:11" ht="23.25" customHeight="1" x14ac:dyDescent="0.4">
      <c r="A67" s="259" t="s">
        <v>100</v>
      </c>
      <c r="B67" s="349">
        <v>1</v>
      </c>
      <c r="C67" s="405"/>
      <c r="D67" s="402"/>
      <c r="E67" s="284">
        <v>2</v>
      </c>
      <c r="F67" s="351">
        <v>38734282</v>
      </c>
      <c r="G67" s="325">
        <f>IF(ISBLANK(F67),"-",(F67/$D$51*$D$48*$B$70)*$D$59/$D$66)</f>
        <v>86.307588093047571</v>
      </c>
      <c r="H67" s="322">
        <f t="shared" si="0"/>
        <v>0.95897320103386186</v>
      </c>
    </row>
    <row r="68" spans="1:11" ht="24.75" customHeight="1" x14ac:dyDescent="0.4">
      <c r="A68" s="259" t="s">
        <v>101</v>
      </c>
      <c r="B68" s="349">
        <v>1</v>
      </c>
      <c r="C68" s="405"/>
      <c r="D68" s="402"/>
      <c r="E68" s="284">
        <v>3</v>
      </c>
      <c r="F68" s="351">
        <v>38563977</v>
      </c>
      <c r="G68" s="325">
        <f>IF(ISBLANK(F68),"-",(F68/$D$51*$D$48*$B$70)*$D$59/$D$66)</f>
        <v>85.928115103456932</v>
      </c>
      <c r="H68" s="322">
        <f t="shared" si="0"/>
        <v>0.95475683448285475</v>
      </c>
    </row>
    <row r="69" spans="1:11" ht="27" customHeight="1" x14ac:dyDescent="0.4">
      <c r="A69" s="259" t="s">
        <v>102</v>
      </c>
      <c r="B69" s="349">
        <v>1</v>
      </c>
      <c r="C69" s="406"/>
      <c r="D69" s="403"/>
      <c r="E69" s="285">
        <v>4</v>
      </c>
      <c r="F69" s="359"/>
      <c r="G69" s="326" t="str">
        <f>IF(ISBLANK(F69),"-",(F69/$D$51*$D$48*$B$70)*$D$59/$D$66)</f>
        <v>-</v>
      </c>
      <c r="H69" s="323" t="str">
        <f t="shared" si="0"/>
        <v>-</v>
      </c>
    </row>
    <row r="70" spans="1:11" ht="23.25" customHeight="1" x14ac:dyDescent="0.4">
      <c r="A70" s="259" t="s">
        <v>103</v>
      </c>
      <c r="B70" s="327">
        <f>(B69/B68)*(B67/B66)*(B65/B64)*(B63/B62)*B61</f>
        <v>100</v>
      </c>
      <c r="C70" s="404" t="s">
        <v>104</v>
      </c>
      <c r="D70" s="401">
        <v>7.5184899999999999</v>
      </c>
      <c r="E70" s="283">
        <v>1</v>
      </c>
      <c r="F70" s="358">
        <v>37862164</v>
      </c>
      <c r="G70" s="324">
        <f>IF(ISBLANK(F70),"-",(F70/$D$51*$D$48*$B$70)*$D$59/$D$70)</f>
        <v>87.251928185733931</v>
      </c>
      <c r="H70" s="322">
        <f t="shared" si="0"/>
        <v>0.96946586873037699</v>
      </c>
    </row>
    <row r="71" spans="1:11" ht="22.5" customHeight="1" x14ac:dyDescent="0.4">
      <c r="A71" s="338" t="s">
        <v>105</v>
      </c>
      <c r="B71" s="360">
        <f>(D48*B70)/D57*D59</f>
        <v>1.0041963404796834</v>
      </c>
      <c r="C71" s="405"/>
      <c r="D71" s="402"/>
      <c r="E71" s="284">
        <v>2</v>
      </c>
      <c r="F71" s="351">
        <v>37855662</v>
      </c>
      <c r="G71" s="325">
        <f>IF(ISBLANK(F71),"-",(F71/$D$51*$D$48*$B$70)*$D$59/$D$70)</f>
        <v>87.236944572090934</v>
      </c>
      <c r="H71" s="322">
        <f t="shared" si="0"/>
        <v>0.96929938413434369</v>
      </c>
    </row>
    <row r="72" spans="1:11" ht="23.25" customHeight="1" x14ac:dyDescent="0.4">
      <c r="A72" s="397" t="s">
        <v>74</v>
      </c>
      <c r="B72" s="398"/>
      <c r="C72" s="405"/>
      <c r="D72" s="402"/>
      <c r="E72" s="284">
        <v>3</v>
      </c>
      <c r="F72" s="351">
        <v>37859232</v>
      </c>
      <c r="G72" s="325">
        <f>IF(ISBLANK(F72),"-",(F72/$D$51*$D$48*$B$70)*$D$59/$D$70)</f>
        <v>87.245171502374774</v>
      </c>
      <c r="H72" s="322">
        <f t="shared" si="0"/>
        <v>0.96939079447083087</v>
      </c>
    </row>
    <row r="73" spans="1:11" ht="23.25" customHeight="1" x14ac:dyDescent="0.4">
      <c r="A73" s="399"/>
      <c r="B73" s="400"/>
      <c r="C73" s="407"/>
      <c r="D73" s="403"/>
      <c r="E73" s="285">
        <v>4</v>
      </c>
      <c r="F73" s="359"/>
      <c r="G73" s="326" t="str">
        <f>IF(ISBLANK(F73),"-",(F73/$D$51*$D$48*$B$70)*$D$59/$D$70)</f>
        <v>-</v>
      </c>
      <c r="H73" s="323" t="str">
        <f t="shared" si="0"/>
        <v>-</v>
      </c>
    </row>
    <row r="74" spans="1:11" ht="26.25" customHeight="1" x14ac:dyDescent="0.4">
      <c r="A74" s="286"/>
      <c r="B74" s="286"/>
      <c r="C74" s="286"/>
      <c r="D74" s="286"/>
      <c r="E74" s="286"/>
      <c r="F74" s="287"/>
      <c r="G74" s="277" t="s">
        <v>67</v>
      </c>
      <c r="H74" s="361">
        <f>AVERAGE(H62:H73)</f>
        <v>0.9606125273179994</v>
      </c>
    </row>
    <row r="75" spans="1:11" ht="26.25" customHeight="1" x14ac:dyDescent="0.4">
      <c r="C75" s="286"/>
      <c r="D75" s="286"/>
      <c r="E75" s="286"/>
      <c r="F75" s="287"/>
      <c r="G75" s="275" t="s">
        <v>80</v>
      </c>
      <c r="H75" s="362">
        <f>STDEV(H62:H73)/H74</f>
        <v>7.1054869624962965E-3</v>
      </c>
    </row>
    <row r="76" spans="1:11" ht="27" customHeight="1" x14ac:dyDescent="0.4">
      <c r="A76" s="286"/>
      <c r="B76" s="286"/>
      <c r="C76" s="287"/>
      <c r="D76" s="288"/>
      <c r="E76" s="288"/>
      <c r="F76" s="287"/>
      <c r="G76" s="276" t="s">
        <v>18</v>
      </c>
      <c r="H76" s="363">
        <f>COUNT(H62:H73)</f>
        <v>9</v>
      </c>
    </row>
    <row r="77" spans="1:11" ht="18.75" x14ac:dyDescent="0.3">
      <c r="A77" s="286"/>
      <c r="B77" s="286"/>
      <c r="C77" s="287"/>
      <c r="D77" s="288"/>
      <c r="E77" s="288"/>
      <c r="F77" s="288"/>
      <c r="G77" s="288"/>
      <c r="H77" s="287"/>
      <c r="I77" s="289"/>
      <c r="J77" s="293"/>
      <c r="K77" s="307"/>
    </row>
    <row r="78" spans="1:11" ht="26.25" customHeight="1" x14ac:dyDescent="0.4">
      <c r="A78" s="246" t="s">
        <v>106</v>
      </c>
      <c r="B78" s="365" t="s">
        <v>107</v>
      </c>
      <c r="C78" s="388" t="str">
        <f>B20</f>
        <v>Lumefantrine</v>
      </c>
      <c r="D78" s="388"/>
      <c r="E78" s="311" t="s">
        <v>108</v>
      </c>
      <c r="F78" s="311"/>
      <c r="G78" s="366">
        <f>H74</f>
        <v>0.9606125273179994</v>
      </c>
      <c r="H78" s="287"/>
      <c r="I78" s="289"/>
      <c r="J78" s="293"/>
      <c r="K78" s="307"/>
    </row>
    <row r="79" spans="1:11" ht="19.5" customHeight="1" x14ac:dyDescent="0.3">
      <c r="A79" s="297"/>
      <c r="B79" s="298"/>
      <c r="C79" s="299"/>
      <c r="D79" s="299"/>
      <c r="E79" s="298"/>
      <c r="F79" s="298"/>
      <c r="G79" s="298"/>
      <c r="H79" s="298"/>
    </row>
    <row r="80" spans="1:11" ht="18.75" x14ac:dyDescent="0.3">
      <c r="A80" s="241" t="s">
        <v>1</v>
      </c>
      <c r="B80" s="388" t="s">
        <v>109</v>
      </c>
      <c r="C80" s="388"/>
      <c r="D80" s="388"/>
      <c r="E80" s="388"/>
      <c r="F80" s="388"/>
      <c r="G80" s="388"/>
      <c r="H80" s="388"/>
    </row>
    <row r="81" spans="1:8" ht="26.25" customHeight="1" x14ac:dyDescent="0.4">
      <c r="A81" s="246" t="s">
        <v>3</v>
      </c>
      <c r="B81" s="387" t="s">
        <v>110</v>
      </c>
      <c r="C81" s="387"/>
    </row>
    <row r="82" spans="1:8" ht="26.25" customHeight="1" x14ac:dyDescent="0.4">
      <c r="A82" s="248" t="s">
        <v>45</v>
      </c>
      <c r="B82" s="410" t="s">
        <v>111</v>
      </c>
      <c r="C82" s="410"/>
    </row>
    <row r="83" spans="1:8" ht="27" customHeight="1" x14ac:dyDescent="0.4">
      <c r="A83" s="248" t="s">
        <v>5</v>
      </c>
      <c r="B83" s="344">
        <v>99.1</v>
      </c>
    </row>
    <row r="84" spans="1:8" ht="27" customHeight="1" x14ac:dyDescent="0.4">
      <c r="A84" s="248" t="s">
        <v>46</v>
      </c>
      <c r="B84" s="343">
        <v>0</v>
      </c>
      <c r="C84" s="389" t="s">
        <v>47</v>
      </c>
      <c r="D84" s="390"/>
      <c r="E84" s="390"/>
      <c r="F84" s="390"/>
      <c r="G84" s="390"/>
      <c r="H84" s="391"/>
    </row>
    <row r="85" spans="1:8" ht="19.5" customHeight="1" x14ac:dyDescent="0.3">
      <c r="A85" s="248" t="s">
        <v>48</v>
      </c>
      <c r="B85" s="247">
        <f>B83-B84</f>
        <v>99.1</v>
      </c>
      <c r="C85" s="251"/>
      <c r="D85" s="251"/>
      <c r="E85" s="251"/>
      <c r="F85" s="251"/>
      <c r="G85" s="251"/>
      <c r="H85" s="252"/>
    </row>
    <row r="86" spans="1:8" ht="27" customHeight="1" x14ac:dyDescent="0.4">
      <c r="A86" s="248" t="s">
        <v>49</v>
      </c>
      <c r="B86" s="364">
        <v>1</v>
      </c>
      <c r="C86" s="392" t="s">
        <v>50</v>
      </c>
      <c r="D86" s="393"/>
      <c r="E86" s="393"/>
      <c r="F86" s="393"/>
      <c r="G86" s="393"/>
      <c r="H86" s="394"/>
    </row>
    <row r="87" spans="1:8" ht="27" customHeight="1" x14ac:dyDescent="0.4">
      <c r="A87" s="248" t="s">
        <v>51</v>
      </c>
      <c r="B87" s="364">
        <v>1</v>
      </c>
      <c r="C87" s="392" t="s">
        <v>52</v>
      </c>
      <c r="D87" s="393"/>
      <c r="E87" s="393"/>
      <c r="F87" s="393"/>
      <c r="G87" s="393"/>
      <c r="H87" s="394"/>
    </row>
    <row r="88" spans="1:8" ht="18.75" x14ac:dyDescent="0.3">
      <c r="A88" s="248"/>
      <c r="B88" s="253"/>
      <c r="C88" s="256"/>
      <c r="D88" s="256"/>
      <c r="E88" s="256"/>
      <c r="F88" s="256"/>
      <c r="G88" s="256"/>
      <c r="H88" s="256"/>
    </row>
    <row r="89" spans="1:8" ht="18.75" x14ac:dyDescent="0.3">
      <c r="A89" s="248" t="s">
        <v>53</v>
      </c>
      <c r="B89" s="257">
        <f>B86/B87</f>
        <v>1</v>
      </c>
      <c r="C89" s="242" t="s">
        <v>54</v>
      </c>
    </row>
    <row r="90" spans="1:8" ht="19.5" customHeight="1" x14ac:dyDescent="0.3">
      <c r="A90" s="248"/>
      <c r="B90" s="247"/>
      <c r="C90" s="249"/>
      <c r="D90" s="249"/>
      <c r="E90" s="249"/>
      <c r="F90" s="249"/>
      <c r="G90" s="249"/>
    </row>
    <row r="91" spans="1:8" ht="27" customHeight="1" x14ac:dyDescent="0.4">
      <c r="A91" s="258" t="s">
        <v>55</v>
      </c>
      <c r="B91" s="348">
        <v>100</v>
      </c>
      <c r="D91" s="395" t="s">
        <v>56</v>
      </c>
      <c r="E91" s="411"/>
      <c r="F91" s="304" t="s">
        <v>57</v>
      </c>
      <c r="G91" s="305"/>
      <c r="H91" s="249"/>
    </row>
    <row r="92" spans="1:8" ht="26.25" customHeight="1" x14ac:dyDescent="0.4">
      <c r="A92" s="259" t="s">
        <v>58</v>
      </c>
      <c r="B92" s="349">
        <v>1</v>
      </c>
      <c r="C92" s="261" t="s">
        <v>59</v>
      </c>
      <c r="D92" s="262" t="s">
        <v>60</v>
      </c>
      <c r="E92" s="263" t="s">
        <v>61</v>
      </c>
      <c r="F92" s="262" t="s">
        <v>60</v>
      </c>
      <c r="G92" s="263" t="s">
        <v>61</v>
      </c>
      <c r="H92" s="249"/>
    </row>
    <row r="93" spans="1:8" ht="26.25" customHeight="1" x14ac:dyDescent="0.4">
      <c r="A93" s="259" t="s">
        <v>62</v>
      </c>
      <c r="B93" s="349">
        <v>1</v>
      </c>
      <c r="C93" s="264">
        <v>1</v>
      </c>
      <c r="D93" s="350">
        <v>5928560</v>
      </c>
      <c r="E93" s="300">
        <f>IF(ISBLANK(D93),"-",$D$103/$D$100*D93)</f>
        <v>5507389.2884057788</v>
      </c>
      <c r="F93" s="350">
        <v>5459589</v>
      </c>
      <c r="G93" s="300">
        <f>IF(ISBLANK(F93),"-",$D$103/$F$100*F93)</f>
        <v>5371526.1853943262</v>
      </c>
      <c r="H93" s="249"/>
    </row>
    <row r="94" spans="1:8" ht="26.25" customHeight="1" x14ac:dyDescent="0.4">
      <c r="A94" s="259" t="s">
        <v>63</v>
      </c>
      <c r="B94" s="349">
        <v>1</v>
      </c>
      <c r="C94" s="260">
        <v>2</v>
      </c>
      <c r="D94" s="351">
        <v>5940339</v>
      </c>
      <c r="E94" s="301">
        <f>IF(ISBLANK(D94),"-",$D$103/$D$100*D94)</f>
        <v>5518331.4967039376</v>
      </c>
      <c r="F94" s="351">
        <v>5498882</v>
      </c>
      <c r="G94" s="301">
        <f>IF(ISBLANK(F94),"-",$D$103/$F$100*F94)</f>
        <v>5410185.3918662239</v>
      </c>
      <c r="H94" s="249"/>
    </row>
    <row r="95" spans="1:8" ht="26.25" customHeight="1" x14ac:dyDescent="0.4">
      <c r="A95" s="259" t="s">
        <v>64</v>
      </c>
      <c r="B95" s="349">
        <v>1</v>
      </c>
      <c r="C95" s="260">
        <v>3</v>
      </c>
      <c r="D95" s="351">
        <v>5910834</v>
      </c>
      <c r="E95" s="301">
        <f>IF(ISBLANK(D95),"-",$D$103/$D$100*D95)</f>
        <v>5490922.5608148836</v>
      </c>
      <c r="F95" s="351">
        <v>5492123</v>
      </c>
      <c r="G95" s="301">
        <f>IF(ISBLANK(F95),"-",$D$103/$F$100*F95)</f>
        <v>5403535.4140955377</v>
      </c>
    </row>
    <row r="96" spans="1:8" ht="26.25" customHeight="1" x14ac:dyDescent="0.4">
      <c r="A96" s="259" t="s">
        <v>65</v>
      </c>
      <c r="B96" s="349">
        <v>1</v>
      </c>
      <c r="C96" s="266">
        <v>4</v>
      </c>
      <c r="D96" s="352"/>
      <c r="E96" s="302" t="str">
        <f>IF(ISBLANK(D96),"-",$D$103/$D$100*D96)</f>
        <v>-</v>
      </c>
      <c r="F96" s="352"/>
      <c r="G96" s="302" t="str">
        <f>IF(ISBLANK(F96),"-",$D$103/$F$100*F96)</f>
        <v>-</v>
      </c>
    </row>
    <row r="97" spans="1:7" ht="27" customHeight="1" x14ac:dyDescent="0.4">
      <c r="A97" s="259" t="s">
        <v>66</v>
      </c>
      <c r="B97" s="349">
        <v>1</v>
      </c>
      <c r="C97" s="267" t="s">
        <v>67</v>
      </c>
      <c r="D97" s="268">
        <f>AVERAGE(D93:D96)</f>
        <v>5926577.666666667</v>
      </c>
      <c r="E97" s="269">
        <f>AVERAGE(E93:E96)</f>
        <v>5505547.781974867</v>
      </c>
      <c r="F97" s="268">
        <f>AVERAGE(F93:F96)</f>
        <v>5483531.333333333</v>
      </c>
      <c r="G97" s="269">
        <f>AVERAGE(G93:G96)</f>
        <v>5395082.3304520296</v>
      </c>
    </row>
    <row r="98" spans="1:7" ht="26.25" customHeight="1" x14ac:dyDescent="0.4">
      <c r="A98" s="259" t="s">
        <v>68</v>
      </c>
      <c r="B98" s="344">
        <v>1</v>
      </c>
      <c r="C98" s="330" t="s">
        <v>69</v>
      </c>
      <c r="D98" s="354">
        <v>17.38</v>
      </c>
      <c r="E98" s="265"/>
      <c r="F98" s="353">
        <v>16.41</v>
      </c>
      <c r="G98" s="306"/>
    </row>
    <row r="99" spans="1:7" ht="26.25" customHeight="1" x14ac:dyDescent="0.4">
      <c r="A99" s="259" t="s">
        <v>70</v>
      </c>
      <c r="B99" s="344">
        <v>1</v>
      </c>
      <c r="C99" s="331" t="s">
        <v>71</v>
      </c>
      <c r="D99" s="332">
        <f>D98*$B$89</f>
        <v>17.38</v>
      </c>
      <c r="E99" s="271"/>
      <c r="F99" s="270">
        <f>F98*$B$89</f>
        <v>16.41</v>
      </c>
      <c r="G99" s="273"/>
    </row>
    <row r="100" spans="1:7" ht="19.5" customHeight="1" x14ac:dyDescent="0.3">
      <c r="A100" s="259" t="s">
        <v>72</v>
      </c>
      <c r="B100" s="328">
        <f>(B99/B98)*(B97/B96)*(B95/B94)*(B93/B92)*B91</f>
        <v>100</v>
      </c>
      <c r="C100" s="331" t="s">
        <v>73</v>
      </c>
      <c r="D100" s="333">
        <f>D99*$B$85/100</f>
        <v>17.223579999999998</v>
      </c>
      <c r="E100" s="273"/>
      <c r="F100" s="272">
        <f>F99*$B$85/100</f>
        <v>16.262309999999999</v>
      </c>
      <c r="G100" s="273"/>
    </row>
    <row r="101" spans="1:7" ht="19.5" customHeight="1" x14ac:dyDescent="0.3">
      <c r="A101" s="397" t="s">
        <v>74</v>
      </c>
      <c r="B101" s="408"/>
      <c r="C101" s="331" t="s">
        <v>75</v>
      </c>
      <c r="D101" s="332">
        <f>D100/$B$100</f>
        <v>0.17223579999999999</v>
      </c>
      <c r="E101" s="273"/>
      <c r="F101" s="274">
        <f>F100/$B$100</f>
        <v>0.16262309999999999</v>
      </c>
      <c r="G101" s="273"/>
    </row>
    <row r="102" spans="1:7" ht="27" customHeight="1" x14ac:dyDescent="0.4">
      <c r="A102" s="399"/>
      <c r="B102" s="409"/>
      <c r="C102" s="331" t="s">
        <v>76</v>
      </c>
      <c r="D102" s="355">
        <v>0.16</v>
      </c>
      <c r="E102" s="306"/>
      <c r="F102" s="306"/>
      <c r="G102" s="306"/>
    </row>
    <row r="103" spans="1:7" ht="18.75" x14ac:dyDescent="0.3">
      <c r="C103" s="331" t="s">
        <v>77</v>
      </c>
      <c r="D103" s="333">
        <f>D102*$B$100</f>
        <v>16</v>
      </c>
      <c r="E103" s="273"/>
      <c r="F103" s="273"/>
      <c r="G103" s="273"/>
    </row>
    <row r="104" spans="1:7" ht="19.5" customHeight="1" x14ac:dyDescent="0.3">
      <c r="C104" s="334" t="s">
        <v>78</v>
      </c>
      <c r="D104" s="335">
        <f>D103/B89</f>
        <v>16</v>
      </c>
      <c r="E104" s="292"/>
      <c r="F104" s="292"/>
      <c r="G104" s="292"/>
    </row>
    <row r="105" spans="1:7" ht="18.75" x14ac:dyDescent="0.3">
      <c r="C105" s="336" t="s">
        <v>79</v>
      </c>
      <c r="D105" s="337">
        <f>AVERAGE(E93:E96,G93:G96)</f>
        <v>5450315.0562134469</v>
      </c>
      <c r="E105" s="291"/>
      <c r="F105" s="291"/>
      <c r="G105" s="291"/>
    </row>
    <row r="106" spans="1:7" ht="18.75" x14ac:dyDescent="0.3">
      <c r="C106" s="275" t="s">
        <v>80</v>
      </c>
      <c r="D106" s="278">
        <f>STDEV(E93:E96,G93:G96)/D105</f>
        <v>1.1469526716473675E-2</v>
      </c>
      <c r="E106" s="271"/>
      <c r="F106" s="271"/>
      <c r="G106" s="271"/>
    </row>
    <row r="107" spans="1:7" ht="19.5" customHeight="1" x14ac:dyDescent="0.3">
      <c r="C107" s="276" t="s">
        <v>18</v>
      </c>
      <c r="D107" s="279">
        <f>COUNT(E93:E96,G93:G96)</f>
        <v>6</v>
      </c>
      <c r="E107" s="271"/>
      <c r="F107" s="271"/>
      <c r="G107" s="271"/>
    </row>
    <row r="109" spans="1:7" ht="18.75" x14ac:dyDescent="0.3">
      <c r="A109" s="241" t="s">
        <v>1</v>
      </c>
      <c r="B109" s="280" t="s">
        <v>81</v>
      </c>
    </row>
    <row r="110" spans="1:7" ht="18.75" x14ac:dyDescent="0.3">
      <c r="A110" s="242" t="s">
        <v>82</v>
      </c>
      <c r="B110" s="244" t="str">
        <f>B21</f>
        <v>Each 5ml reconstituted suspension contains: Artemether 15 mg and Lumefantrine 90 mg</v>
      </c>
    </row>
    <row r="111" spans="1:7" ht="26.25" customHeight="1" x14ac:dyDescent="0.4">
      <c r="A111" s="339" t="s">
        <v>83</v>
      </c>
      <c r="B111" s="356">
        <v>5</v>
      </c>
      <c r="C111" s="319" t="s">
        <v>84</v>
      </c>
      <c r="D111" s="357">
        <v>90</v>
      </c>
      <c r="E111" s="319" t="str">
        <f>B20</f>
        <v>Lumefantrine</v>
      </c>
    </row>
    <row r="112" spans="1:7" ht="18.75" x14ac:dyDescent="0.3">
      <c r="A112" s="244" t="s">
        <v>85</v>
      </c>
      <c r="B112" s="367">
        <f>RD!C39</f>
        <v>1.1297208830396439</v>
      </c>
    </row>
    <row r="113" spans="1:8" ht="18.75" x14ac:dyDescent="0.3">
      <c r="A113" s="317" t="s">
        <v>86</v>
      </c>
      <c r="B113" s="318">
        <f>B111</f>
        <v>5</v>
      </c>
      <c r="C113" s="319" t="s">
        <v>87</v>
      </c>
      <c r="D113" s="340">
        <f>B112*B111</f>
        <v>5.6486044151982195</v>
      </c>
      <c r="E113" s="320"/>
      <c r="F113" s="320"/>
      <c r="G113" s="320"/>
      <c r="H113" s="320"/>
    </row>
    <row r="114" spans="1:8" ht="19.5" customHeight="1" x14ac:dyDescent="0.25"/>
    <row r="115" spans="1:8" ht="27" customHeight="1" x14ac:dyDescent="0.4">
      <c r="A115" s="258" t="s">
        <v>88</v>
      </c>
      <c r="B115" s="348">
        <v>100</v>
      </c>
      <c r="D115" s="282" t="s">
        <v>89</v>
      </c>
      <c r="E115" s="281" t="s">
        <v>90</v>
      </c>
      <c r="F115" s="281" t="s">
        <v>60</v>
      </c>
      <c r="G115" s="281" t="s">
        <v>91</v>
      </c>
      <c r="H115" s="261" t="s">
        <v>92</v>
      </c>
    </row>
    <row r="116" spans="1:8" ht="26.25" customHeight="1" x14ac:dyDescent="0.4">
      <c r="A116" s="259" t="s">
        <v>93</v>
      </c>
      <c r="B116" s="349">
        <v>1</v>
      </c>
      <c r="C116" s="404" t="s">
        <v>94</v>
      </c>
      <c r="D116" s="401">
        <v>7.0027100000000004</v>
      </c>
      <c r="E116" s="312">
        <v>1</v>
      </c>
      <c r="F116" s="358">
        <v>36457578</v>
      </c>
      <c r="G116" s="324">
        <f>IF(ISBLANK(F116),"-",(F116/$D$105*$D$102*$B$124)*$D$113/$D$116)</f>
        <v>86.329894166821191</v>
      </c>
      <c r="H116" s="371">
        <f t="shared" ref="H116:H127" si="1">IF(ISBLANK(F116),"-",G116/$D$111)</f>
        <v>0.95922104629801319</v>
      </c>
    </row>
    <row r="117" spans="1:8" ht="26.25" customHeight="1" x14ac:dyDescent="0.4">
      <c r="A117" s="259" t="s">
        <v>95</v>
      </c>
      <c r="B117" s="349">
        <v>1</v>
      </c>
      <c r="C117" s="405"/>
      <c r="D117" s="402"/>
      <c r="E117" s="313">
        <v>2</v>
      </c>
      <c r="F117" s="351">
        <v>36157503</v>
      </c>
      <c r="G117" s="325">
        <f>IF(ISBLANK(F117),"-",(F117/$D$105*$D$102*$B$124)*$D$113/$D$116)</f>
        <v>85.61933015206111</v>
      </c>
      <c r="H117" s="372">
        <f t="shared" si="1"/>
        <v>0.95132589057845673</v>
      </c>
    </row>
    <row r="118" spans="1:8" ht="26.25" customHeight="1" x14ac:dyDescent="0.4">
      <c r="A118" s="259" t="s">
        <v>96</v>
      </c>
      <c r="B118" s="349">
        <v>1</v>
      </c>
      <c r="C118" s="405"/>
      <c r="D118" s="402"/>
      <c r="E118" s="313">
        <v>3</v>
      </c>
      <c r="F118" s="351">
        <v>36314797</v>
      </c>
      <c r="G118" s="325">
        <f>IF(ISBLANK(F118),"-",(F118/$D$105*$D$102*$B$124)*$D$113/$D$116)</f>
        <v>85.991795222918981</v>
      </c>
      <c r="H118" s="372">
        <f t="shared" si="1"/>
        <v>0.95546439136576644</v>
      </c>
    </row>
    <row r="119" spans="1:8" ht="27" customHeight="1" x14ac:dyDescent="0.4">
      <c r="A119" s="259" t="s">
        <v>97</v>
      </c>
      <c r="B119" s="349">
        <v>1</v>
      </c>
      <c r="C119" s="406"/>
      <c r="D119" s="403"/>
      <c r="E119" s="314">
        <v>4</v>
      </c>
      <c r="F119" s="359"/>
      <c r="G119" s="326" t="str">
        <f>IF(ISBLANK(F119),"-",(F119/$D$105*$D$102*$B$124)*$D$113/$D$116)</f>
        <v>-</v>
      </c>
      <c r="H119" s="373" t="str">
        <f t="shared" si="1"/>
        <v>-</v>
      </c>
    </row>
    <row r="120" spans="1:8" ht="26.25" customHeight="1" x14ac:dyDescent="0.4">
      <c r="A120" s="259" t="s">
        <v>98</v>
      </c>
      <c r="B120" s="349">
        <v>1</v>
      </c>
      <c r="C120" s="404" t="s">
        <v>99</v>
      </c>
      <c r="D120" s="401">
        <v>6.50366</v>
      </c>
      <c r="E120" s="283">
        <v>1</v>
      </c>
      <c r="F120" s="351">
        <v>33177923</v>
      </c>
      <c r="G120" s="324">
        <f>IF(ISBLANK(F120),"-",(F120/$D$105*$D$102*$B$124)*$D$113/$D$120)</f>
        <v>84.592313434800715</v>
      </c>
      <c r="H120" s="371">
        <f t="shared" si="1"/>
        <v>0.93991459372000796</v>
      </c>
    </row>
    <row r="121" spans="1:8" ht="26.25" customHeight="1" x14ac:dyDescent="0.4">
      <c r="A121" s="259" t="s">
        <v>100</v>
      </c>
      <c r="B121" s="349">
        <v>1</v>
      </c>
      <c r="C121" s="405"/>
      <c r="D121" s="402"/>
      <c r="E121" s="284">
        <v>2</v>
      </c>
      <c r="F121" s="351">
        <v>33421379</v>
      </c>
      <c r="G121" s="325">
        <f>IF(ISBLANK(F121),"-",(F121/$D$105*$D$102*$B$124)*$D$113/$D$120)</f>
        <v>85.213042654637135</v>
      </c>
      <c r="H121" s="372">
        <f t="shared" si="1"/>
        <v>0.94681158505152374</v>
      </c>
    </row>
    <row r="122" spans="1:8" ht="26.25" customHeight="1" x14ac:dyDescent="0.4">
      <c r="A122" s="259" t="s">
        <v>101</v>
      </c>
      <c r="B122" s="349">
        <v>1</v>
      </c>
      <c r="C122" s="405"/>
      <c r="D122" s="402"/>
      <c r="E122" s="284">
        <v>3</v>
      </c>
      <c r="F122" s="351">
        <v>32992111</v>
      </c>
      <c r="G122" s="325">
        <f>IF(ISBLANK(F122),"-",(F122/$D$105*$D$102*$B$124)*$D$113/$D$120)</f>
        <v>84.118556625372136</v>
      </c>
      <c r="H122" s="372">
        <f t="shared" si="1"/>
        <v>0.93465062917080155</v>
      </c>
    </row>
    <row r="123" spans="1:8" ht="27" customHeight="1" x14ac:dyDescent="0.4">
      <c r="A123" s="259" t="s">
        <v>102</v>
      </c>
      <c r="B123" s="349">
        <v>1</v>
      </c>
      <c r="C123" s="406"/>
      <c r="D123" s="403"/>
      <c r="E123" s="285">
        <v>4</v>
      </c>
      <c r="F123" s="359"/>
      <c r="G123" s="326" t="str">
        <f>IF(ISBLANK(F123),"-",(F123/$D$105*$D$102*$B$124)*$D$113/$D$120)</f>
        <v>-</v>
      </c>
      <c r="H123" s="373" t="str">
        <f t="shared" si="1"/>
        <v>-</v>
      </c>
    </row>
    <row r="124" spans="1:8" ht="26.25" customHeight="1" x14ac:dyDescent="0.4">
      <c r="A124" s="259" t="s">
        <v>103</v>
      </c>
      <c r="B124" s="327">
        <f>(B123/B122)*(B121/B120)*(B119/B118)*(B117/B116)*B115</f>
        <v>100</v>
      </c>
      <c r="C124" s="404" t="s">
        <v>104</v>
      </c>
      <c r="D124" s="401">
        <v>7.3364099999999999</v>
      </c>
      <c r="E124" s="283">
        <v>1</v>
      </c>
      <c r="F124" s="358">
        <v>36898387</v>
      </c>
      <c r="G124" s="324">
        <f>IF(ISBLANK(F124),"-",(F124/$D$105*$D$102*$B$124)*$D$113/$D$124)</f>
        <v>83.399476339106982</v>
      </c>
      <c r="H124" s="371">
        <f t="shared" si="1"/>
        <v>0.92666084821229977</v>
      </c>
    </row>
    <row r="125" spans="1:8" ht="27" customHeight="1" x14ac:dyDescent="0.4">
      <c r="A125" s="338" t="s">
        <v>105</v>
      </c>
      <c r="B125" s="360">
        <f>(D102*B124)/D111*D113</f>
        <v>1.0041963404796834</v>
      </c>
      <c r="C125" s="405"/>
      <c r="D125" s="402"/>
      <c r="E125" s="284">
        <v>2</v>
      </c>
      <c r="F125" s="351">
        <v>37008202</v>
      </c>
      <c r="G125" s="325">
        <f>IF(ISBLANK(F125),"-",(F125/$D$105*$D$102*$B$124)*$D$113/$D$124)</f>
        <v>83.647685386678049</v>
      </c>
      <c r="H125" s="372">
        <f t="shared" si="1"/>
        <v>0.92941872651864499</v>
      </c>
    </row>
    <row r="126" spans="1:8" ht="26.25" customHeight="1" x14ac:dyDescent="0.4">
      <c r="A126" s="397" t="s">
        <v>74</v>
      </c>
      <c r="B126" s="398"/>
      <c r="C126" s="405"/>
      <c r="D126" s="402"/>
      <c r="E126" s="284">
        <v>3</v>
      </c>
      <c r="F126" s="351">
        <v>36923787</v>
      </c>
      <c r="G126" s="325">
        <f>IF(ISBLANK(F126),"-",(F126/$D$105*$D$102*$B$124)*$D$113/$D$124)</f>
        <v>83.45688661828838</v>
      </c>
      <c r="H126" s="372">
        <f t="shared" si="1"/>
        <v>0.92729874020320424</v>
      </c>
    </row>
    <row r="127" spans="1:8" ht="27" customHeight="1" x14ac:dyDescent="0.4">
      <c r="A127" s="399"/>
      <c r="B127" s="400"/>
      <c r="C127" s="407"/>
      <c r="D127" s="403"/>
      <c r="E127" s="285">
        <v>4</v>
      </c>
      <c r="F127" s="359"/>
      <c r="G127" s="326" t="str">
        <f>IF(ISBLANK(F127),"-",(F127/$D$105*$D$102*$B$124)*$D$113/$D$124)</f>
        <v>-</v>
      </c>
      <c r="H127" s="373" t="str">
        <f t="shared" si="1"/>
        <v>-</v>
      </c>
    </row>
    <row r="128" spans="1:8" ht="26.25" customHeight="1" x14ac:dyDescent="0.4">
      <c r="A128" s="286"/>
      <c r="B128" s="286"/>
      <c r="C128" s="286"/>
      <c r="D128" s="286"/>
      <c r="E128" s="286"/>
      <c r="F128" s="287"/>
      <c r="G128" s="277" t="s">
        <v>67</v>
      </c>
      <c r="H128" s="361">
        <f>AVERAGE(H116:H127)</f>
        <v>0.94119627234652425</v>
      </c>
    </row>
    <row r="129" spans="1:9" ht="26.25" customHeight="1" x14ac:dyDescent="0.4">
      <c r="C129" s="286"/>
      <c r="D129" s="286"/>
      <c r="E129" s="286"/>
      <c r="F129" s="287"/>
      <c r="G129" s="275" t="s">
        <v>80</v>
      </c>
      <c r="H129" s="362">
        <f>STDEV(H116:H127)/H128</f>
        <v>1.3282199187678988E-2</v>
      </c>
    </row>
    <row r="130" spans="1:9" ht="27" customHeight="1" x14ac:dyDescent="0.4">
      <c r="A130" s="286"/>
      <c r="B130" s="286"/>
      <c r="C130" s="287"/>
      <c r="D130" s="288"/>
      <c r="E130" s="288"/>
      <c r="F130" s="287"/>
      <c r="G130" s="276" t="s">
        <v>18</v>
      </c>
      <c r="H130" s="363">
        <f>COUNT(H116:H127)</f>
        <v>9</v>
      </c>
    </row>
    <row r="131" spans="1:9" ht="18.75" x14ac:dyDescent="0.3">
      <c r="A131" s="286"/>
      <c r="B131" s="286"/>
      <c r="C131" s="287"/>
      <c r="D131" s="288"/>
      <c r="E131" s="288"/>
      <c r="F131" s="288"/>
      <c r="G131" s="288"/>
      <c r="H131" s="287"/>
    </row>
    <row r="132" spans="1:9" ht="26.25" customHeight="1" x14ac:dyDescent="0.4">
      <c r="A132" s="246" t="s">
        <v>106</v>
      </c>
      <c r="B132" s="365" t="s">
        <v>107</v>
      </c>
      <c r="C132" s="388" t="str">
        <f>B20</f>
        <v>Lumefantrine</v>
      </c>
      <c r="D132" s="388"/>
      <c r="E132" s="311" t="s">
        <v>108</v>
      </c>
      <c r="F132" s="311"/>
      <c r="G132" s="366">
        <f>H128</f>
        <v>0.94119627234652425</v>
      </c>
      <c r="H132" s="287"/>
    </row>
    <row r="133" spans="1:9" ht="19.5" customHeight="1" x14ac:dyDescent="0.3">
      <c r="A133" s="369"/>
      <c r="B133" s="298"/>
      <c r="C133" s="299"/>
      <c r="D133" s="299"/>
      <c r="E133" s="298"/>
      <c r="F133" s="298"/>
      <c r="G133" s="298"/>
      <c r="H133" s="298"/>
    </row>
    <row r="134" spans="1:9" ht="83.1" customHeight="1" x14ac:dyDescent="0.3">
      <c r="A134" s="293" t="s">
        <v>26</v>
      </c>
      <c r="B134" s="341" t="s">
        <v>114</v>
      </c>
      <c r="C134" s="341"/>
      <c r="D134" s="286"/>
      <c r="E134" s="295"/>
      <c r="F134" s="289"/>
      <c r="G134" s="315"/>
      <c r="H134" s="315"/>
      <c r="I134" s="289"/>
    </row>
    <row r="135" spans="1:9" ht="83.1" customHeight="1" x14ac:dyDescent="0.3">
      <c r="A135" s="293" t="s">
        <v>27</v>
      </c>
      <c r="B135" s="342"/>
      <c r="C135" s="342"/>
      <c r="D135" s="303"/>
      <c r="E135" s="296"/>
      <c r="F135" s="289"/>
      <c r="G135" s="316"/>
      <c r="H135" s="316"/>
      <c r="I135" s="311"/>
    </row>
    <row r="136" spans="1:9" ht="18.75" x14ac:dyDescent="0.3">
      <c r="A136" s="286"/>
      <c r="B136" s="287"/>
      <c r="C136" s="288"/>
      <c r="D136" s="288"/>
      <c r="E136" s="288"/>
      <c r="F136" s="288"/>
      <c r="G136" s="287"/>
      <c r="H136" s="287"/>
      <c r="I136" s="289"/>
    </row>
    <row r="137" spans="1:9" ht="18.75" x14ac:dyDescent="0.3">
      <c r="A137" s="286"/>
      <c r="B137" s="286"/>
      <c r="C137" s="287"/>
      <c r="D137" s="288"/>
      <c r="E137" s="288"/>
      <c r="F137" s="288"/>
      <c r="G137" s="288"/>
      <c r="H137" s="287"/>
      <c r="I137" s="289"/>
    </row>
    <row r="138" spans="1:9" ht="27" customHeight="1" x14ac:dyDescent="0.3">
      <c r="A138" s="286"/>
      <c r="B138" s="286"/>
      <c r="C138" s="287"/>
      <c r="D138" s="288"/>
      <c r="E138" s="288"/>
      <c r="F138" s="288"/>
      <c r="G138" s="288"/>
      <c r="H138" s="287"/>
      <c r="I138" s="289"/>
    </row>
    <row r="139" spans="1:9" ht="18.75" x14ac:dyDescent="0.3">
      <c r="A139" s="286"/>
      <c r="B139" s="286"/>
      <c r="C139" s="287"/>
      <c r="D139" s="288"/>
      <c r="E139" s="288"/>
      <c r="F139" s="288"/>
      <c r="G139" s="288"/>
      <c r="H139" s="287"/>
      <c r="I139" s="289"/>
    </row>
    <row r="140" spans="1:9" ht="27" customHeight="1" x14ac:dyDescent="0.3">
      <c r="A140" s="286"/>
      <c r="B140" s="286"/>
      <c r="C140" s="287"/>
      <c r="D140" s="288"/>
      <c r="E140" s="288"/>
      <c r="F140" s="288"/>
      <c r="G140" s="288"/>
      <c r="H140" s="287"/>
      <c r="I140" s="289"/>
    </row>
    <row r="141" spans="1:9" ht="27" customHeight="1" x14ac:dyDescent="0.3">
      <c r="A141" s="286"/>
      <c r="B141" s="286"/>
      <c r="C141" s="287"/>
      <c r="D141" s="288"/>
      <c r="E141" s="288"/>
      <c r="F141" s="288"/>
      <c r="G141" s="288"/>
      <c r="H141" s="287"/>
      <c r="I141" s="289"/>
    </row>
    <row r="142" spans="1:9" ht="18.75" x14ac:dyDescent="0.3">
      <c r="A142" s="286"/>
      <c r="B142" s="286"/>
      <c r="C142" s="287"/>
      <c r="D142" s="288"/>
      <c r="E142" s="288"/>
      <c r="F142" s="288"/>
      <c r="G142" s="288"/>
      <c r="H142" s="287"/>
      <c r="I142" s="289"/>
    </row>
    <row r="143" spans="1:9" ht="18.75" x14ac:dyDescent="0.3">
      <c r="A143" s="286"/>
      <c r="B143" s="286"/>
      <c r="C143" s="287"/>
      <c r="D143" s="288"/>
      <c r="E143" s="288"/>
      <c r="F143" s="288"/>
      <c r="G143" s="288"/>
      <c r="H143" s="287"/>
      <c r="I143" s="289"/>
    </row>
    <row r="144" spans="1:9" ht="18.75" x14ac:dyDescent="0.3">
      <c r="A144" s="286"/>
      <c r="B144" s="286"/>
      <c r="C144" s="287"/>
      <c r="D144" s="288"/>
      <c r="E144" s="288"/>
      <c r="F144" s="288"/>
      <c r="G144" s="288"/>
      <c r="H144" s="287"/>
      <c r="I144" s="289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Artemether</vt:lpstr>
      <vt:lpstr>SST Lumefantrine</vt:lpstr>
      <vt:lpstr>RD</vt:lpstr>
      <vt:lpstr>Artemether </vt:lpstr>
      <vt:lpstr>Lumefantrine</vt:lpstr>
      <vt:lpstr>'Artemether '!Print_Area</vt:lpstr>
      <vt:lpstr>Lumefantrine!Print_Area</vt:lpstr>
      <vt:lpstr>RD!Print_Area</vt:lpstr>
      <vt:lpstr>'SST Artemether'!Print_Area</vt:lpstr>
      <vt:lpstr>'SST Lumefantrine'!Print_Area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2018-05-09T09:13:20Z</cp:lastPrinted>
  <dcterms:created xsi:type="dcterms:W3CDTF">2005-07-05T10:19:27Z</dcterms:created>
  <dcterms:modified xsi:type="dcterms:W3CDTF">2018-05-09T09:13:26Z</dcterms:modified>
</cp:coreProperties>
</file>