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LUMEFANTRINE" sheetId="8" r:id="rId1"/>
    <sheet name="ARTEMETHER SST" sheetId="1" r:id="rId2"/>
    <sheet name="Uniformity" sheetId="2" r:id="rId3"/>
    <sheet name="ARTEMETHER 1" sheetId="5" r:id="rId4"/>
    <sheet name="Sheet1" sheetId="7" r:id="rId5"/>
    <sheet name="LUMEFANTRINE SST" sheetId="9" r:id="rId6"/>
  </sheets>
  <calcPr calcId="145621"/>
  <fileRecoveryPr repairLoad="1"/>
</workbook>
</file>

<file path=xl/calcChain.xml><?xml version="1.0" encoding="utf-8"?>
<calcChain xmlns="http://schemas.openxmlformats.org/spreadsheetml/2006/main">
  <c r="B57" i="5" l="1"/>
  <c r="B57" i="8"/>
  <c r="B21" i="9"/>
  <c r="B53" i="9"/>
  <c r="E51" i="9"/>
  <c r="D51" i="9"/>
  <c r="C51" i="9"/>
  <c r="B51" i="9"/>
  <c r="B52" i="9" s="1"/>
  <c r="B32" i="9"/>
  <c r="E30" i="9"/>
  <c r="D30" i="9"/>
  <c r="C30" i="9"/>
  <c r="B30" i="9"/>
  <c r="B31" i="9" s="1"/>
  <c r="B21" i="1"/>
  <c r="D68" i="8" l="1"/>
  <c r="D64" i="8"/>
  <c r="D60" i="8"/>
  <c r="B56" i="8"/>
  <c r="C124" i="8"/>
  <c r="B116" i="8"/>
  <c r="B98" i="8"/>
  <c r="F95" i="8"/>
  <c r="D95" i="8"/>
  <c r="B87" i="8"/>
  <c r="D97" i="8" s="1"/>
  <c r="B83" i="8"/>
  <c r="C76" i="8"/>
  <c r="H71" i="8"/>
  <c r="G71" i="8"/>
  <c r="B68" i="8"/>
  <c r="H67" i="8"/>
  <c r="G67" i="8"/>
  <c r="H63" i="8"/>
  <c r="G63" i="8"/>
  <c r="C56" i="8"/>
  <c r="D100" i="8"/>
  <c r="B55" i="8"/>
  <c r="B45" i="8"/>
  <c r="D48" i="8" s="1"/>
  <c r="F44" i="8"/>
  <c r="F42" i="8"/>
  <c r="D42" i="8"/>
  <c r="G41" i="8"/>
  <c r="E41" i="8"/>
  <c r="B34" i="8"/>
  <c r="D44" i="8" s="1"/>
  <c r="B30" i="8"/>
  <c r="I92" i="8" l="1"/>
  <c r="D101" i="8"/>
  <c r="G94" i="8" s="1"/>
  <c r="F97" i="8"/>
  <c r="F98" i="8" s="1"/>
  <c r="F99" i="8" s="1"/>
  <c r="I39" i="8"/>
  <c r="D98" i="8"/>
  <c r="D99" i="8" s="1"/>
  <c r="D45" i="8"/>
  <c r="D46" i="8" s="1"/>
  <c r="F45" i="8"/>
  <c r="F46" i="8" s="1"/>
  <c r="D49" i="8"/>
  <c r="E38" i="8"/>
  <c r="G39" i="8"/>
  <c r="B69" i="8"/>
  <c r="B56" i="5"/>
  <c r="D8" i="7"/>
  <c r="D4" i="7"/>
  <c r="D5" i="7"/>
  <c r="D3" i="7"/>
  <c r="D102" i="8" l="1"/>
  <c r="G91" i="8"/>
  <c r="E93" i="8"/>
  <c r="E92" i="8"/>
  <c r="G92" i="8"/>
  <c r="G93" i="8"/>
  <c r="E91" i="8"/>
  <c r="E95" i="8" s="1"/>
  <c r="E94" i="8"/>
  <c r="G38" i="8"/>
  <c r="G42" i="8" s="1"/>
  <c r="E39" i="8"/>
  <c r="E40" i="8"/>
  <c r="G40" i="8"/>
  <c r="C124" i="5"/>
  <c r="B116" i="5"/>
  <c r="D100" i="5"/>
  <c r="B98" i="5"/>
  <c r="F95" i="5"/>
  <c r="D95" i="5"/>
  <c r="I92" i="5"/>
  <c r="B87" i="5"/>
  <c r="F97" i="5" s="1"/>
  <c r="B83" i="5"/>
  <c r="C76" i="5"/>
  <c r="B68" i="5"/>
  <c r="C56" i="5"/>
  <c r="B55" i="5"/>
  <c r="B45" i="5"/>
  <c r="D48" i="5" s="1"/>
  <c r="F42" i="5"/>
  <c r="D42" i="5"/>
  <c r="B34" i="5"/>
  <c r="D44" i="5" s="1"/>
  <c r="B30" i="5"/>
  <c r="C43" i="2"/>
  <c r="B43" i="2"/>
  <c r="C42" i="2"/>
  <c r="B42" i="2"/>
  <c r="D23" i="2"/>
  <c r="D22" i="2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95" i="8" l="1"/>
  <c r="D103" i="8"/>
  <c r="D104" i="8" s="1"/>
  <c r="D105" i="8"/>
  <c r="D101" i="5"/>
  <c r="D97" i="5"/>
  <c r="D98" i="5" s="1"/>
  <c r="E42" i="8"/>
  <c r="D52" i="8"/>
  <c r="D50" i="8"/>
  <c r="G69" i="8" s="1"/>
  <c r="H69" i="8" s="1"/>
  <c r="G65" i="8"/>
  <c r="H65" i="8" s="1"/>
  <c r="D42" i="2"/>
  <c r="D43" i="2"/>
  <c r="E22" i="2" s="1"/>
  <c r="I39" i="5"/>
  <c r="F98" i="5"/>
  <c r="F99" i="5" s="1"/>
  <c r="D45" i="5"/>
  <c r="D46" i="5" s="1"/>
  <c r="D49" i="5"/>
  <c r="E41" i="5"/>
  <c r="D102" i="5"/>
  <c r="G92" i="5"/>
  <c r="F44" i="5"/>
  <c r="F45" i="5" s="1"/>
  <c r="F46" i="5" s="1"/>
  <c r="B47" i="2" l="1"/>
  <c r="D47" i="2"/>
  <c r="E109" i="8"/>
  <c r="F109" i="8" s="1"/>
  <c r="E113" i="8"/>
  <c r="F113" i="8" s="1"/>
  <c r="E108" i="8"/>
  <c r="F108" i="8" s="1"/>
  <c r="E112" i="8"/>
  <c r="F112" i="8" s="1"/>
  <c r="E110" i="8"/>
  <c r="F110" i="8" s="1"/>
  <c r="E111" i="8"/>
  <c r="F111" i="8" s="1"/>
  <c r="D99" i="5"/>
  <c r="E91" i="5"/>
  <c r="E92" i="5"/>
  <c r="E95" i="5" s="1"/>
  <c r="E94" i="5"/>
  <c r="E93" i="5"/>
  <c r="G91" i="5"/>
  <c r="G94" i="5"/>
  <c r="G95" i="5" s="1"/>
  <c r="G93" i="5"/>
  <c r="G64" i="8"/>
  <c r="H64" i="8" s="1"/>
  <c r="D51" i="8"/>
  <c r="G68" i="8"/>
  <c r="H68" i="8" s="1"/>
  <c r="G66" i="8"/>
  <c r="H66" i="8" s="1"/>
  <c r="G70" i="8"/>
  <c r="H70" i="8" s="1"/>
  <c r="G62" i="8"/>
  <c r="H62" i="8" s="1"/>
  <c r="G61" i="8"/>
  <c r="H61" i="8" s="1"/>
  <c r="G60" i="8"/>
  <c r="H60" i="8" s="1"/>
  <c r="D48" i="2"/>
  <c r="B69" i="5"/>
  <c r="E21" i="2"/>
  <c r="E23" i="2"/>
  <c r="C48" i="2"/>
  <c r="C47" i="2"/>
  <c r="E38" i="5"/>
  <c r="E40" i="5"/>
  <c r="E39" i="5"/>
  <c r="G39" i="5"/>
  <c r="G40" i="5"/>
  <c r="G41" i="5"/>
  <c r="G38" i="5"/>
  <c r="E120" i="8" l="1"/>
  <c r="E119" i="8"/>
  <c r="E115" i="8"/>
  <c r="E116" i="8" s="1"/>
  <c r="E117" i="8"/>
  <c r="D103" i="5"/>
  <c r="E113" i="5" s="1"/>
  <c r="F113" i="5" s="1"/>
  <c r="D105" i="5"/>
  <c r="G72" i="8"/>
  <c r="G73" i="8" s="1"/>
  <c r="G74" i="8"/>
  <c r="F125" i="8"/>
  <c r="F119" i="8"/>
  <c r="D125" i="8"/>
  <c r="F115" i="8"/>
  <c r="F120" i="8"/>
  <c r="F117" i="8"/>
  <c r="H74" i="8"/>
  <c r="H72" i="8"/>
  <c r="E42" i="5"/>
  <c r="D50" i="5"/>
  <c r="G71" i="5" s="1"/>
  <c r="H71" i="5" s="1"/>
  <c r="D52" i="5"/>
  <c r="G42" i="5"/>
  <c r="E112" i="5"/>
  <c r="F112" i="5" s="1"/>
  <c r="E110" i="5"/>
  <c r="F110" i="5" s="1"/>
  <c r="E108" i="5"/>
  <c r="D104" i="5" l="1"/>
  <c r="E109" i="5"/>
  <c r="F109" i="5" s="1"/>
  <c r="E111" i="5"/>
  <c r="F111" i="5" s="1"/>
  <c r="G76" i="8"/>
  <c r="H73" i="8"/>
  <c r="F116" i="8"/>
  <c r="G124" i="8"/>
  <c r="D51" i="5"/>
  <c r="G66" i="5"/>
  <c r="H66" i="5" s="1"/>
  <c r="G61" i="5"/>
  <c r="H61" i="5" s="1"/>
  <c r="G70" i="5"/>
  <c r="H70" i="5" s="1"/>
  <c r="G69" i="5"/>
  <c r="H69" i="5" s="1"/>
  <c r="G63" i="5"/>
  <c r="H63" i="5" s="1"/>
  <c r="G60" i="5"/>
  <c r="G68" i="5"/>
  <c r="H68" i="5" s="1"/>
  <c r="G65" i="5"/>
  <c r="H65" i="5" s="1"/>
  <c r="G64" i="5"/>
  <c r="H64" i="5" s="1"/>
  <c r="G67" i="5"/>
  <c r="H67" i="5" s="1"/>
  <c r="G62" i="5"/>
  <c r="H62" i="5" s="1"/>
  <c r="E117" i="5"/>
  <c r="F108" i="5"/>
  <c r="E120" i="5" l="1"/>
  <c r="E119" i="5"/>
  <c r="E115" i="5"/>
  <c r="E116" i="5" s="1"/>
  <c r="G72" i="5"/>
  <c r="G73" i="5" s="1"/>
  <c r="H60" i="5"/>
  <c r="H72" i="5" s="1"/>
  <c r="G74" i="5"/>
  <c r="F119" i="5"/>
  <c r="F125" i="5"/>
  <c r="F120" i="5"/>
  <c r="F117" i="5"/>
  <c r="D125" i="5"/>
  <c r="F115" i="5"/>
  <c r="H74" i="5" l="1"/>
  <c r="G76" i="5"/>
  <c r="H73" i="5"/>
  <c r="G124" i="5"/>
  <c r="F116" i="5"/>
</calcChain>
</file>

<file path=xl/sharedStrings.xml><?xml version="1.0" encoding="utf-8"?>
<sst xmlns="http://schemas.openxmlformats.org/spreadsheetml/2006/main" count="454" uniqueCount="139">
  <si>
    <t>HPLC System Suitability Report</t>
  </si>
  <si>
    <t>Analysis Data</t>
  </si>
  <si>
    <t>Assay</t>
  </si>
  <si>
    <t>Sample(s)</t>
  </si>
  <si>
    <t>Reference Substance:</t>
  </si>
  <si>
    <t>COMBIART SUSPENSION</t>
  </si>
  <si>
    <t>% age Purity:</t>
  </si>
  <si>
    <t>NDQD201804394r1</t>
  </si>
  <si>
    <t>Weight (mg):</t>
  </si>
  <si>
    <t>Artemether &amp; Lumefantrine</t>
  </si>
  <si>
    <t>Standard Conc (mg/mL):</t>
  </si>
  <si>
    <t>Each 5ml reconstituted suspension contains: Artemether 15 mg and Lumefantrine 90 mg</t>
  </si>
  <si>
    <t>2018-04-25 08:46:15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</si>
  <si>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</si>
  <si>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</si>
  <si>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</si>
  <si>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</si>
  <si>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</si>
  <si>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</si>
  <si>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</si>
  <si>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</si>
  <si>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</si>
  <si>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</si>
  <si>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</si>
  <si>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</si>
  <si>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</si>
  <si>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</si>
  <si>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</si>
  <si>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</si>
  <si>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</si>
  <si>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</si>
  <si>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</si>
  <si>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</si>
  <si>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</si>
  <si>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</si>
  <si>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</si>
  <si>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</si>
  <si>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</si>
  <si>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</si>
  <si>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2018-08-07 16:02:33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</si>
  <si>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</si>
  <si>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</si>
  <si>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</si>
  <si>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</si>
  <si>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</si>
  <si>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</si>
  <si>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</si>
  <si>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</si>
  <si>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</si>
  <si>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</si>
  <si>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</si>
  <si>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</si>
  <si>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</si>
  <si>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</si>
  <si>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</si>
  <si>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</si>
  <si>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</si>
  <si>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</si>
  <si>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</si>
  <si>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</si>
  <si>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</si>
  <si>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</si>
  <si>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</si>
  <si>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</si>
  <si>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</si>
  <si>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</si>
  <si>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</si>
  <si>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</si>
  <si>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</si>
  <si>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</si>
  <si>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</si>
  <si>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</si>
  <si>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</si>
  <si>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</si>
  <si>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</si>
  <si>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</si>
  <si>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</si>
  <si>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</si>
  <si>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</si>
  <si>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</si>
  <si>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</si>
  <si>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</si>
  <si>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</si>
  <si>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</si>
  <si>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</si>
  <si>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</si>
  <si>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</si>
  <si>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</si>
  <si>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</si>
  <si>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</si>
  <si>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</si>
  <si>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</si>
  <si>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</si>
  <si>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</si>
  <si>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</si>
  <si>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</si>
  <si>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</si>
  <si>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</si>
  <si>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</si>
  <si>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</si>
  <si>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</si>
  <si>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</si>
  <si>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</si>
  <si>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</si>
  <si>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</si>
  <si>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</si>
  <si>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Initial Standard dilution volume (mL):</t>
  </si>
  <si>
    <t xml:space="preserve">Std Response Deviation </t>
  </si>
  <si>
    <t>Initial Sample dilution Volume (mL):</t>
  </si>
  <si>
    <t>Powder Weight (mg)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</si>
  <si>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</si>
  <si>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</si>
  <si>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</si>
  <si>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</si>
  <si>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</si>
  <si>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</si>
  <si>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</si>
  <si>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</si>
  <si>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</si>
  <si>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</si>
  <si>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</si>
  <si>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</si>
  <si>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</si>
  <si>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</si>
  <si>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</si>
  <si>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</si>
  <si>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</si>
  <si>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</si>
  <si>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</si>
  <si>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</si>
  <si>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</si>
  <si>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</si>
  <si>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</si>
  <si>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Artemether</t>
  </si>
  <si>
    <t>A15-12</t>
  </si>
  <si>
    <t>Lumefantrine</t>
  </si>
  <si>
    <t>L1-11</t>
  </si>
  <si>
    <t>Each bottle contains</t>
  </si>
  <si>
    <t>Average bottle Content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</si>
</sst>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9" fillId="2" borderId="0" xfId="0" applyFont="1" applyFill="1" applyAlignment="1" applyProtection="1">
      <alignment horizontal="left"/>
      <protection locked="0"/>
    </xf>
    <xf numFmtId="0" fontId="18" fillId="2" borderId="0" xfId="0" applyFont="1" applyFill="1"/>
    <xf numFmtId="0" fontId="18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9" fillId="3" borderId="0" xfId="0" applyFont="1" applyFill="1" applyAlignment="1" applyProtection="1">
      <alignment horizontal="center"/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9" fillId="3" borderId="36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0" fontId="19" fillId="3" borderId="35" xfId="0" applyFont="1" applyFill="1" applyBorder="1" applyAlignment="1" applyProtection="1">
      <alignment horizontal="center"/>
      <protection locked="0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9" fillId="3" borderId="52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0" fontId="16" fillId="2" borderId="31" xfId="0" applyFont="1" applyFill="1" applyBorder="1"/>
    <xf numFmtId="0" fontId="11" fillId="2" borderId="35" xfId="0" applyFont="1" applyFill="1" applyBorder="1" applyAlignment="1">
      <alignment horizontal="center"/>
    </xf>
    <xf numFmtId="0" fontId="19" fillId="3" borderId="34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9" fillId="3" borderId="53" xfId="0" applyFont="1" applyFill="1" applyBorder="1" applyAlignment="1" applyProtection="1">
      <alignment horizontal="center"/>
      <protection locked="0"/>
    </xf>
    <xf numFmtId="171" fontId="11" fillId="2" borderId="47" xfId="0" applyNumberFormat="1" applyFont="1" applyFill="1" applyBorder="1" applyAlignment="1">
      <alignment horizontal="center"/>
    </xf>
    <xf numFmtId="171" fontId="11" fillId="2" borderId="45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5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2" xfId="0" applyNumberFormat="1" applyFont="1" applyFill="1" applyBorder="1" applyAlignment="1">
      <alignment horizontal="center"/>
    </xf>
    <xf numFmtId="171" fontId="12" fillId="6" borderId="4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9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5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166" fontId="19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5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9" fillId="3" borderId="33" xfId="0" applyFont="1" applyFill="1" applyBorder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1" fontId="19" fillId="3" borderId="34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9" fillId="3" borderId="48" xfId="0" applyFont="1" applyFill="1" applyBorder="1" applyAlignment="1" applyProtection="1">
      <alignment horizontal="center"/>
      <protection locked="0"/>
    </xf>
    <xf numFmtId="0" fontId="18" fillId="2" borderId="35" xfId="0" applyFont="1" applyFill="1" applyBorder="1" applyAlignment="1">
      <alignment horizontal="center"/>
    </xf>
    <xf numFmtId="2" fontId="18" fillId="2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9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9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9" fillId="3" borderId="5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8" xfId="0" applyNumberFormat="1" applyFont="1" applyFill="1" applyBorder="1" applyAlignment="1">
      <alignment horizontal="center"/>
    </xf>
    <xf numFmtId="1" fontId="12" fillId="6" borderId="59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9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5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51" xfId="0" applyNumberFormat="1" applyFont="1" applyFill="1" applyBorder="1" applyAlignment="1">
      <alignment horizontal="center"/>
    </xf>
    <xf numFmtId="166" fontId="11" fillId="6" borderId="51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5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wrapText="1"/>
    </xf>
    <xf numFmtId="0" fontId="11" fillId="2" borderId="34" xfId="0" applyFont="1" applyFill="1" applyBorder="1" applyAlignment="1">
      <alignment horizontal="center"/>
    </xf>
    <xf numFmtId="0" fontId="11" fillId="2" borderId="34" xfId="0" applyFont="1" applyFill="1" applyBorder="1"/>
    <xf numFmtId="10" fontId="19" fillId="6" borderId="51" xfId="0" applyNumberFormat="1" applyFont="1" applyFill="1" applyBorder="1" applyAlignment="1">
      <alignment horizontal="center"/>
    </xf>
    <xf numFmtId="0" fontId="11" fillId="2" borderId="48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9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4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41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9" fillId="6" borderId="16" xfId="0" applyNumberFormat="1" applyFont="1" applyFill="1" applyBorder="1" applyAlignment="1">
      <alignment horizontal="center"/>
    </xf>
    <xf numFmtId="2" fontId="19" fillId="7" borderId="15" xfId="0" applyNumberFormat="1" applyFont="1" applyFill="1" applyBorder="1" applyAlignment="1">
      <alignment horizontal="center"/>
    </xf>
    <xf numFmtId="0" fontId="18" fillId="2" borderId="0" xfId="0" applyFont="1" applyFill="1"/>
    <xf numFmtId="10" fontId="19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9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9" fillId="7" borderId="39" xfId="0" applyFont="1" applyFill="1" applyBorder="1" applyAlignment="1">
      <alignment horizontal="center"/>
    </xf>
    <xf numFmtId="0" fontId="19" fillId="7" borderId="60" xfId="0" applyFont="1" applyFill="1" applyBorder="1" applyAlignment="1">
      <alignment horizontal="center"/>
    </xf>
    <xf numFmtId="2" fontId="19" fillId="6" borderId="16" xfId="0" applyNumberFormat="1" applyFont="1" applyFill="1" applyBorder="1" applyAlignment="1">
      <alignment horizontal="center"/>
    </xf>
    <xf numFmtId="2" fontId="19" fillId="7" borderId="19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41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9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9" fillId="3" borderId="41" xfId="0" applyNumberFormat="1" applyFont="1" applyFill="1" applyBorder="1" applyAlignment="1" applyProtection="1">
      <alignment horizontal="center"/>
      <protection locked="0"/>
    </xf>
    <xf numFmtId="1" fontId="19" fillId="3" borderId="32" xfId="0" applyNumberFormat="1" applyFont="1" applyFill="1" applyBorder="1" applyAlignment="1" applyProtection="1">
      <alignment horizontal="center"/>
      <protection locked="0"/>
    </xf>
    <xf numFmtId="0" fontId="11" fillId="2" borderId="31" xfId="0" applyFont="1" applyFill="1" applyBorder="1" applyAlignment="1">
      <alignment horizontal="center"/>
    </xf>
    <xf numFmtId="1" fontId="19" fillId="3" borderId="31" xfId="0" applyNumberFormat="1" applyFont="1" applyFill="1" applyBorder="1" applyAlignment="1" applyProtection="1">
      <alignment horizontal="center"/>
      <protection locked="0"/>
    </xf>
    <xf numFmtId="173" fontId="11" fillId="2" borderId="36" xfId="0" applyNumberFormat="1" applyFont="1" applyFill="1" applyBorder="1" applyAlignment="1">
      <alignment horizontal="center"/>
    </xf>
    <xf numFmtId="173" fontId="11" fillId="2" borderId="35" xfId="0" applyNumberFormat="1" applyFont="1" applyFill="1" applyBorder="1" applyAlignment="1">
      <alignment horizontal="center"/>
    </xf>
    <xf numFmtId="173" fontId="11" fillId="2" borderId="49" xfId="0" applyNumberFormat="1" applyFont="1" applyFill="1" applyBorder="1" applyAlignment="1">
      <alignment horizontal="center"/>
    </xf>
    <xf numFmtId="173" fontId="11" fillId="2" borderId="35" xfId="0" applyNumberFormat="1" applyFont="1" applyFill="1" applyBorder="1" applyAlignment="1">
      <alignment horizontal="center"/>
    </xf>
    <xf numFmtId="174" fontId="19" fillId="7" borderId="23" xfId="0" applyNumberFormat="1" applyFont="1" applyFill="1" applyBorder="1" applyAlignment="1">
      <alignment horizontal="center"/>
    </xf>
    <xf numFmtId="174" fontId="19" fillId="6" borderId="16" xfId="0" applyNumberFormat="1" applyFont="1" applyFill="1" applyBorder="1" applyAlignment="1">
      <alignment horizontal="center"/>
    </xf>
    <xf numFmtId="174" fontId="19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4" fontId="19" fillId="2" borderId="0" xfId="0" applyNumberFormat="1" applyFont="1" applyFill="1" applyAlignment="1">
      <alignment horizontal="center"/>
    </xf>
    <xf numFmtId="0" fontId="12" fillId="2" borderId="0" xfId="0" applyFont="1" applyFill="1"/>
    <xf numFmtId="0" fontId="19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8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8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4" fillId="2" borderId="0" xfId="0" applyFont="1" applyFill="1"/>
    <xf numFmtId="0" fontId="15" fillId="2" borderId="0" xfId="0" applyFont="1" applyFill="1"/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6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9" fillId="3" borderId="36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0" fontId="19" fillId="3" borderId="35" xfId="0" applyFont="1" applyFill="1" applyBorder="1" applyAlignment="1" applyProtection="1">
      <alignment horizontal="center"/>
      <protection locked="0"/>
    </xf>
    <xf numFmtId="0" fontId="12" fillId="2" borderId="36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43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9" fillId="3" borderId="52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38" xfId="0" applyNumberFormat="1" applyFont="1" applyFill="1" applyBorder="1" applyAlignment="1">
      <alignment horizontal="center"/>
    </xf>
    <xf numFmtId="0" fontId="16" fillId="2" borderId="31" xfId="0" applyFont="1" applyFill="1" applyBorder="1"/>
    <xf numFmtId="0" fontId="19" fillId="3" borderId="34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9" fillId="3" borderId="53" xfId="0" applyFont="1" applyFill="1" applyBorder="1" applyAlignment="1" applyProtection="1">
      <alignment horizontal="center"/>
      <protection locked="0"/>
    </xf>
    <xf numFmtId="171" fontId="11" fillId="2" borderId="47" xfId="0" applyNumberFormat="1" applyFont="1" applyFill="1" applyBorder="1" applyAlignment="1">
      <alignment horizontal="center"/>
    </xf>
    <xf numFmtId="171" fontId="11" fillId="2" borderId="45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5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2" xfId="0" applyNumberFormat="1" applyFont="1" applyFill="1" applyBorder="1" applyAlignment="1">
      <alignment horizontal="center"/>
    </xf>
    <xf numFmtId="171" fontId="12" fillId="6" borderId="4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4" xfId="0" applyFont="1" applyFill="1" applyBorder="1" applyAlignment="1">
      <alignment horizontal="right"/>
    </xf>
    <xf numFmtId="0" fontId="19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6" xfId="0" applyFont="1" applyFill="1" applyBorder="1" applyAlignment="1">
      <alignment horizontal="right"/>
    </xf>
    <xf numFmtId="166" fontId="19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52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48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9" fillId="3" borderId="0" xfId="0" applyNumberFormat="1" applyFont="1" applyFill="1" applyAlignment="1" applyProtection="1">
      <alignment horizontal="center"/>
      <protection locked="0"/>
    </xf>
    <xf numFmtId="2" fontId="12" fillId="2" borderId="31" xfId="0" applyNumberFormat="1" applyFont="1" applyFill="1" applyBorder="1" applyAlignment="1">
      <alignment horizontal="center"/>
    </xf>
    <xf numFmtId="0" fontId="19" fillId="3" borderId="33" xfId="0" applyFont="1" applyFill="1" applyBorder="1" applyAlignment="1" applyProtection="1">
      <alignment horizontal="center"/>
      <protection locked="0"/>
    </xf>
    <xf numFmtId="1" fontId="19" fillId="3" borderId="34" xfId="0" applyNumberFormat="1" applyFont="1" applyFill="1" applyBorder="1" applyAlignment="1" applyProtection="1">
      <alignment horizontal="center"/>
      <protection locked="0"/>
    </xf>
    <xf numFmtId="0" fontId="19" fillId="3" borderId="48" xfId="0" applyFont="1" applyFill="1" applyBorder="1" applyAlignment="1" applyProtection="1">
      <alignment horizontal="center"/>
      <protection locked="0"/>
    </xf>
    <xf numFmtId="0" fontId="18" fillId="2" borderId="35" xfId="0" applyFont="1" applyFill="1" applyBorder="1" applyAlignment="1">
      <alignment horizontal="center"/>
    </xf>
    <xf numFmtId="2" fontId="18" fillId="2" borderId="49" xfId="0" applyNumberFormat="1" applyFont="1" applyFill="1" applyBorder="1" applyAlignment="1">
      <alignment horizontal="center"/>
    </xf>
    <xf numFmtId="0" fontId="11" fillId="2" borderId="14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9" fillId="7" borderId="19" xfId="0" applyFont="1" applyFill="1" applyBorder="1" applyAlignment="1">
      <alignment horizontal="center"/>
    </xf>
    <xf numFmtId="0" fontId="11" fillId="2" borderId="0" xfId="0" applyFont="1" applyFill="1"/>
    <xf numFmtId="165" fontId="19" fillId="2" borderId="0" xfId="0" applyNumberFormat="1" applyFont="1" applyFill="1" applyAlignment="1">
      <alignment horizontal="center"/>
    </xf>
    <xf numFmtId="0" fontId="19" fillId="3" borderId="0" xfId="0" applyFont="1" applyFill="1" applyAlignment="1" applyProtection="1">
      <alignment horizontal="center"/>
      <protection locked="0"/>
    </xf>
    <xf numFmtId="0" fontId="12" fillId="2" borderId="38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9" fillId="3" borderId="5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8" xfId="0" applyNumberFormat="1" applyFont="1" applyFill="1" applyBorder="1" applyAlignment="1">
      <alignment horizontal="center"/>
    </xf>
    <xf numFmtId="1" fontId="12" fillId="6" borderId="59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9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5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51" xfId="0" applyNumberFormat="1" applyFont="1" applyFill="1" applyBorder="1" applyAlignment="1">
      <alignment horizontal="center"/>
    </xf>
    <xf numFmtId="166" fontId="11" fillId="6" borderId="51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51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2" fontId="11" fillId="7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 wrapText="1"/>
    </xf>
    <xf numFmtId="0" fontId="11" fillId="2" borderId="34" xfId="0" applyFont="1" applyFill="1" applyBorder="1" applyAlignment="1">
      <alignment horizontal="center"/>
    </xf>
    <xf numFmtId="0" fontId="11" fillId="2" borderId="34" xfId="0" applyFont="1" applyFill="1" applyBorder="1"/>
    <xf numFmtId="10" fontId="19" fillId="6" borderId="51" xfId="0" applyNumberFormat="1" applyFont="1" applyFill="1" applyBorder="1" applyAlignment="1">
      <alignment horizontal="center"/>
    </xf>
    <xf numFmtId="0" fontId="11" fillId="2" borderId="4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9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4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41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2" fontId="19" fillId="7" borderId="15" xfId="0" applyNumberFormat="1" applyFont="1" applyFill="1" applyBorder="1" applyAlignment="1">
      <alignment horizontal="center"/>
    </xf>
    <xf numFmtId="0" fontId="18" fillId="2" borderId="0" xfId="0" applyFont="1" applyFill="1"/>
    <xf numFmtId="10" fontId="19" fillId="6" borderId="16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9" fillId="7" borderId="29" xfId="0" applyNumberFormat="1" applyFont="1" applyFill="1" applyBorder="1" applyAlignment="1">
      <alignment horizontal="center"/>
    </xf>
    <xf numFmtId="0" fontId="11" fillId="2" borderId="31" xfId="0" applyFont="1" applyFill="1" applyBorder="1"/>
    <xf numFmtId="0" fontId="19" fillId="7" borderId="39" xfId="0" applyFont="1" applyFill="1" applyBorder="1" applyAlignment="1">
      <alignment horizontal="center"/>
    </xf>
    <xf numFmtId="0" fontId="19" fillId="7" borderId="60" xfId="0" applyFont="1" applyFill="1" applyBorder="1" applyAlignment="1">
      <alignment horizontal="center"/>
    </xf>
    <xf numFmtId="2" fontId="19" fillId="6" borderId="16" xfId="0" applyNumberFormat="1" applyFont="1" applyFill="1" applyBorder="1" applyAlignment="1">
      <alignment horizontal="center"/>
    </xf>
    <xf numFmtId="2" fontId="19" fillId="7" borderId="19" xfId="0" applyNumberFormat="1" applyFont="1" applyFill="1" applyBorder="1" applyAlignment="1">
      <alignment horizontal="center"/>
    </xf>
    <xf numFmtId="166" fontId="11" fillId="2" borderId="48" xfId="0" applyNumberFormat="1" applyFont="1" applyFill="1" applyBorder="1" applyAlignment="1">
      <alignment horizontal="center"/>
    </xf>
    <xf numFmtId="173" fontId="11" fillId="2" borderId="31" xfId="0" applyNumberFormat="1" applyFont="1" applyFill="1" applyBorder="1" applyAlignment="1">
      <alignment horizontal="center" vertical="center"/>
    </xf>
    <xf numFmtId="173" fontId="11" fillId="2" borderId="41" xfId="0" applyNumberFormat="1" applyFont="1" applyFill="1" applyBorder="1" applyAlignment="1">
      <alignment horizontal="center" vertical="center"/>
    </xf>
    <xf numFmtId="173" fontId="11" fillId="2" borderId="32" xfId="0" applyNumberFormat="1" applyFont="1" applyFill="1" applyBorder="1" applyAlignment="1">
      <alignment horizontal="center" vertical="center"/>
    </xf>
    <xf numFmtId="173" fontId="19" fillId="7" borderId="15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9" fillId="3" borderId="41" xfId="0" applyNumberFormat="1" applyFont="1" applyFill="1" applyBorder="1" applyAlignment="1" applyProtection="1">
      <alignment horizontal="center"/>
      <protection locked="0"/>
    </xf>
    <xf numFmtId="1" fontId="19" fillId="3" borderId="32" xfId="0" applyNumberFormat="1" applyFont="1" applyFill="1" applyBorder="1" applyAlignment="1" applyProtection="1">
      <alignment horizontal="center"/>
      <protection locked="0"/>
    </xf>
    <xf numFmtId="0" fontId="11" fillId="2" borderId="31" xfId="0" applyFont="1" applyFill="1" applyBorder="1" applyAlignment="1">
      <alignment horizontal="center"/>
    </xf>
    <xf numFmtId="1" fontId="19" fillId="3" borderId="31" xfId="0" applyNumberFormat="1" applyFont="1" applyFill="1" applyBorder="1" applyAlignment="1" applyProtection="1">
      <alignment horizontal="center"/>
      <protection locked="0"/>
    </xf>
    <xf numFmtId="173" fontId="11" fillId="2" borderId="36" xfId="0" applyNumberFormat="1" applyFont="1" applyFill="1" applyBorder="1" applyAlignment="1">
      <alignment horizontal="center"/>
    </xf>
    <xf numFmtId="173" fontId="11" fillId="2" borderId="49" xfId="0" applyNumberFormat="1" applyFont="1" applyFill="1" applyBorder="1" applyAlignment="1">
      <alignment horizontal="center"/>
    </xf>
    <xf numFmtId="173" fontId="11" fillId="2" borderId="35" xfId="0" applyNumberFormat="1" applyFont="1" applyFill="1" applyBorder="1" applyAlignment="1">
      <alignment horizontal="center"/>
    </xf>
    <xf numFmtId="174" fontId="19" fillId="7" borderId="23" xfId="0" applyNumberFormat="1" applyFont="1" applyFill="1" applyBorder="1" applyAlignment="1">
      <alignment horizontal="center"/>
    </xf>
    <xf numFmtId="174" fontId="19" fillId="6" borderId="16" xfId="0" applyNumberFormat="1" applyFont="1" applyFill="1" applyBorder="1" applyAlignment="1">
      <alignment horizontal="center"/>
    </xf>
    <xf numFmtId="174" fontId="19" fillId="7" borderId="19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74" fontId="19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8" fillId="3" borderId="0" xfId="0" applyFont="1" applyFill="1" applyAlignment="1" applyProtection="1">
      <alignment horizontal="left"/>
      <protection locked="0"/>
    </xf>
    <xf numFmtId="0" fontId="12" fillId="2" borderId="5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 wrapText="1"/>
      <protection locked="0"/>
    </xf>
    <xf numFmtId="0" fontId="17" fillId="2" borderId="55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8" fillId="3" borderId="0" xfId="0" applyFont="1" applyFill="1" applyAlignment="1" applyProtection="1">
      <alignment horizontal="left" wrapText="1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17" fillId="2" borderId="55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5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10" fontId="13" fillId="2" borderId="41" xfId="0" applyNumberFormat="1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6" xfId="0" applyFont="1" applyFill="1" applyBorder="1" applyAlignment="1">
      <alignment horizontal="left" vertical="center" wrapText="1"/>
    </xf>
    <xf numFmtId="0" fontId="17" fillId="2" borderId="48" xfId="0" applyFont="1" applyFill="1" applyBorder="1" applyAlignment="1">
      <alignment horizontal="left" vertical="center" wrapText="1"/>
    </xf>
    <xf numFmtId="0" fontId="17" fillId="2" borderId="4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4" fontId="19" fillId="3" borderId="31" xfId="0" applyNumberFormat="1" applyFont="1" applyFill="1" applyBorder="1" applyAlignment="1" applyProtection="1">
      <alignment horizontal="center" vertical="center"/>
      <protection locked="0"/>
    </xf>
    <xf numFmtId="164" fontId="19" fillId="3" borderId="41" xfId="0" applyNumberFormat="1" applyFont="1" applyFill="1" applyBorder="1" applyAlignment="1" applyProtection="1">
      <alignment horizontal="center" vertical="center"/>
      <protection locked="0"/>
    </xf>
    <xf numFmtId="164" fontId="19" fillId="3" borderId="32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center" vertical="center" wrapText="1"/>
    </xf>
    <xf numFmtId="0" fontId="17" fillId="2" borderId="36" xfId="0" applyFont="1" applyFill="1" applyBorder="1" applyAlignment="1">
      <alignment horizontal="center" vertical="center" wrapText="1"/>
    </xf>
    <xf numFmtId="0" fontId="17" fillId="2" borderId="48" xfId="0" applyFont="1" applyFill="1" applyBorder="1" applyAlignment="1">
      <alignment horizontal="center" vertical="center" wrapText="1"/>
    </xf>
    <xf numFmtId="0" fontId="17" fillId="2" borderId="49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8" zoomScale="46" zoomScaleNormal="40" zoomScalePageLayoutView="46" workbookViewId="0">
      <selection activeCell="B58" sqref="B58"/>
    </sheetView>
  </sheetViews>
  <sheetFormatPr defaultColWidth="9.140625" defaultRowHeight="13.5" x14ac:dyDescent="0.25"/>
  <cols>
    <col min="1" max="1" width="55.42578125" style="402" customWidth="1"/>
    <col min="2" max="2" width="33.7109375" style="402" customWidth="1"/>
    <col min="3" max="3" width="42.28515625" style="402" customWidth="1"/>
    <col min="4" max="4" width="30.5703125" style="402" customWidth="1"/>
    <col min="5" max="5" width="39.85546875" style="402" customWidth="1"/>
    <col min="6" max="6" width="30.7109375" style="402" customWidth="1"/>
    <col min="7" max="7" width="39.85546875" style="402" customWidth="1"/>
    <col min="8" max="8" width="30" style="402" customWidth="1"/>
    <col min="9" max="9" width="30.28515625" style="402" hidden="1" customWidth="1"/>
    <col min="10" max="10" width="30.42578125" style="402" customWidth="1"/>
    <col min="11" max="11" width="21.28515625" style="402" customWidth="1"/>
    <col min="12" max="12" width="9.140625" style="402"/>
    <col min="13" max="16384" width="9.140625" style="44"/>
  </cols>
  <sheetData>
    <row r="1" spans="1:9" ht="18.75" customHeight="1" x14ac:dyDescent="0.25">
      <c r="A1" s="510" t="s">
        <v>49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50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 x14ac:dyDescent="0.35">
      <c r="A15" s="384"/>
    </row>
    <row r="16" spans="1:9" ht="19.5" customHeight="1" thickBot="1" x14ac:dyDescent="0.35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51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305" t="s">
        <v>33</v>
      </c>
      <c r="B18" s="482" t="s">
        <v>5</v>
      </c>
      <c r="C18" s="482"/>
      <c r="D18" s="425"/>
      <c r="E18" s="306"/>
      <c r="F18" s="433"/>
      <c r="G18" s="433"/>
      <c r="H18" s="433"/>
    </row>
    <row r="19" spans="1:14" ht="26.25" customHeight="1" x14ac:dyDescent="0.4">
      <c r="A19" s="305" t="s">
        <v>34</v>
      </c>
      <c r="B19" s="469" t="s">
        <v>7</v>
      </c>
      <c r="C19" s="433">
        <v>1</v>
      </c>
      <c r="D19" s="433"/>
      <c r="E19" s="433"/>
      <c r="F19" s="433"/>
      <c r="G19" s="433"/>
      <c r="H19" s="433"/>
    </row>
    <row r="20" spans="1:14" ht="26.25" customHeight="1" x14ac:dyDescent="0.4">
      <c r="A20" s="305" t="s">
        <v>35</v>
      </c>
      <c r="B20" s="487" t="s">
        <v>9</v>
      </c>
      <c r="C20" s="487"/>
      <c r="D20" s="433"/>
      <c r="E20" s="433"/>
      <c r="F20" s="433"/>
      <c r="G20" s="433"/>
      <c r="H20" s="433"/>
    </row>
    <row r="21" spans="1:14" ht="26.25" customHeight="1" x14ac:dyDescent="0.4">
      <c r="A21" s="305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307"/>
    </row>
    <row r="22" spans="1:14" ht="26.25" customHeight="1" x14ac:dyDescent="0.4">
      <c r="A22" s="305" t="s">
        <v>37</v>
      </c>
      <c r="B22" s="308">
        <v>43317.365451388891</v>
      </c>
      <c r="C22" s="433"/>
      <c r="D22" s="433"/>
      <c r="E22" s="433"/>
      <c r="F22" s="433"/>
      <c r="G22" s="433"/>
      <c r="H22" s="433"/>
    </row>
    <row r="23" spans="1:14" ht="26.25" customHeight="1" x14ac:dyDescent="0.4">
      <c r="A23" s="305" t="s">
        <v>38</v>
      </c>
      <c r="B23" s="308">
        <v>43347</v>
      </c>
      <c r="C23" s="433"/>
      <c r="D23" s="433"/>
      <c r="E23" s="433"/>
      <c r="F23" s="433"/>
      <c r="G23" s="433"/>
      <c r="H23" s="433"/>
    </row>
    <row r="24" spans="1:14" ht="18.75" x14ac:dyDescent="0.3">
      <c r="A24" s="305"/>
      <c r="B24" s="309"/>
    </row>
    <row r="25" spans="1:14" ht="18.75" x14ac:dyDescent="0.3">
      <c r="A25" s="310" t="s">
        <v>1</v>
      </c>
      <c r="B25" s="309"/>
    </row>
    <row r="26" spans="1:14" ht="26.25" customHeight="1" x14ac:dyDescent="0.4">
      <c r="A26" s="420" t="s">
        <v>4</v>
      </c>
      <c r="B26" s="482" t="s">
        <v>135</v>
      </c>
      <c r="C26" s="482"/>
    </row>
    <row r="27" spans="1:14" ht="26.25" customHeight="1" x14ac:dyDescent="0.4">
      <c r="A27" s="391" t="s">
        <v>52</v>
      </c>
      <c r="B27" s="488" t="s">
        <v>136</v>
      </c>
      <c r="C27" s="488"/>
    </row>
    <row r="28" spans="1:14" ht="27" customHeight="1" thickBot="1" x14ac:dyDescent="0.45">
      <c r="A28" s="391" t="s">
        <v>6</v>
      </c>
      <c r="B28" s="386">
        <v>98.838999999999999</v>
      </c>
    </row>
    <row r="29" spans="1:14" s="16" customFormat="1" ht="27" customHeight="1" thickBot="1" x14ac:dyDescent="0.45">
      <c r="A29" s="391" t="s">
        <v>53</v>
      </c>
      <c r="B29" s="311">
        <v>0</v>
      </c>
      <c r="C29" s="489" t="s">
        <v>54</v>
      </c>
      <c r="D29" s="490"/>
      <c r="E29" s="490"/>
      <c r="F29" s="490"/>
      <c r="G29" s="491"/>
      <c r="I29" s="312"/>
      <c r="J29" s="312"/>
      <c r="K29" s="312"/>
      <c r="L29" s="312"/>
    </row>
    <row r="30" spans="1:14" s="16" customFormat="1" ht="19.5" customHeight="1" thickBot="1" x14ac:dyDescent="0.35">
      <c r="A30" s="391" t="s">
        <v>55</v>
      </c>
      <c r="B30" s="465">
        <f>B28-B29</f>
        <v>98.838999999999999</v>
      </c>
      <c r="C30" s="313"/>
      <c r="D30" s="313"/>
      <c r="E30" s="313"/>
      <c r="F30" s="313"/>
      <c r="G30" s="314"/>
      <c r="I30" s="312"/>
      <c r="J30" s="312"/>
      <c r="K30" s="312"/>
      <c r="L30" s="312"/>
    </row>
    <row r="31" spans="1:14" s="16" customFormat="1" ht="27" customHeight="1" thickBot="1" x14ac:dyDescent="0.45">
      <c r="A31" s="391" t="s">
        <v>56</v>
      </c>
      <c r="B31" s="315">
        <v>1</v>
      </c>
      <c r="C31" s="492" t="s">
        <v>57</v>
      </c>
      <c r="D31" s="493"/>
      <c r="E31" s="493"/>
      <c r="F31" s="493"/>
      <c r="G31" s="493"/>
      <c r="H31" s="494"/>
      <c r="I31" s="312"/>
      <c r="J31" s="312"/>
      <c r="K31" s="312"/>
      <c r="L31" s="312"/>
    </row>
    <row r="32" spans="1:14" s="16" customFormat="1" ht="27" customHeight="1" thickBot="1" x14ac:dyDescent="0.45">
      <c r="A32" s="391" t="s">
        <v>58</v>
      </c>
      <c r="B32" s="315">
        <v>1</v>
      </c>
      <c r="C32" s="492" t="s">
        <v>59</v>
      </c>
      <c r="D32" s="493"/>
      <c r="E32" s="493"/>
      <c r="F32" s="493"/>
      <c r="G32" s="493"/>
      <c r="H32" s="494"/>
      <c r="I32" s="312"/>
      <c r="J32" s="312"/>
      <c r="K32" s="312"/>
      <c r="L32" s="316"/>
      <c r="M32" s="316"/>
      <c r="N32" s="317"/>
    </row>
    <row r="33" spans="1:14" s="16" customFormat="1" ht="17.25" customHeight="1" x14ac:dyDescent="0.3">
      <c r="A33" s="391"/>
      <c r="B33" s="318"/>
      <c r="C33" s="319"/>
      <c r="D33" s="319"/>
      <c r="E33" s="319"/>
      <c r="F33" s="319"/>
      <c r="G33" s="319"/>
      <c r="H33" s="319"/>
      <c r="I33" s="312"/>
      <c r="J33" s="312"/>
      <c r="K33" s="312"/>
      <c r="L33" s="316"/>
      <c r="M33" s="316"/>
      <c r="N33" s="317"/>
    </row>
    <row r="34" spans="1:14" s="16" customFormat="1" ht="18.75" x14ac:dyDescent="0.3">
      <c r="A34" s="391" t="s">
        <v>60</v>
      </c>
      <c r="B34" s="320">
        <f>B31/B32</f>
        <v>1</v>
      </c>
      <c r="C34" s="384" t="s">
        <v>61</v>
      </c>
      <c r="D34" s="384"/>
      <c r="E34" s="384"/>
      <c r="F34" s="384"/>
      <c r="G34" s="384"/>
      <c r="I34" s="312"/>
      <c r="J34" s="312"/>
      <c r="K34" s="312"/>
      <c r="L34" s="316"/>
      <c r="M34" s="316"/>
      <c r="N34" s="317"/>
    </row>
    <row r="35" spans="1:14" s="16" customFormat="1" ht="19.5" customHeight="1" thickBot="1" x14ac:dyDescent="0.35">
      <c r="A35" s="391"/>
      <c r="B35" s="465"/>
      <c r="G35" s="384"/>
      <c r="I35" s="312"/>
      <c r="J35" s="312"/>
      <c r="K35" s="312"/>
      <c r="L35" s="316"/>
      <c r="M35" s="316"/>
      <c r="N35" s="317"/>
    </row>
    <row r="36" spans="1:14" s="16" customFormat="1" ht="27" customHeight="1" thickBot="1" x14ac:dyDescent="0.45">
      <c r="A36" s="321" t="s">
        <v>106</v>
      </c>
      <c r="B36" s="322">
        <v>10</v>
      </c>
      <c r="C36" s="384"/>
      <c r="D36" s="495" t="s">
        <v>62</v>
      </c>
      <c r="E36" s="496"/>
      <c r="F36" s="495" t="s">
        <v>63</v>
      </c>
      <c r="G36" s="497"/>
      <c r="J36" s="312"/>
      <c r="K36" s="312"/>
      <c r="L36" s="316"/>
      <c r="M36" s="316"/>
      <c r="N36" s="317"/>
    </row>
    <row r="37" spans="1:14" s="16" customFormat="1" ht="27" customHeight="1" thickBot="1" x14ac:dyDescent="0.45">
      <c r="A37" s="323" t="s">
        <v>64</v>
      </c>
      <c r="B37" s="324">
        <v>1</v>
      </c>
      <c r="C37" s="325" t="s">
        <v>88</v>
      </c>
      <c r="D37" s="326" t="s">
        <v>65</v>
      </c>
      <c r="E37" s="327" t="s">
        <v>66</v>
      </c>
      <c r="F37" s="326" t="s">
        <v>65</v>
      </c>
      <c r="G37" s="328" t="s">
        <v>66</v>
      </c>
      <c r="I37" s="329" t="s">
        <v>107</v>
      </c>
      <c r="J37" s="312"/>
      <c r="K37" s="312"/>
      <c r="L37" s="316"/>
      <c r="M37" s="316"/>
      <c r="N37" s="317"/>
    </row>
    <row r="38" spans="1:14" s="16" customFormat="1" ht="26.25" customHeight="1" x14ac:dyDescent="0.4">
      <c r="A38" s="323" t="s">
        <v>67</v>
      </c>
      <c r="B38" s="324">
        <v>1</v>
      </c>
      <c r="C38" s="330">
        <v>1</v>
      </c>
      <c r="D38" s="331">
        <v>18670442</v>
      </c>
      <c r="E38" s="332">
        <f>IF(ISBLANK(D38),"-",$D$48/$D$45*D38)</f>
        <v>3313991.5826251553</v>
      </c>
      <c r="F38" s="331">
        <v>19519423</v>
      </c>
      <c r="G38" s="333">
        <f>IF(ISBLANK(F38),"-",$D$48/$F$45*F38)</f>
        <v>3361481.7822149196</v>
      </c>
      <c r="I38" s="334"/>
      <c r="J38" s="312"/>
      <c r="K38" s="312"/>
      <c r="L38" s="316"/>
      <c r="M38" s="316"/>
      <c r="N38" s="317"/>
    </row>
    <row r="39" spans="1:14" s="16" customFormat="1" ht="26.25" customHeight="1" x14ac:dyDescent="0.4">
      <c r="A39" s="323" t="s">
        <v>68</v>
      </c>
      <c r="B39" s="324">
        <v>1</v>
      </c>
      <c r="C39" s="352">
        <v>2</v>
      </c>
      <c r="D39" s="335">
        <v>18687462</v>
      </c>
      <c r="E39" s="336">
        <f>IF(ISBLANK(D39),"-",$D$48/$D$45*D39)</f>
        <v>3317012.6218022825</v>
      </c>
      <c r="F39" s="335">
        <v>19513663</v>
      </c>
      <c r="G39" s="337">
        <f>IF(ISBLANK(F39),"-",$D$48/$F$45*F39)</f>
        <v>3360489.8402366368</v>
      </c>
      <c r="I39" s="499">
        <f>ABS((F43/D43*D42)-F42)/D42</f>
        <v>1.4175912145277386E-2</v>
      </c>
      <c r="J39" s="312"/>
      <c r="K39" s="312"/>
      <c r="L39" s="316"/>
      <c r="M39" s="316"/>
      <c r="N39" s="317"/>
    </row>
    <row r="40" spans="1:14" ht="26.25" customHeight="1" x14ac:dyDescent="0.4">
      <c r="A40" s="323" t="s">
        <v>69</v>
      </c>
      <c r="B40" s="324">
        <v>1</v>
      </c>
      <c r="C40" s="352">
        <v>3</v>
      </c>
      <c r="D40" s="335">
        <v>18697974</v>
      </c>
      <c r="E40" s="336">
        <f>IF(ISBLANK(D40),"-",$D$48/$D$45*D40)</f>
        <v>3318878.4951177915</v>
      </c>
      <c r="F40" s="335">
        <v>19538449</v>
      </c>
      <c r="G40" s="337">
        <f>IF(ISBLANK(F40),"-",$D$48/$F$45*F40)</f>
        <v>3364758.2905619345</v>
      </c>
      <c r="I40" s="499"/>
      <c r="L40" s="316"/>
      <c r="M40" s="316"/>
      <c r="N40" s="384"/>
    </row>
    <row r="41" spans="1:14" ht="27" customHeight="1" thickBot="1" x14ac:dyDescent="0.45">
      <c r="A41" s="323" t="s">
        <v>70</v>
      </c>
      <c r="B41" s="324">
        <v>1</v>
      </c>
      <c r="C41" s="338">
        <v>4</v>
      </c>
      <c r="D41" s="339"/>
      <c r="E41" s="340" t="str">
        <f>IF(ISBLANK(D41),"-",$D$48/$D$45*D41)</f>
        <v>-</v>
      </c>
      <c r="F41" s="339"/>
      <c r="G41" s="341" t="str">
        <f>IF(ISBLANK(F41),"-",$D$48/$F$45*F41)</f>
        <v>-</v>
      </c>
      <c r="I41" s="342"/>
      <c r="L41" s="316"/>
      <c r="M41" s="316"/>
      <c r="N41" s="384"/>
    </row>
    <row r="42" spans="1:14" ht="27" customHeight="1" thickBot="1" x14ac:dyDescent="0.45">
      <c r="A42" s="323" t="s">
        <v>71</v>
      </c>
      <c r="B42" s="324">
        <v>1</v>
      </c>
      <c r="C42" s="343" t="s">
        <v>72</v>
      </c>
      <c r="D42" s="344">
        <f>AVERAGE(D38:D41)</f>
        <v>18685292.666666668</v>
      </c>
      <c r="E42" s="345">
        <f>AVERAGE(E38:E41)</f>
        <v>3316627.5665150764</v>
      </c>
      <c r="F42" s="344">
        <f>AVERAGE(F38:F41)</f>
        <v>19523845</v>
      </c>
      <c r="G42" s="346">
        <f>AVERAGE(G38:G41)</f>
        <v>3362243.3043378307</v>
      </c>
      <c r="H42" s="347"/>
    </row>
    <row r="43" spans="1:14" ht="26.25" customHeight="1" x14ac:dyDescent="0.4">
      <c r="A43" s="323" t="s">
        <v>73</v>
      </c>
      <c r="B43" s="324">
        <v>1</v>
      </c>
      <c r="C43" s="348" t="s">
        <v>74</v>
      </c>
      <c r="D43" s="349">
        <v>11.4</v>
      </c>
      <c r="E43" s="384"/>
      <c r="F43" s="349">
        <v>11.75</v>
      </c>
      <c r="H43" s="347"/>
    </row>
    <row r="44" spans="1:14" ht="26.25" customHeight="1" x14ac:dyDescent="0.4">
      <c r="A44" s="323" t="s">
        <v>75</v>
      </c>
      <c r="B44" s="324">
        <v>1</v>
      </c>
      <c r="C44" s="350" t="s">
        <v>76</v>
      </c>
      <c r="D44" s="351">
        <f>D43*$B$34</f>
        <v>11.4</v>
      </c>
      <c r="E44" s="399"/>
      <c r="F44" s="351">
        <f>F43*$B$34</f>
        <v>11.75</v>
      </c>
      <c r="H44" s="347"/>
    </row>
    <row r="45" spans="1:14" ht="19.5" customHeight="1" thickBot="1" x14ac:dyDescent="0.35">
      <c r="A45" s="323" t="s">
        <v>77</v>
      </c>
      <c r="B45" s="352">
        <f>(B44/B43)*(B42/B41)*(B40/B39)*(B38/B37)*B36</f>
        <v>10</v>
      </c>
      <c r="C45" s="350" t="s">
        <v>78</v>
      </c>
      <c r="D45" s="353">
        <f>D44*$B$30/100</f>
        <v>11.267645999999999</v>
      </c>
      <c r="E45" s="381"/>
      <c r="F45" s="353">
        <f>F44*$B$30/100</f>
        <v>11.6135825</v>
      </c>
      <c r="H45" s="347"/>
    </row>
    <row r="46" spans="1:14" ht="19.5" customHeight="1" thickBot="1" x14ac:dyDescent="0.35">
      <c r="A46" s="500" t="s">
        <v>79</v>
      </c>
      <c r="B46" s="501"/>
      <c r="C46" s="350" t="s">
        <v>80</v>
      </c>
      <c r="D46" s="354">
        <f>D45/$B$45</f>
        <v>1.1267646</v>
      </c>
      <c r="E46" s="355"/>
      <c r="F46" s="356">
        <f>F45/$B$45</f>
        <v>1.1613582499999999</v>
      </c>
      <c r="H46" s="347"/>
    </row>
    <row r="47" spans="1:14" ht="27" customHeight="1" thickBot="1" x14ac:dyDescent="0.45">
      <c r="A47" s="502"/>
      <c r="B47" s="503"/>
      <c r="C47" s="357" t="s">
        <v>81</v>
      </c>
      <c r="D47" s="358">
        <v>0.2</v>
      </c>
      <c r="E47" s="359"/>
      <c r="F47" s="355"/>
      <c r="H47" s="347"/>
    </row>
    <row r="48" spans="1:14" ht="18.75" x14ac:dyDescent="0.3">
      <c r="C48" s="360" t="s">
        <v>82</v>
      </c>
      <c r="D48" s="353">
        <f>D47*$B$45</f>
        <v>2</v>
      </c>
      <c r="F48" s="361"/>
      <c r="H48" s="347"/>
    </row>
    <row r="49" spans="1:12" ht="19.5" customHeight="1" thickBot="1" x14ac:dyDescent="0.35">
      <c r="C49" s="362" t="s">
        <v>83</v>
      </c>
      <c r="D49" s="363">
        <f>D48/B34</f>
        <v>2</v>
      </c>
      <c r="F49" s="361"/>
      <c r="H49" s="347"/>
    </row>
    <row r="50" spans="1:12" ht="18.75" x14ac:dyDescent="0.3">
      <c r="C50" s="321" t="s">
        <v>84</v>
      </c>
      <c r="D50" s="364">
        <f>AVERAGE(E38:E41,G38:G41)</f>
        <v>3339435.4354264531</v>
      </c>
      <c r="F50" s="365"/>
      <c r="H50" s="347"/>
    </row>
    <row r="51" spans="1:12" ht="18.75" x14ac:dyDescent="0.3">
      <c r="C51" s="323" t="s">
        <v>85</v>
      </c>
      <c r="D51" s="366">
        <f>STDEV(E38:E41,G38:G41)/D50</f>
        <v>7.5082266735486498E-3</v>
      </c>
      <c r="F51" s="365"/>
      <c r="H51" s="347"/>
    </row>
    <row r="52" spans="1:12" ht="19.5" customHeight="1" thickBot="1" x14ac:dyDescent="0.35">
      <c r="C52" s="367" t="s">
        <v>20</v>
      </c>
      <c r="D52" s="368">
        <f>COUNT(E38:E41,G38:G41)</f>
        <v>6</v>
      </c>
      <c r="F52" s="365"/>
    </row>
    <row r="54" spans="1:12" ht="18.75" x14ac:dyDescent="0.3">
      <c r="A54" s="369" t="s">
        <v>1</v>
      </c>
      <c r="B54" s="370" t="s">
        <v>86</v>
      </c>
    </row>
    <row r="55" spans="1:12" ht="18.75" x14ac:dyDescent="0.3">
      <c r="A55" s="384" t="s">
        <v>87</v>
      </c>
      <c r="B55" s="371" t="str">
        <f>B21</f>
        <v>Each 5ml reconstituted suspension contains: Artemether 15 mg and Lumefantrine 90 mg</v>
      </c>
    </row>
    <row r="56" spans="1:12" ht="26.25" customHeight="1" x14ac:dyDescent="0.4">
      <c r="A56" s="371" t="s">
        <v>137</v>
      </c>
      <c r="B56" s="372">
        <f>60/5*90</f>
        <v>1080</v>
      </c>
      <c r="C56" s="384" t="str">
        <f>B20</f>
        <v>Artemether &amp; Lumefantrine</v>
      </c>
      <c r="H56" s="399"/>
    </row>
    <row r="57" spans="1:12" ht="18.75" x14ac:dyDescent="0.3">
      <c r="A57" s="371" t="s">
        <v>138</v>
      </c>
      <c r="B57" s="426">
        <f>Uniformity!D43</f>
        <v>24.196696666666664</v>
      </c>
      <c r="H57" s="399"/>
    </row>
    <row r="58" spans="1:12" ht="19.5" customHeight="1" thickBot="1" x14ac:dyDescent="0.35">
      <c r="H58" s="399"/>
    </row>
    <row r="59" spans="1:12" s="16" customFormat="1" ht="27" customHeight="1" thickBot="1" x14ac:dyDescent="0.45">
      <c r="A59" s="321" t="s">
        <v>108</v>
      </c>
      <c r="B59" s="322">
        <v>100</v>
      </c>
      <c r="C59" s="384"/>
      <c r="D59" s="373" t="s">
        <v>109</v>
      </c>
      <c r="E59" s="448" t="s">
        <v>88</v>
      </c>
      <c r="F59" s="448" t="s">
        <v>65</v>
      </c>
      <c r="G59" s="448" t="s">
        <v>89</v>
      </c>
      <c r="H59" s="325" t="s">
        <v>90</v>
      </c>
      <c r="L59" s="312"/>
    </row>
    <row r="60" spans="1:12" s="16" customFormat="1" ht="26.25" customHeight="1" x14ac:dyDescent="0.4">
      <c r="A60" s="323" t="s">
        <v>110</v>
      </c>
      <c r="B60" s="324">
        <v>1</v>
      </c>
      <c r="C60" s="504" t="s">
        <v>92</v>
      </c>
      <c r="D60" s="507">
        <f>'ARTEMETHER 1'!D60:D63</f>
        <v>2.7401599999999999</v>
      </c>
      <c r="E60" s="453">
        <v>1</v>
      </c>
      <c r="F60" s="374">
        <v>21395531</v>
      </c>
      <c r="G60" s="427">
        <f>IF(ISBLANK(F60),"-",(F60/$D$50*$D$47*$B$68)*($B$57/$D$60))</f>
        <v>1131.5146248957756</v>
      </c>
      <c r="H60" s="444">
        <f t="shared" ref="H60:H71" si="0">IF(ISBLANK(F60),"-",(G60/$B$56)*100)</f>
        <v>104.76987267553477</v>
      </c>
      <c r="L60" s="312"/>
    </row>
    <row r="61" spans="1:12" s="16" customFormat="1" ht="26.25" customHeight="1" x14ac:dyDescent="0.4">
      <c r="A61" s="323" t="s">
        <v>93</v>
      </c>
      <c r="B61" s="324">
        <v>1</v>
      </c>
      <c r="C61" s="505"/>
      <c r="D61" s="508"/>
      <c r="E61" s="449">
        <v>2</v>
      </c>
      <c r="F61" s="335">
        <v>21590857</v>
      </c>
      <c r="G61" s="428">
        <f>IF(ISBLANK(F61),"-",(F61/$D$50*$D$47*$B$68)*($B$57/$D$60))</f>
        <v>1141.8445496647562</v>
      </c>
      <c r="H61" s="445">
        <f t="shared" si="0"/>
        <v>105.72634719118112</v>
      </c>
      <c r="L61" s="312"/>
    </row>
    <row r="62" spans="1:12" s="16" customFormat="1" ht="26.25" customHeight="1" x14ac:dyDescent="0.4">
      <c r="A62" s="323" t="s">
        <v>94</v>
      </c>
      <c r="B62" s="324">
        <v>1</v>
      </c>
      <c r="C62" s="505"/>
      <c r="D62" s="508"/>
      <c r="E62" s="449">
        <v>3</v>
      </c>
      <c r="F62" s="375">
        <v>21893164</v>
      </c>
      <c r="G62" s="428">
        <f>IF(ISBLANK(F62),"-",(F62/$D$50*$D$47*$B$68)*($B$57/$D$60))</f>
        <v>1157.8322244604117</v>
      </c>
      <c r="H62" s="445">
        <f t="shared" si="0"/>
        <v>107.20668745003812</v>
      </c>
      <c r="L62" s="312"/>
    </row>
    <row r="63" spans="1:12" ht="27" customHeight="1" thickBot="1" x14ac:dyDescent="0.45">
      <c r="A63" s="323" t="s">
        <v>95</v>
      </c>
      <c r="B63" s="324">
        <v>1</v>
      </c>
      <c r="C63" s="506"/>
      <c r="D63" s="509"/>
      <c r="E63" s="450">
        <v>4</v>
      </c>
      <c r="F63" s="376"/>
      <c r="G63" s="428" t="str">
        <f>IF(ISBLANK(F63),"-",(F63/$D$50*$D$47*$B$68)*($B$57/$D$60))</f>
        <v>-</v>
      </c>
      <c r="H63" s="445" t="str">
        <f t="shared" si="0"/>
        <v>-</v>
      </c>
    </row>
    <row r="64" spans="1:12" ht="26.25" customHeight="1" x14ac:dyDescent="0.4">
      <c r="A64" s="323" t="s">
        <v>96</v>
      </c>
      <c r="B64" s="324">
        <v>1</v>
      </c>
      <c r="C64" s="504" t="s">
        <v>97</v>
      </c>
      <c r="D64" s="507">
        <f>'ARTEMETHER 1'!D64:D67</f>
        <v>2.78152</v>
      </c>
      <c r="E64" s="453">
        <v>1</v>
      </c>
      <c r="F64" s="374">
        <v>21329613</v>
      </c>
      <c r="G64" s="427">
        <f>IF(ISBLANK(F64),"-",(F64/$D$50*$D$47*$B$68)*($B$57/$D$64))</f>
        <v>1111.2552182074023</v>
      </c>
      <c r="H64" s="444">
        <f t="shared" si="0"/>
        <v>102.89400168587059</v>
      </c>
    </row>
    <row r="65" spans="1:8" ht="26.25" customHeight="1" x14ac:dyDescent="0.4">
      <c r="A65" s="323" t="s">
        <v>98</v>
      </c>
      <c r="B65" s="324">
        <v>1</v>
      </c>
      <c r="C65" s="505"/>
      <c r="D65" s="508"/>
      <c r="E65" s="449">
        <v>2</v>
      </c>
      <c r="F65" s="335">
        <v>21589329</v>
      </c>
      <c r="G65" s="428">
        <f>IF(ISBLANK(F65),"-",(F65/$D$50*$D$47*$B$68)*($B$57/$D$64))</f>
        <v>1124.7862072718522</v>
      </c>
      <c r="H65" s="445">
        <f t="shared" si="0"/>
        <v>104.14687104369003</v>
      </c>
    </row>
    <row r="66" spans="1:8" ht="26.25" customHeight="1" x14ac:dyDescent="0.4">
      <c r="A66" s="323" t="s">
        <v>99</v>
      </c>
      <c r="B66" s="324">
        <v>1</v>
      </c>
      <c r="C66" s="505"/>
      <c r="D66" s="508"/>
      <c r="E66" s="449">
        <v>3</v>
      </c>
      <c r="F66" s="335">
        <v>21654915</v>
      </c>
      <c r="G66" s="428">
        <f>IF(ISBLANK(F66),"-",(F66/$D$50*$D$47*$B$68)*($B$57/$D$64))</f>
        <v>1128.2031836952572</v>
      </c>
      <c r="H66" s="445">
        <f t="shared" si="0"/>
        <v>104.46325774956084</v>
      </c>
    </row>
    <row r="67" spans="1:8" ht="27" customHeight="1" thickBot="1" x14ac:dyDescent="0.45">
      <c r="A67" s="323" t="s">
        <v>100</v>
      </c>
      <c r="B67" s="324">
        <v>1</v>
      </c>
      <c r="C67" s="506"/>
      <c r="D67" s="509"/>
      <c r="E67" s="450">
        <v>4</v>
      </c>
      <c r="F67" s="376"/>
      <c r="G67" s="443" t="str">
        <f>IF(ISBLANK(F67),"-",(F67/$D$50*$D$47*$B$68)*($B$57/$D$64))</f>
        <v>-</v>
      </c>
      <c r="H67" s="446" t="str">
        <f t="shared" si="0"/>
        <v>-</v>
      </c>
    </row>
    <row r="68" spans="1:8" ht="26.25" customHeight="1" x14ac:dyDescent="0.4">
      <c r="A68" s="323" t="s">
        <v>101</v>
      </c>
      <c r="B68" s="377">
        <f>(B67/B66)*(B65/B64)*(B63/B62)*(B61/B60)*B59</f>
        <v>100</v>
      </c>
      <c r="C68" s="504" t="s">
        <v>102</v>
      </c>
      <c r="D68" s="507">
        <f>'ARTEMETHER 1'!D68:D71</f>
        <v>2.6231</v>
      </c>
      <c r="E68" s="453">
        <v>1</v>
      </c>
      <c r="F68" s="374">
        <v>20981165</v>
      </c>
      <c r="G68" s="427">
        <f>IF(ISBLANK(F68),"-",(F68/$D$50*$D$47*$B$68)*($B$57/$D$68))</f>
        <v>1159.1183368684808</v>
      </c>
      <c r="H68" s="445">
        <f t="shared" si="0"/>
        <v>107.32577193226673</v>
      </c>
    </row>
    <row r="69" spans="1:8" ht="27" customHeight="1" thickBot="1" x14ac:dyDescent="0.45">
      <c r="A69" s="367" t="s">
        <v>111</v>
      </c>
      <c r="B69" s="378">
        <f>(D47*B68)/B56*B57</f>
        <v>0.44808697530864189</v>
      </c>
      <c r="C69" s="505"/>
      <c r="D69" s="508"/>
      <c r="E69" s="449">
        <v>2</v>
      </c>
      <c r="F69" s="335">
        <v>21071248</v>
      </c>
      <c r="G69" s="428">
        <f>IF(ISBLANK(F69),"-",(F69/$D$50*$D$47*$B$68)*($B$57/$D$68))</f>
        <v>1164.0950317822339</v>
      </c>
      <c r="H69" s="445">
        <f t="shared" si="0"/>
        <v>107.78657701687351</v>
      </c>
    </row>
    <row r="70" spans="1:8" ht="26.25" customHeight="1" x14ac:dyDescent="0.4">
      <c r="A70" s="517" t="s">
        <v>79</v>
      </c>
      <c r="B70" s="518"/>
      <c r="C70" s="505"/>
      <c r="D70" s="508"/>
      <c r="E70" s="449">
        <v>3</v>
      </c>
      <c r="F70" s="335">
        <v>21409306</v>
      </c>
      <c r="G70" s="428">
        <f>IF(ISBLANK(F70),"-",(F70/$D$50*$D$47*$B$68)*($B$57/$D$68))</f>
        <v>1182.7712695757546</v>
      </c>
      <c r="H70" s="445">
        <f t="shared" si="0"/>
        <v>109.51585829405136</v>
      </c>
    </row>
    <row r="71" spans="1:8" ht="27" customHeight="1" thickBot="1" x14ac:dyDescent="0.45">
      <c r="A71" s="519"/>
      <c r="B71" s="520"/>
      <c r="C71" s="516"/>
      <c r="D71" s="509"/>
      <c r="E71" s="450">
        <v>4</v>
      </c>
      <c r="F71" s="376"/>
      <c r="G71" s="443" t="str">
        <f>IF(ISBLANK(F71),"-",(F71/$D$50*$D$47*$B$68)*($B$57/$D$68))</f>
        <v>-</v>
      </c>
      <c r="H71" s="446" t="str">
        <f t="shared" si="0"/>
        <v>-</v>
      </c>
    </row>
    <row r="72" spans="1:8" ht="26.25" customHeight="1" x14ac:dyDescent="0.4">
      <c r="A72" s="399"/>
      <c r="B72" s="399"/>
      <c r="C72" s="399"/>
      <c r="D72" s="399"/>
      <c r="E72" s="399"/>
      <c r="F72" s="379" t="s">
        <v>72</v>
      </c>
      <c r="G72" s="432">
        <f>AVERAGE(G60:G71)</f>
        <v>1144.6022940468804</v>
      </c>
      <c r="H72" s="447">
        <f>AVERAGE(H60:H71)</f>
        <v>105.98169389322968</v>
      </c>
    </row>
    <row r="73" spans="1:8" ht="26.25" customHeight="1" x14ac:dyDescent="0.4">
      <c r="C73" s="399"/>
      <c r="D73" s="399"/>
      <c r="E73" s="399"/>
      <c r="F73" s="380" t="s">
        <v>85</v>
      </c>
      <c r="G73" s="434">
        <f>STDEV(G60:G71)/G72</f>
        <v>1.995880128205145E-2</v>
      </c>
      <c r="H73" s="434">
        <f>STDEV(H60:H71)/H72</f>
        <v>1.9958801282051439E-2</v>
      </c>
    </row>
    <row r="74" spans="1:8" ht="27" customHeight="1" thickBot="1" x14ac:dyDescent="0.45">
      <c r="A74" s="399"/>
      <c r="B74" s="399"/>
      <c r="C74" s="399"/>
      <c r="D74" s="399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420" t="s">
        <v>103</v>
      </c>
      <c r="B76" s="391" t="s">
        <v>104</v>
      </c>
      <c r="C76" s="512" t="str">
        <f>B26</f>
        <v>Lumefantrine</v>
      </c>
      <c r="D76" s="512"/>
      <c r="E76" s="384" t="s">
        <v>105</v>
      </c>
      <c r="F76" s="384"/>
      <c r="G76" s="462">
        <f>H72</f>
        <v>105.98169389322968</v>
      </c>
      <c r="H76" s="465"/>
    </row>
    <row r="77" spans="1:8" ht="18.75" x14ac:dyDescent="0.3">
      <c r="A77" s="310" t="s">
        <v>112</v>
      </c>
      <c r="B77" s="310" t="s">
        <v>113</v>
      </c>
    </row>
    <row r="78" spans="1:8" ht="18.75" x14ac:dyDescent="0.3">
      <c r="A78" s="310"/>
      <c r="B78" s="310"/>
    </row>
    <row r="79" spans="1:8" ht="26.25" customHeight="1" x14ac:dyDescent="0.4">
      <c r="A79" s="420" t="s">
        <v>4</v>
      </c>
      <c r="B79" s="498"/>
      <c r="C79" s="498"/>
    </row>
    <row r="80" spans="1:8" ht="26.25" customHeight="1" x14ac:dyDescent="0.4">
      <c r="A80" s="391" t="s">
        <v>52</v>
      </c>
      <c r="B80" s="498"/>
      <c r="C80" s="498"/>
    </row>
    <row r="81" spans="1:12" ht="27" customHeight="1" thickBot="1" x14ac:dyDescent="0.45">
      <c r="A81" s="391" t="s">
        <v>6</v>
      </c>
      <c r="B81" s="386"/>
    </row>
    <row r="82" spans="1:12" s="16" customFormat="1" ht="27" customHeight="1" thickBot="1" x14ac:dyDescent="0.45">
      <c r="A82" s="391" t="s">
        <v>53</v>
      </c>
      <c r="B82" s="311">
        <v>0</v>
      </c>
      <c r="C82" s="489" t="s">
        <v>54</v>
      </c>
      <c r="D82" s="490"/>
      <c r="E82" s="490"/>
      <c r="F82" s="490"/>
      <c r="G82" s="491"/>
      <c r="I82" s="312"/>
      <c r="J82" s="312"/>
      <c r="K82" s="312"/>
      <c r="L82" s="312"/>
    </row>
    <row r="83" spans="1:12" s="16" customFormat="1" ht="19.5" customHeight="1" thickBot="1" x14ac:dyDescent="0.35">
      <c r="A83" s="391" t="s">
        <v>55</v>
      </c>
      <c r="B83" s="465">
        <f>B81-B82</f>
        <v>0</v>
      </c>
      <c r="C83" s="313"/>
      <c r="D83" s="313"/>
      <c r="E83" s="313"/>
      <c r="F83" s="313"/>
      <c r="G83" s="314"/>
      <c r="I83" s="312"/>
      <c r="J83" s="312"/>
      <c r="K83" s="312"/>
      <c r="L83" s="312"/>
    </row>
    <row r="84" spans="1:12" s="16" customFormat="1" ht="27" customHeight="1" thickBot="1" x14ac:dyDescent="0.45">
      <c r="A84" s="391" t="s">
        <v>56</v>
      </c>
      <c r="B84" s="315"/>
      <c r="C84" s="492" t="s">
        <v>114</v>
      </c>
      <c r="D84" s="493"/>
      <c r="E84" s="493"/>
      <c r="F84" s="493"/>
      <c r="G84" s="493"/>
      <c r="H84" s="494"/>
      <c r="I84" s="312"/>
      <c r="J84" s="312"/>
      <c r="K84" s="312"/>
      <c r="L84" s="312"/>
    </row>
    <row r="85" spans="1:12" s="16" customFormat="1" ht="27" customHeight="1" thickBot="1" x14ac:dyDescent="0.45">
      <c r="A85" s="391" t="s">
        <v>58</v>
      </c>
      <c r="B85" s="315"/>
      <c r="C85" s="492" t="s">
        <v>115</v>
      </c>
      <c r="D85" s="493"/>
      <c r="E85" s="493"/>
      <c r="F85" s="493"/>
      <c r="G85" s="493"/>
      <c r="H85" s="494"/>
      <c r="I85" s="312"/>
      <c r="J85" s="312"/>
      <c r="K85" s="312"/>
      <c r="L85" s="312"/>
    </row>
    <row r="86" spans="1:12" s="16" customFormat="1" ht="18.75" x14ac:dyDescent="0.3">
      <c r="A86" s="391"/>
      <c r="B86" s="318"/>
      <c r="C86" s="319"/>
      <c r="D86" s="319"/>
      <c r="E86" s="319"/>
      <c r="F86" s="319"/>
      <c r="G86" s="319"/>
      <c r="H86" s="319"/>
      <c r="I86" s="312"/>
      <c r="J86" s="312"/>
      <c r="K86" s="312"/>
      <c r="L86" s="312"/>
    </row>
    <row r="87" spans="1:12" s="16" customFormat="1" ht="18.75" x14ac:dyDescent="0.3">
      <c r="A87" s="391" t="s">
        <v>60</v>
      </c>
      <c r="B87" s="320" t="e">
        <f>B84/B85</f>
        <v>#DIV/0!</v>
      </c>
      <c r="C87" s="384" t="s">
        <v>61</v>
      </c>
      <c r="D87" s="384"/>
      <c r="E87" s="384"/>
      <c r="F87" s="384"/>
      <c r="G87" s="384"/>
      <c r="I87" s="312"/>
      <c r="J87" s="312"/>
      <c r="K87" s="312"/>
      <c r="L87" s="312"/>
    </row>
    <row r="88" spans="1:12" ht="19.5" customHeight="1" thickBot="1" x14ac:dyDescent="0.35">
      <c r="A88" s="310"/>
      <c r="B88" s="310"/>
    </row>
    <row r="89" spans="1:12" ht="27" customHeight="1" thickBot="1" x14ac:dyDescent="0.45">
      <c r="A89" s="321" t="s">
        <v>106</v>
      </c>
      <c r="B89" s="322"/>
      <c r="D89" s="467" t="s">
        <v>62</v>
      </c>
      <c r="E89" s="470"/>
      <c r="F89" s="495" t="s">
        <v>63</v>
      </c>
      <c r="G89" s="497"/>
    </row>
    <row r="90" spans="1:12" ht="27" customHeight="1" thickBot="1" x14ac:dyDescent="0.45">
      <c r="A90" s="323" t="s">
        <v>64</v>
      </c>
      <c r="B90" s="324"/>
      <c r="C90" s="466" t="s">
        <v>88</v>
      </c>
      <c r="D90" s="326" t="s">
        <v>65</v>
      </c>
      <c r="E90" s="327" t="s">
        <v>66</v>
      </c>
      <c r="F90" s="326" t="s">
        <v>65</v>
      </c>
      <c r="G90" s="387" t="s">
        <v>66</v>
      </c>
      <c r="I90" s="329" t="s">
        <v>107</v>
      </c>
    </row>
    <row r="91" spans="1:12" ht="26.25" customHeight="1" x14ac:dyDescent="0.4">
      <c r="A91" s="323" t="s">
        <v>67</v>
      </c>
      <c r="B91" s="324"/>
      <c r="C91" s="388">
        <v>1</v>
      </c>
      <c r="D91" s="331"/>
      <c r="E91" s="332" t="str">
        <f>IF(ISBLANK(D91),"-",$D$101/$D$98*D91)</f>
        <v>-</v>
      </c>
      <c r="F91" s="331"/>
      <c r="G91" s="333" t="str">
        <f>IF(ISBLANK(F91),"-",$D$101/$F$98*F91)</f>
        <v>-</v>
      </c>
      <c r="I91" s="334"/>
    </row>
    <row r="92" spans="1:12" ht="26.25" customHeight="1" x14ac:dyDescent="0.4">
      <c r="A92" s="323" t="s">
        <v>68</v>
      </c>
      <c r="B92" s="324">
        <v>1</v>
      </c>
      <c r="C92" s="399">
        <v>2</v>
      </c>
      <c r="D92" s="335"/>
      <c r="E92" s="336" t="str">
        <f>IF(ISBLANK(D92),"-",$D$101/$D$98*D92)</f>
        <v>-</v>
      </c>
      <c r="F92" s="335"/>
      <c r="G92" s="337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323" t="s">
        <v>69</v>
      </c>
      <c r="B93" s="324">
        <v>1</v>
      </c>
      <c r="C93" s="399">
        <v>3</v>
      </c>
      <c r="D93" s="335"/>
      <c r="E93" s="336" t="str">
        <f>IF(ISBLANK(D93),"-",$D$101/$D$98*D93)</f>
        <v>-</v>
      </c>
      <c r="F93" s="335"/>
      <c r="G93" s="337" t="str">
        <f>IF(ISBLANK(F93),"-",$D$101/$F$98*F93)</f>
        <v>-</v>
      </c>
      <c r="I93" s="499"/>
    </row>
    <row r="94" spans="1:12" ht="27" customHeight="1" thickBot="1" x14ac:dyDescent="0.45">
      <c r="A94" s="323" t="s">
        <v>70</v>
      </c>
      <c r="B94" s="324">
        <v>1</v>
      </c>
      <c r="C94" s="389">
        <v>4</v>
      </c>
      <c r="D94" s="339"/>
      <c r="E94" s="340" t="str">
        <f>IF(ISBLANK(D94),"-",$D$101/$D$98*D94)</f>
        <v>-</v>
      </c>
      <c r="F94" s="390"/>
      <c r="G94" s="341" t="str">
        <f>IF(ISBLANK(F94),"-",$D$101/$F$98*F94)</f>
        <v>-</v>
      </c>
      <c r="I94" s="342"/>
    </row>
    <row r="95" spans="1:12" ht="27" customHeight="1" thickBot="1" x14ac:dyDescent="0.45">
      <c r="A95" s="323" t="s">
        <v>71</v>
      </c>
      <c r="B95" s="324">
        <v>1</v>
      </c>
      <c r="C95" s="391" t="s">
        <v>72</v>
      </c>
      <c r="D95" s="392" t="e">
        <f>AVERAGE(D91:D94)</f>
        <v>#DIV/0!</v>
      </c>
      <c r="E95" s="345" t="e">
        <f>AVERAGE(E91:E94)</f>
        <v>#DIV/0!</v>
      </c>
      <c r="F95" s="393" t="e">
        <f>AVERAGE(F91:F94)</f>
        <v>#DIV/0!</v>
      </c>
      <c r="G95" s="394" t="e">
        <f>AVERAGE(G91:G94)</f>
        <v>#DIV/0!</v>
      </c>
    </row>
    <row r="96" spans="1:12" ht="26.25" customHeight="1" x14ac:dyDescent="0.4">
      <c r="A96" s="323" t="s">
        <v>73</v>
      </c>
      <c r="B96" s="386">
        <v>1</v>
      </c>
      <c r="C96" s="395" t="s">
        <v>116</v>
      </c>
      <c r="D96" s="396"/>
      <c r="E96" s="384"/>
      <c r="F96" s="349"/>
    </row>
    <row r="97" spans="1:10" ht="26.25" customHeight="1" x14ac:dyDescent="0.4">
      <c r="A97" s="323" t="s">
        <v>75</v>
      </c>
      <c r="B97" s="386">
        <v>1</v>
      </c>
      <c r="C97" s="397" t="s">
        <v>117</v>
      </c>
      <c r="D97" s="398" t="e">
        <f>D96*$B$87</f>
        <v>#DIV/0!</v>
      </c>
      <c r="E97" s="399"/>
      <c r="F97" s="351" t="e">
        <f>F96*$B$87</f>
        <v>#DIV/0!</v>
      </c>
    </row>
    <row r="98" spans="1:10" ht="19.5" customHeight="1" thickBot="1" x14ac:dyDescent="0.35">
      <c r="A98" s="323" t="s">
        <v>77</v>
      </c>
      <c r="B98" s="399" t="e">
        <f>(B97/B96)*(B95/B94)*(B93/B92)*(B91/B90)*B89</f>
        <v>#DIV/0!</v>
      </c>
      <c r="C98" s="397" t="s">
        <v>118</v>
      </c>
      <c r="D98" s="400" t="e">
        <f>D97*$B$83/100</f>
        <v>#DIV/0!</v>
      </c>
      <c r="E98" s="381"/>
      <c r="F98" s="353" t="e">
        <f>F97*$B$83/100</f>
        <v>#DIV/0!</v>
      </c>
    </row>
    <row r="99" spans="1:10" ht="19.5" customHeight="1" thickBot="1" x14ac:dyDescent="0.35">
      <c r="A99" s="500" t="s">
        <v>79</v>
      </c>
      <c r="B99" s="514"/>
      <c r="C99" s="397" t="s">
        <v>119</v>
      </c>
      <c r="D99" s="401" t="e">
        <f>D98/$B$98</f>
        <v>#DIV/0!</v>
      </c>
      <c r="E99" s="381"/>
      <c r="F99" s="356" t="e">
        <f>F98/$B$98</f>
        <v>#DIV/0!</v>
      </c>
      <c r="H99" s="347"/>
    </row>
    <row r="100" spans="1:10" ht="19.5" customHeight="1" thickBot="1" x14ac:dyDescent="0.35">
      <c r="A100" s="502"/>
      <c r="B100" s="515"/>
      <c r="C100" s="397" t="s">
        <v>81</v>
      </c>
      <c r="D100" s="403" t="e">
        <f>$B$56/$B$116</f>
        <v>#DIV/0!</v>
      </c>
      <c r="F100" s="361"/>
      <c r="G100" s="409"/>
      <c r="H100" s="347"/>
    </row>
    <row r="101" spans="1:10" ht="18.75" x14ac:dyDescent="0.3">
      <c r="C101" s="397" t="s">
        <v>82</v>
      </c>
      <c r="D101" s="398" t="e">
        <f>D100*$B$98</f>
        <v>#DIV/0!</v>
      </c>
      <c r="F101" s="361"/>
      <c r="H101" s="347"/>
    </row>
    <row r="102" spans="1:10" ht="19.5" customHeight="1" thickBot="1" x14ac:dyDescent="0.35">
      <c r="C102" s="404" t="s">
        <v>83</v>
      </c>
      <c r="D102" s="405" t="e">
        <f>D101/B34</f>
        <v>#DIV/0!</v>
      </c>
      <c r="F102" s="365"/>
      <c r="H102" s="347"/>
      <c r="J102" s="406"/>
    </row>
    <row r="103" spans="1:10" ht="18.75" x14ac:dyDescent="0.3">
      <c r="C103" s="407" t="s">
        <v>120</v>
      </c>
      <c r="D103" s="408" t="e">
        <f>AVERAGE(E91:E94,G91:G94)</f>
        <v>#DIV/0!</v>
      </c>
      <c r="F103" s="365"/>
      <c r="G103" s="409"/>
      <c r="H103" s="347"/>
      <c r="J103" s="410"/>
    </row>
    <row r="104" spans="1:10" ht="18.75" x14ac:dyDescent="0.3">
      <c r="C104" s="380" t="s">
        <v>85</v>
      </c>
      <c r="D104" s="411" t="e">
        <f>STDEV(E91:E94,G91:G94)/D103</f>
        <v>#DIV/0!</v>
      </c>
      <c r="F104" s="365"/>
      <c r="H104" s="347"/>
      <c r="J104" s="410"/>
    </row>
    <row r="105" spans="1:10" ht="19.5" customHeight="1" thickBot="1" x14ac:dyDescent="0.35">
      <c r="C105" s="382" t="s">
        <v>20</v>
      </c>
      <c r="D105" s="412">
        <f>COUNT(E91:E94,G91:G94)</f>
        <v>0</v>
      </c>
      <c r="F105" s="365"/>
      <c r="H105" s="347"/>
      <c r="J105" s="410"/>
    </row>
    <row r="106" spans="1:10" ht="19.5" customHeight="1" thickBot="1" x14ac:dyDescent="0.35">
      <c r="A106" s="369"/>
      <c r="B106" s="369"/>
      <c r="C106" s="369"/>
      <c r="D106" s="369"/>
      <c r="E106" s="369"/>
    </row>
    <row r="107" spans="1:10" ht="27" customHeight="1" thickBot="1" x14ac:dyDescent="0.45">
      <c r="A107" s="321" t="s">
        <v>121</v>
      </c>
      <c r="B107" s="322"/>
      <c r="C107" s="448" t="s">
        <v>122</v>
      </c>
      <c r="D107" s="448" t="s">
        <v>65</v>
      </c>
      <c r="E107" s="448" t="s">
        <v>123</v>
      </c>
      <c r="F107" s="413" t="s">
        <v>124</v>
      </c>
    </row>
    <row r="108" spans="1:10" ht="26.25" customHeight="1" x14ac:dyDescent="0.4">
      <c r="A108" s="323" t="s">
        <v>91</v>
      </c>
      <c r="B108" s="324"/>
      <c r="C108" s="453">
        <v>1</v>
      </c>
      <c r="D108" s="454"/>
      <c r="E108" s="429" t="str">
        <f t="shared" ref="E108:E113" si="1">IF(ISBLANK(D108),"-",D108/$D$103*$D$100*$B$116)</f>
        <v>-</v>
      </c>
      <c r="F108" s="455" t="str">
        <f t="shared" ref="F108:F113" si="2">IF(ISBLANK(D108), "-", (E108/$B$56)*100)</f>
        <v>-</v>
      </c>
    </row>
    <row r="109" spans="1:10" ht="26.25" customHeight="1" x14ac:dyDescent="0.4">
      <c r="A109" s="323" t="s">
        <v>93</v>
      </c>
      <c r="B109" s="324"/>
      <c r="C109" s="449">
        <v>2</v>
      </c>
      <c r="D109" s="451"/>
      <c r="E109" s="430" t="str">
        <f t="shared" si="1"/>
        <v>-</v>
      </c>
      <c r="F109" s="457" t="str">
        <f t="shared" si="2"/>
        <v>-</v>
      </c>
    </row>
    <row r="110" spans="1:10" ht="26.25" customHeight="1" x14ac:dyDescent="0.4">
      <c r="A110" s="323" t="s">
        <v>94</v>
      </c>
      <c r="B110" s="324">
        <v>1</v>
      </c>
      <c r="C110" s="449">
        <v>3</v>
      </c>
      <c r="D110" s="451"/>
      <c r="E110" s="430" t="str">
        <f t="shared" si="1"/>
        <v>-</v>
      </c>
      <c r="F110" s="457" t="str">
        <f t="shared" si="2"/>
        <v>-</v>
      </c>
    </row>
    <row r="111" spans="1:10" ht="26.25" customHeight="1" x14ac:dyDescent="0.4">
      <c r="A111" s="323" t="s">
        <v>95</v>
      </c>
      <c r="B111" s="324">
        <v>1</v>
      </c>
      <c r="C111" s="449">
        <v>4</v>
      </c>
      <c r="D111" s="451"/>
      <c r="E111" s="430" t="str">
        <f t="shared" si="1"/>
        <v>-</v>
      </c>
      <c r="F111" s="457" t="str">
        <f t="shared" si="2"/>
        <v>-</v>
      </c>
    </row>
    <row r="112" spans="1:10" ht="26.25" customHeight="1" x14ac:dyDescent="0.4">
      <c r="A112" s="323" t="s">
        <v>96</v>
      </c>
      <c r="B112" s="324">
        <v>1</v>
      </c>
      <c r="C112" s="449">
        <v>5</v>
      </c>
      <c r="D112" s="451"/>
      <c r="E112" s="430" t="str">
        <f t="shared" si="1"/>
        <v>-</v>
      </c>
      <c r="F112" s="457" t="str">
        <f t="shared" si="2"/>
        <v>-</v>
      </c>
    </row>
    <row r="113" spans="1:10" ht="27" customHeight="1" thickBot="1" x14ac:dyDescent="0.45">
      <c r="A113" s="323" t="s">
        <v>98</v>
      </c>
      <c r="B113" s="324">
        <v>1</v>
      </c>
      <c r="C113" s="450">
        <v>6</v>
      </c>
      <c r="D113" s="452"/>
      <c r="E113" s="431" t="str">
        <f t="shared" si="1"/>
        <v>-</v>
      </c>
      <c r="F113" s="456" t="str">
        <f t="shared" si="2"/>
        <v>-</v>
      </c>
    </row>
    <row r="114" spans="1:10" ht="27" customHeight="1" thickBot="1" x14ac:dyDescent="0.45">
      <c r="A114" s="323" t="s">
        <v>99</v>
      </c>
      <c r="B114" s="324">
        <v>1</v>
      </c>
      <c r="C114" s="414"/>
      <c r="D114" s="399"/>
      <c r="E114" s="384"/>
      <c r="F114" s="457"/>
    </row>
    <row r="115" spans="1:10" ht="26.25" customHeight="1" x14ac:dyDescent="0.4">
      <c r="A115" s="323" t="s">
        <v>100</v>
      </c>
      <c r="B115" s="324">
        <v>1</v>
      </c>
      <c r="C115" s="414"/>
      <c r="D115" s="435" t="s">
        <v>72</v>
      </c>
      <c r="E115" s="437" t="e">
        <f>AVERAGE(E108:E113)</f>
        <v>#DIV/0!</v>
      </c>
      <c r="F115" s="458" t="e">
        <f>AVERAGE(F108:F113)</f>
        <v>#DIV/0!</v>
      </c>
    </row>
    <row r="116" spans="1:10" ht="27" customHeight="1" thickBot="1" x14ac:dyDescent="0.45">
      <c r="A116" s="323" t="s">
        <v>101</v>
      </c>
      <c r="B116" s="352" t="e">
        <f>(B115/B114)*(B113/B112)*(B111/B110)*(B109/B108)*B107</f>
        <v>#DIV/0!</v>
      </c>
      <c r="C116" s="415"/>
      <c r="D116" s="436" t="s">
        <v>85</v>
      </c>
      <c r="E116" s="434" t="e">
        <f>STDEV(E108:E113)/E115</f>
        <v>#DIV/0!</v>
      </c>
      <c r="F116" s="416" t="e">
        <f>STDEV(F108:F113)/F115</f>
        <v>#DIV/0!</v>
      </c>
      <c r="I116" s="384"/>
    </row>
    <row r="117" spans="1:10" ht="27" customHeight="1" thickBot="1" x14ac:dyDescent="0.45">
      <c r="A117" s="500" t="s">
        <v>79</v>
      </c>
      <c r="B117" s="501"/>
      <c r="C117" s="417"/>
      <c r="D117" s="382" t="s">
        <v>20</v>
      </c>
      <c r="E117" s="439">
        <f>COUNT(E108:E113)</f>
        <v>0</v>
      </c>
      <c r="F117" s="440">
        <f>COUNT(F108:F113)</f>
        <v>0</v>
      </c>
      <c r="I117" s="384"/>
      <c r="J117" s="410"/>
    </row>
    <row r="118" spans="1:10" ht="26.25" customHeight="1" thickBot="1" x14ac:dyDescent="0.35">
      <c r="A118" s="502"/>
      <c r="B118" s="503"/>
      <c r="C118" s="384"/>
      <c r="D118" s="438"/>
      <c r="E118" s="480" t="s">
        <v>125</v>
      </c>
      <c r="F118" s="481"/>
      <c r="G118" s="384"/>
      <c r="H118" s="384"/>
      <c r="I118" s="384"/>
    </row>
    <row r="119" spans="1:10" ht="25.5" customHeight="1" x14ac:dyDescent="0.4">
      <c r="A119" s="424"/>
      <c r="B119" s="319"/>
      <c r="C119" s="384"/>
      <c r="D119" s="436" t="s">
        <v>126</v>
      </c>
      <c r="E119" s="441">
        <f>MIN(E108:E113)</f>
        <v>0</v>
      </c>
      <c r="F119" s="459">
        <f>MIN(F108:F113)</f>
        <v>0</v>
      </c>
      <c r="G119" s="384"/>
      <c r="H119" s="384"/>
      <c r="I119" s="384"/>
    </row>
    <row r="120" spans="1:10" ht="24" customHeight="1" thickBot="1" x14ac:dyDescent="0.45">
      <c r="A120" s="424"/>
      <c r="B120" s="319"/>
      <c r="C120" s="384"/>
      <c r="D120" s="362" t="s">
        <v>127</v>
      </c>
      <c r="E120" s="442">
        <f>MAX(E108:E113)</f>
        <v>0</v>
      </c>
      <c r="F120" s="460">
        <f>MAX(F108:F113)</f>
        <v>0</v>
      </c>
      <c r="G120" s="384"/>
      <c r="H120" s="384"/>
      <c r="I120" s="384"/>
    </row>
    <row r="121" spans="1:10" ht="27" customHeight="1" x14ac:dyDescent="0.3">
      <c r="A121" s="424"/>
      <c r="B121" s="319"/>
      <c r="C121" s="384"/>
      <c r="D121" s="384"/>
      <c r="E121" s="384"/>
      <c r="F121" s="399"/>
      <c r="G121" s="384"/>
      <c r="H121" s="384"/>
      <c r="I121" s="384"/>
    </row>
    <row r="122" spans="1:10" ht="25.5" customHeight="1" x14ac:dyDescent="0.3">
      <c r="A122" s="424"/>
      <c r="B122" s="319"/>
      <c r="C122" s="384"/>
      <c r="D122" s="384"/>
      <c r="E122" s="384"/>
      <c r="F122" s="399"/>
      <c r="G122" s="384"/>
      <c r="H122" s="384"/>
      <c r="I122" s="384"/>
    </row>
    <row r="123" spans="1:10" ht="18.75" x14ac:dyDescent="0.3">
      <c r="A123" s="424"/>
      <c r="B123" s="319"/>
      <c r="C123" s="384"/>
      <c r="D123" s="384"/>
      <c r="E123" s="384"/>
      <c r="F123" s="399"/>
      <c r="G123" s="384"/>
      <c r="H123" s="384"/>
      <c r="I123" s="384"/>
    </row>
    <row r="124" spans="1:10" ht="45.75" customHeight="1" x14ac:dyDescent="0.65">
      <c r="A124" s="420" t="s">
        <v>103</v>
      </c>
      <c r="B124" s="391" t="s">
        <v>128</v>
      </c>
      <c r="C124" s="512" t="str">
        <f>B26</f>
        <v>Lumefantrine</v>
      </c>
      <c r="D124" s="512"/>
      <c r="E124" s="384" t="s">
        <v>129</v>
      </c>
      <c r="F124" s="384"/>
      <c r="G124" s="461" t="e">
        <f>F115</f>
        <v>#DIV/0!</v>
      </c>
      <c r="H124" s="384"/>
      <c r="I124" s="384"/>
    </row>
    <row r="125" spans="1:10" ht="45.75" customHeight="1" x14ac:dyDescent="0.65">
      <c r="A125" s="420"/>
      <c r="B125" s="391" t="s">
        <v>130</v>
      </c>
      <c r="C125" s="391" t="s">
        <v>131</v>
      </c>
      <c r="D125" s="461">
        <f>MIN(F108:F113)</f>
        <v>0</v>
      </c>
      <c r="E125" s="391" t="s">
        <v>132</v>
      </c>
      <c r="F125" s="461">
        <f>MAX(F108:F113)</f>
        <v>0</v>
      </c>
      <c r="G125" s="385"/>
      <c r="H125" s="384"/>
      <c r="I125" s="384"/>
    </row>
    <row r="126" spans="1:10" ht="19.5" customHeight="1" thickBot="1" x14ac:dyDescent="0.35">
      <c r="A126" s="468"/>
      <c r="B126" s="468"/>
      <c r="C126" s="418"/>
      <c r="D126" s="418"/>
      <c r="E126" s="418"/>
      <c r="F126" s="418"/>
      <c r="G126" s="418"/>
      <c r="H126" s="418"/>
    </row>
    <row r="127" spans="1:10" ht="18.75" x14ac:dyDescent="0.3">
      <c r="B127" s="513" t="s">
        <v>26</v>
      </c>
      <c r="C127" s="513"/>
      <c r="E127" s="466" t="s">
        <v>27</v>
      </c>
      <c r="F127" s="419"/>
      <c r="G127" s="513" t="s">
        <v>28</v>
      </c>
      <c r="H127" s="513"/>
    </row>
    <row r="128" spans="1:10" ht="69.95" customHeight="1" x14ac:dyDescent="0.3">
      <c r="A128" s="420" t="s">
        <v>29</v>
      </c>
      <c r="B128" s="421"/>
      <c r="C128" s="421"/>
      <c r="E128" s="421"/>
      <c r="F128" s="384"/>
      <c r="G128" s="421"/>
      <c r="H128" s="421"/>
    </row>
    <row r="129" spans="1:9" ht="69.95" customHeight="1" x14ac:dyDescent="0.3">
      <c r="A129" s="420" t="s">
        <v>30</v>
      </c>
      <c r="B129" s="422"/>
      <c r="C129" s="422"/>
      <c r="E129" s="422"/>
      <c r="F129" s="384"/>
      <c r="G129" s="423"/>
      <c r="H129" s="423"/>
    </row>
    <row r="130" spans="1:9" ht="18.75" x14ac:dyDescent="0.3">
      <c r="A130" s="399"/>
      <c r="B130" s="399"/>
      <c r="C130" s="399"/>
      <c r="D130" s="399"/>
      <c r="E130" s="399"/>
      <c r="F130" s="381"/>
      <c r="G130" s="399"/>
      <c r="H130" s="399"/>
      <c r="I130" s="384"/>
    </row>
    <row r="131" spans="1:9" ht="18.75" x14ac:dyDescent="0.3">
      <c r="A131" s="399"/>
      <c r="B131" s="399"/>
      <c r="C131" s="399"/>
      <c r="D131" s="399"/>
      <c r="E131" s="399"/>
      <c r="F131" s="381"/>
      <c r="G131" s="399"/>
      <c r="H131" s="399"/>
      <c r="I131" s="384"/>
    </row>
    <row r="132" spans="1:9" ht="18.75" x14ac:dyDescent="0.3">
      <c r="A132" s="399"/>
      <c r="B132" s="399"/>
      <c r="C132" s="399"/>
      <c r="D132" s="399"/>
      <c r="E132" s="399"/>
      <c r="F132" s="381"/>
      <c r="G132" s="399"/>
      <c r="H132" s="399"/>
      <c r="I132" s="384"/>
    </row>
    <row r="133" spans="1:9" ht="18.75" x14ac:dyDescent="0.3">
      <c r="A133" s="399"/>
      <c r="B133" s="399"/>
      <c r="C133" s="399"/>
      <c r="D133" s="399"/>
      <c r="E133" s="399"/>
      <c r="F133" s="381"/>
      <c r="G133" s="399"/>
      <c r="H133" s="399"/>
      <c r="I133" s="384"/>
    </row>
    <row r="134" spans="1:9" ht="18.75" x14ac:dyDescent="0.3">
      <c r="A134" s="399"/>
      <c r="B134" s="399"/>
      <c r="C134" s="399"/>
      <c r="D134" s="399"/>
      <c r="E134" s="399"/>
      <c r="F134" s="381"/>
      <c r="G134" s="399"/>
      <c r="H134" s="399"/>
      <c r="I134" s="384"/>
    </row>
    <row r="135" spans="1:9" ht="18.75" x14ac:dyDescent="0.3">
      <c r="A135" s="399"/>
      <c r="B135" s="399"/>
      <c r="C135" s="399"/>
      <c r="D135" s="399"/>
      <c r="E135" s="399"/>
      <c r="F135" s="381"/>
      <c r="G135" s="399"/>
      <c r="H135" s="399"/>
      <c r="I135" s="384"/>
    </row>
    <row r="136" spans="1:9" ht="18.75" x14ac:dyDescent="0.3">
      <c r="A136" s="399"/>
      <c r="B136" s="399"/>
      <c r="C136" s="399"/>
      <c r="D136" s="399"/>
      <c r="E136" s="399"/>
      <c r="F136" s="381"/>
      <c r="G136" s="399"/>
      <c r="H136" s="399"/>
      <c r="I136" s="384"/>
    </row>
    <row r="137" spans="1:9" ht="18.75" x14ac:dyDescent="0.3">
      <c r="A137" s="399"/>
      <c r="B137" s="399"/>
      <c r="C137" s="399"/>
      <c r="D137" s="399"/>
      <c r="E137" s="399"/>
      <c r="F137" s="381"/>
      <c r="G137" s="399"/>
      <c r="H137" s="399"/>
      <c r="I137" s="384"/>
    </row>
    <row r="138" spans="1:9" ht="18.75" x14ac:dyDescent="0.3">
      <c r="A138" s="399"/>
      <c r="B138" s="399"/>
      <c r="C138" s="399"/>
      <c r="D138" s="399"/>
      <c r="E138" s="399"/>
      <c r="F138" s="381"/>
      <c r="G138" s="399"/>
      <c r="H138" s="399"/>
      <c r="I138" s="384"/>
    </row>
    <row r="250" spans="1:1" x14ac:dyDescent="0.25">
      <c r="A250" s="40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37" priority="1" operator="greaterThan">
      <formula>0.02</formula>
    </cfRule>
  </conditionalFormatting>
  <conditionalFormatting sqref="D51">
    <cfRule type="cellIs" dxfId="36" priority="2" operator="greaterThan">
      <formula>0.02</formula>
    </cfRule>
  </conditionalFormatting>
  <conditionalFormatting sqref="G73">
    <cfRule type="cellIs" dxfId="35" priority="3" operator="greaterThan">
      <formula>0.02</formula>
    </cfRule>
  </conditionalFormatting>
  <conditionalFormatting sqref="H73">
    <cfRule type="cellIs" dxfId="34" priority="4" operator="greaterThan">
      <formula>0.02</formula>
    </cfRule>
  </conditionalFormatting>
  <conditionalFormatting sqref="D104">
    <cfRule type="cellIs" dxfId="33" priority="5" operator="greaterThan">
      <formula>0.02</formula>
    </cfRule>
  </conditionalFormatting>
  <conditionalFormatting sqref="I39">
    <cfRule type="cellIs" dxfId="32" priority="6" operator="lessThanOrEqual">
      <formula>0.02</formula>
    </cfRule>
  </conditionalFormatting>
  <conditionalFormatting sqref="I39">
    <cfRule type="cellIs" dxfId="31" priority="7" operator="greaterThan">
      <formula>0.02</formula>
    </cfRule>
  </conditionalFormatting>
  <conditionalFormatting sqref="I92">
    <cfRule type="cellIs" dxfId="30" priority="8" operator="lessThanOrEqual">
      <formula>0.02</formula>
    </cfRule>
  </conditionalFormatting>
  <conditionalFormatting sqref="I92">
    <cfRule type="cellIs" dxfId="2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61" sqref="C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9.91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B20/25*5/10</f>
        <v>0.19820000000000002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313228</v>
      </c>
      <c r="C24" s="18">
        <v>12103</v>
      </c>
      <c r="D24" s="19">
        <v>1.1000000000000001</v>
      </c>
      <c r="E24" s="20">
        <v>17.34</v>
      </c>
    </row>
    <row r="25" spans="1:6" ht="16.5" customHeight="1" x14ac:dyDescent="0.3">
      <c r="A25" s="17">
        <v>2</v>
      </c>
      <c r="B25" s="18">
        <v>313936</v>
      </c>
      <c r="C25" s="18">
        <v>12163</v>
      </c>
      <c r="D25" s="19">
        <v>1.0900000000000001</v>
      </c>
      <c r="E25" s="19">
        <v>17.37</v>
      </c>
    </row>
    <row r="26" spans="1:6" ht="16.5" customHeight="1" x14ac:dyDescent="0.3">
      <c r="A26" s="17">
        <v>3</v>
      </c>
      <c r="B26" s="18">
        <v>313750</v>
      </c>
      <c r="C26" s="18">
        <v>12108</v>
      </c>
      <c r="D26" s="19">
        <v>1.0900000000000001</v>
      </c>
      <c r="E26" s="19">
        <v>17.38</v>
      </c>
    </row>
    <row r="27" spans="1:6" ht="16.5" customHeight="1" x14ac:dyDescent="0.3">
      <c r="A27" s="17">
        <v>4</v>
      </c>
      <c r="B27" s="18">
        <v>315979</v>
      </c>
      <c r="C27" s="18">
        <v>12084</v>
      </c>
      <c r="D27" s="19">
        <v>1.1000000000000001</v>
      </c>
      <c r="E27" s="19">
        <v>17.38</v>
      </c>
    </row>
    <row r="28" spans="1:6" ht="16.5" customHeight="1" x14ac:dyDescent="0.3">
      <c r="A28" s="17">
        <v>5</v>
      </c>
      <c r="B28" s="18">
        <v>316736</v>
      </c>
      <c r="C28" s="18">
        <v>12081</v>
      </c>
      <c r="D28" s="19">
        <v>1.1100000000000001</v>
      </c>
      <c r="E28" s="19">
        <v>17.38</v>
      </c>
    </row>
    <row r="29" spans="1:6" ht="16.5" customHeight="1" x14ac:dyDescent="0.3">
      <c r="A29" s="17">
        <v>6</v>
      </c>
      <c r="B29" s="21">
        <v>317922</v>
      </c>
      <c r="C29" s="21">
        <v>12105</v>
      </c>
      <c r="D29" s="22">
        <v>1.1100000000000001</v>
      </c>
      <c r="E29" s="22">
        <v>17.39</v>
      </c>
    </row>
    <row r="30" spans="1:6" ht="16.5" customHeight="1" x14ac:dyDescent="0.3">
      <c r="A30" s="23" t="s">
        <v>18</v>
      </c>
      <c r="B30" s="24">
        <f>AVERAGE(B24:B29)</f>
        <v>315258.5</v>
      </c>
      <c r="C30" s="25">
        <f>AVERAGE(C24:C29)</f>
        <v>12107.333333333334</v>
      </c>
      <c r="D30" s="26">
        <f>AVERAGE(D24:D29)</f>
        <v>1.1000000000000003</v>
      </c>
      <c r="E30" s="26">
        <f>AVERAGE(E24:E29)</f>
        <v>17.373333333333331</v>
      </c>
    </row>
    <row r="31" spans="1:6" ht="16.5" customHeight="1" x14ac:dyDescent="0.3">
      <c r="A31" s="27" t="s">
        <v>19</v>
      </c>
      <c r="B31" s="28">
        <f>(STDEV(B24:B29)/B30)</f>
        <v>6.0090555640207608E-3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2" t="s">
        <v>26</v>
      </c>
      <c r="C59" s="47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6" workbookViewId="0">
      <selection activeCell="D41" sqref="D41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75" t="s">
        <v>31</v>
      </c>
      <c r="B8" s="475"/>
      <c r="C8" s="475"/>
      <c r="D8" s="475"/>
      <c r="E8" s="475"/>
      <c r="F8" s="475"/>
      <c r="G8" s="475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476" t="s">
        <v>32</v>
      </c>
      <c r="B10" s="476"/>
      <c r="C10" s="476"/>
      <c r="D10" s="476"/>
      <c r="E10" s="476"/>
      <c r="F10" s="476"/>
      <c r="G10" s="476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73" t="s">
        <v>33</v>
      </c>
      <c r="B11" s="473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73" t="s">
        <v>34</v>
      </c>
      <c r="B12" s="473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73" t="s">
        <v>35</v>
      </c>
      <c r="B13" s="473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73" t="s">
        <v>36</v>
      </c>
      <c r="B14" s="473"/>
      <c r="C14" s="474" t="s">
        <v>11</v>
      </c>
      <c r="D14" s="474"/>
      <c r="E14" s="474"/>
      <c r="F14" s="474"/>
      <c r="G14" s="474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73" t="s">
        <v>37</v>
      </c>
      <c r="B15" s="473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73" t="s">
        <v>38</v>
      </c>
      <c r="B16" s="473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477" t="s">
        <v>1</v>
      </c>
      <c r="B18" s="477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39.492809999999999</v>
      </c>
      <c r="C21" s="83">
        <v>15.52271</v>
      </c>
      <c r="D21" s="84">
        <f t="shared" ref="D21:D40" si="0">B21-C21</f>
        <v>23.970099999999999</v>
      </c>
      <c r="E21" s="85">
        <f t="shared" ref="E21:E40" si="1">(D21-$D$43)/$D$43</f>
        <v>-9.3647769275392416E-3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39.902859999999997</v>
      </c>
      <c r="C22" s="88">
        <v>15.59586</v>
      </c>
      <c r="D22" s="89">
        <f t="shared" si="0"/>
        <v>24.306999999999995</v>
      </c>
      <c r="E22" s="85">
        <f t="shared" si="1"/>
        <v>4.5586112374291351E-3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39.852490000000003</v>
      </c>
      <c r="C23" s="88">
        <v>15.5395</v>
      </c>
      <c r="D23" s="89">
        <f t="shared" si="0"/>
        <v>24.312990000000003</v>
      </c>
      <c r="E23" s="85">
        <f t="shared" si="1"/>
        <v>4.8061656901102539E-3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/>
      <c r="B24" s="87"/>
      <c r="C24" s="88"/>
      <c r="D24" s="89"/>
      <c r="E24" s="85"/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/>
      <c r="B25" s="87"/>
      <c r="C25" s="88"/>
      <c r="D25" s="89"/>
      <c r="E25" s="85"/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/>
      <c r="B26" s="87"/>
      <c r="C26" s="88"/>
      <c r="D26" s="89"/>
      <c r="E26" s="85"/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/>
      <c r="B27" s="87"/>
      <c r="C27" s="88"/>
      <c r="D27" s="89"/>
      <c r="E27" s="85"/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/>
      <c r="B28" s="87"/>
      <c r="C28" s="88"/>
      <c r="D28" s="89"/>
      <c r="E28" s="85"/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/>
      <c r="B29" s="87"/>
      <c r="C29" s="88"/>
      <c r="D29" s="89"/>
      <c r="E29" s="85"/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/>
      <c r="B30" s="90"/>
      <c r="C30" s="88"/>
      <c r="D30" s="89"/>
      <c r="E30" s="85"/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/>
      <c r="B31" s="90"/>
      <c r="C31" s="88"/>
      <c r="D31" s="89"/>
      <c r="E31" s="85"/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/>
      <c r="B32" s="90"/>
      <c r="C32" s="88"/>
      <c r="D32" s="89"/>
      <c r="E32" s="85"/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/>
      <c r="B33" s="90"/>
      <c r="C33" s="88"/>
      <c r="D33" s="89"/>
      <c r="E33" s="85"/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/>
      <c r="B34" s="90"/>
      <c r="C34" s="88"/>
      <c r="D34" s="89"/>
      <c r="E34" s="85"/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/>
      <c r="B35" s="90"/>
      <c r="C35" s="88"/>
      <c r="D35" s="89"/>
      <c r="E35" s="85"/>
      <c r="G35" s="59"/>
      <c r="J35" s="59"/>
      <c r="K35" s="65"/>
      <c r="L35" s="60"/>
      <c r="N35" s="60"/>
    </row>
    <row r="36" spans="1:15" ht="15" x14ac:dyDescent="0.3">
      <c r="A36" s="86"/>
      <c r="B36" s="90"/>
      <c r="C36" s="88"/>
      <c r="D36" s="89"/>
      <c r="E36" s="85"/>
      <c r="G36" s="66"/>
      <c r="H36" s="66"/>
    </row>
    <row r="37" spans="1:15" ht="15" x14ac:dyDescent="0.3">
      <c r="A37" s="86"/>
      <c r="B37" s="90"/>
      <c r="C37" s="88"/>
      <c r="D37" s="89"/>
      <c r="E37" s="85"/>
    </row>
    <row r="38" spans="1:15" ht="15" x14ac:dyDescent="0.3">
      <c r="A38" s="86"/>
      <c r="B38" s="90"/>
      <c r="C38" s="88"/>
      <c r="D38" s="89"/>
      <c r="E38" s="85"/>
    </row>
    <row r="39" spans="1:15" ht="15" x14ac:dyDescent="0.3">
      <c r="A39" s="86"/>
      <c r="B39" s="90"/>
      <c r="C39" s="88"/>
      <c r="D39" s="89"/>
      <c r="E39" s="85"/>
    </row>
    <row r="40" spans="1:15" ht="14.25" customHeight="1" x14ac:dyDescent="0.3">
      <c r="A40" s="91"/>
      <c r="B40" s="92"/>
      <c r="C40" s="93"/>
      <c r="D40" s="94"/>
      <c r="E40" s="95"/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119.24816</v>
      </c>
      <c r="C42" s="98">
        <f>SUM(C21:C40)</f>
        <v>46.658069999999995</v>
      </c>
      <c r="D42" s="99">
        <f>SUM(D21:D40)</f>
        <v>72.590089999999989</v>
      </c>
    </row>
    <row r="43" spans="1:15" ht="15.75" customHeight="1" x14ac:dyDescent="0.3">
      <c r="A43" s="100" t="s">
        <v>47</v>
      </c>
      <c r="B43" s="101">
        <f>AVERAGE(B21:B40)</f>
        <v>39.749386666666666</v>
      </c>
      <c r="C43" s="102">
        <f>AVERAGE(C21:C40)</f>
        <v>15.552689999999998</v>
      </c>
      <c r="D43" s="103">
        <f>AVERAGE(D21:D40)</f>
        <v>24.196696666666664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478">
        <f>D43</f>
        <v>24.196696666666664</v>
      </c>
      <c r="C47" s="107">
        <f>-(IF(D43&gt;300, 7.5%, 10%))</f>
        <v>-0.1</v>
      </c>
      <c r="D47" s="108">
        <f>IF(D43&lt;300, D43*0.9, D43*0.925)</f>
        <v>21.777026999999997</v>
      </c>
    </row>
    <row r="48" spans="1:15" ht="15.75" customHeight="1" x14ac:dyDescent="0.3">
      <c r="B48" s="479"/>
      <c r="C48" s="109">
        <f>+(IF(D43&gt;300, 7.5%, 10%))</f>
        <v>0.1</v>
      </c>
      <c r="D48" s="108">
        <f>IF(D43&lt;300, D43*1.1, D43*1.075)</f>
        <v>26.616366333333332</v>
      </c>
    </row>
    <row r="49" spans="1:7" ht="14.25" customHeight="1" x14ac:dyDescent="0.3">
      <c r="A49" s="110"/>
      <c r="D49" s="111"/>
    </row>
    <row r="50" spans="1:7" ht="15" customHeight="1" x14ac:dyDescent="0.3">
      <c r="B50" s="472" t="s">
        <v>26</v>
      </c>
      <c r="C50" s="472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8" zoomScale="46" zoomScaleNormal="40" zoomScalePageLayoutView="46" workbookViewId="0">
      <selection activeCell="B58" sqref="B5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0" t="s">
        <v>49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50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x14ac:dyDescent="0.3">
      <c r="A15" s="119"/>
    </row>
    <row r="16" spans="1:9" ht="19.5" customHeight="1" x14ac:dyDescent="0.3">
      <c r="A16" s="483" t="s">
        <v>31</v>
      </c>
      <c r="B16" s="484"/>
      <c r="C16" s="484"/>
      <c r="D16" s="484"/>
      <c r="E16" s="484"/>
      <c r="F16" s="484"/>
      <c r="G16" s="484"/>
      <c r="H16" s="485"/>
    </row>
    <row r="17" spans="1:14" ht="20.25" customHeight="1" x14ac:dyDescent="0.25">
      <c r="A17" s="486" t="s">
        <v>51</v>
      </c>
      <c r="B17" s="486"/>
      <c r="C17" s="486"/>
      <c r="D17" s="486"/>
      <c r="E17" s="486"/>
      <c r="F17" s="486"/>
      <c r="G17" s="486"/>
      <c r="H17" s="486"/>
    </row>
    <row r="18" spans="1:14" ht="26.25" customHeight="1" x14ac:dyDescent="0.4">
      <c r="A18" s="121" t="s">
        <v>33</v>
      </c>
      <c r="B18" s="482" t="s">
        <v>5</v>
      </c>
      <c r="C18" s="482"/>
      <c r="D18" s="265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274">
        <v>1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487" t="s">
        <v>9</v>
      </c>
      <c r="C20" s="487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125"/>
    </row>
    <row r="22" spans="1:14" ht="26.25" customHeight="1" x14ac:dyDescent="0.4">
      <c r="A22" s="121" t="s">
        <v>37</v>
      </c>
      <c r="B22" s="308">
        <v>43317.365451388891</v>
      </c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308">
        <v>43347</v>
      </c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6"/>
    </row>
    <row r="25" spans="1:14" ht="18.75" x14ac:dyDescent="0.3">
      <c r="A25" s="127" t="s">
        <v>1</v>
      </c>
      <c r="B25" s="126"/>
    </row>
    <row r="26" spans="1:14" ht="26.25" customHeight="1" x14ac:dyDescent="0.4">
      <c r="A26" s="128" t="s">
        <v>4</v>
      </c>
      <c r="B26" s="482" t="s">
        <v>133</v>
      </c>
      <c r="C26" s="482"/>
    </row>
    <row r="27" spans="1:14" ht="26.25" customHeight="1" x14ac:dyDescent="0.4">
      <c r="A27" s="129" t="s">
        <v>52</v>
      </c>
      <c r="B27" s="488" t="s">
        <v>134</v>
      </c>
      <c r="C27" s="488"/>
    </row>
    <row r="28" spans="1:14" ht="27" customHeight="1" x14ac:dyDescent="0.4">
      <c r="A28" s="129" t="s">
        <v>6</v>
      </c>
      <c r="B28" s="130">
        <v>99</v>
      </c>
    </row>
    <row r="29" spans="1:14" s="14" customFormat="1" ht="27" customHeight="1" x14ac:dyDescent="0.4">
      <c r="A29" s="129" t="s">
        <v>53</v>
      </c>
      <c r="B29" s="131">
        <v>0</v>
      </c>
      <c r="C29" s="489" t="s">
        <v>54</v>
      </c>
      <c r="D29" s="490"/>
      <c r="E29" s="490"/>
      <c r="F29" s="490"/>
      <c r="G29" s="491"/>
      <c r="I29" s="132"/>
      <c r="J29" s="132"/>
      <c r="K29" s="132"/>
      <c r="L29" s="132"/>
    </row>
    <row r="30" spans="1:14" s="14" customFormat="1" ht="19.5" customHeight="1" x14ac:dyDescent="0.3">
      <c r="A30" s="129" t="s">
        <v>55</v>
      </c>
      <c r="B30" s="133">
        <f>B28-B29</f>
        <v>99</v>
      </c>
      <c r="C30" s="134"/>
      <c r="D30" s="134"/>
      <c r="E30" s="134"/>
      <c r="F30" s="134"/>
      <c r="G30" s="135"/>
      <c r="I30" s="132"/>
      <c r="J30" s="132"/>
      <c r="K30" s="132"/>
      <c r="L30" s="132"/>
    </row>
    <row r="31" spans="1:14" s="14" customFormat="1" ht="27" customHeight="1" x14ac:dyDescent="0.4">
      <c r="A31" s="129" t="s">
        <v>56</v>
      </c>
      <c r="B31" s="136">
        <v>1</v>
      </c>
      <c r="C31" s="492" t="s">
        <v>57</v>
      </c>
      <c r="D31" s="493"/>
      <c r="E31" s="493"/>
      <c r="F31" s="493"/>
      <c r="G31" s="493"/>
      <c r="H31" s="494"/>
      <c r="I31" s="132"/>
      <c r="J31" s="132"/>
      <c r="K31" s="132"/>
      <c r="L31" s="132"/>
    </row>
    <row r="32" spans="1:14" s="14" customFormat="1" ht="27" customHeight="1" x14ac:dyDescent="0.4">
      <c r="A32" s="129" t="s">
        <v>58</v>
      </c>
      <c r="B32" s="136">
        <v>1</v>
      </c>
      <c r="C32" s="492" t="s">
        <v>59</v>
      </c>
      <c r="D32" s="493"/>
      <c r="E32" s="493"/>
      <c r="F32" s="493"/>
      <c r="G32" s="493"/>
      <c r="H32" s="494"/>
      <c r="I32" s="132"/>
      <c r="J32" s="132"/>
      <c r="K32" s="132"/>
      <c r="L32" s="137"/>
      <c r="M32" s="137"/>
      <c r="N32" s="138"/>
    </row>
    <row r="33" spans="1:14" s="14" customFormat="1" ht="17.25" customHeight="1" x14ac:dyDescent="0.3">
      <c r="A33" s="129"/>
      <c r="B33" s="139"/>
      <c r="C33" s="140"/>
      <c r="D33" s="140"/>
      <c r="E33" s="140"/>
      <c r="F33" s="140"/>
      <c r="G33" s="140"/>
      <c r="H33" s="140"/>
      <c r="I33" s="132"/>
      <c r="J33" s="132"/>
      <c r="K33" s="132"/>
      <c r="L33" s="137"/>
      <c r="M33" s="137"/>
      <c r="N33" s="138"/>
    </row>
    <row r="34" spans="1:14" s="14" customFormat="1" ht="18.75" x14ac:dyDescent="0.3">
      <c r="A34" s="129" t="s">
        <v>60</v>
      </c>
      <c r="B34" s="141">
        <f>B31/B32</f>
        <v>1</v>
      </c>
      <c r="C34" s="120" t="s">
        <v>61</v>
      </c>
      <c r="D34" s="120"/>
      <c r="E34" s="120"/>
      <c r="F34" s="120"/>
      <c r="G34" s="120"/>
      <c r="I34" s="132"/>
      <c r="J34" s="132"/>
      <c r="K34" s="132"/>
      <c r="L34" s="137"/>
      <c r="M34" s="137"/>
      <c r="N34" s="138"/>
    </row>
    <row r="35" spans="1:14" s="14" customFormat="1" ht="19.5" customHeight="1" x14ac:dyDescent="0.3">
      <c r="A35" s="129"/>
      <c r="B35" s="133"/>
      <c r="G35" s="120"/>
      <c r="I35" s="132"/>
      <c r="J35" s="132"/>
      <c r="K35" s="132"/>
      <c r="L35" s="137"/>
      <c r="M35" s="137"/>
      <c r="N35" s="138"/>
    </row>
    <row r="36" spans="1:14" s="14" customFormat="1" ht="27" customHeight="1" x14ac:dyDescent="0.4">
      <c r="A36" s="142" t="s">
        <v>106</v>
      </c>
      <c r="B36" s="143">
        <v>25</v>
      </c>
      <c r="C36" s="120"/>
      <c r="D36" s="495" t="s">
        <v>62</v>
      </c>
      <c r="E36" s="496"/>
      <c r="F36" s="495" t="s">
        <v>63</v>
      </c>
      <c r="G36" s="497"/>
      <c r="J36" s="132"/>
      <c r="K36" s="132"/>
      <c r="L36" s="137"/>
      <c r="M36" s="137"/>
      <c r="N36" s="138"/>
    </row>
    <row r="37" spans="1:14" s="14" customFormat="1" ht="27" customHeight="1" x14ac:dyDescent="0.4">
      <c r="A37" s="144" t="s">
        <v>64</v>
      </c>
      <c r="B37" s="145">
        <v>5</v>
      </c>
      <c r="C37" s="146" t="s">
        <v>88</v>
      </c>
      <c r="D37" s="147" t="s">
        <v>65</v>
      </c>
      <c r="E37" s="148" t="s">
        <v>66</v>
      </c>
      <c r="F37" s="147" t="s">
        <v>65</v>
      </c>
      <c r="G37" s="149" t="s">
        <v>66</v>
      </c>
      <c r="I37" s="150" t="s">
        <v>107</v>
      </c>
      <c r="J37" s="132"/>
      <c r="K37" s="132"/>
      <c r="L37" s="137"/>
      <c r="M37" s="137"/>
      <c r="N37" s="138"/>
    </row>
    <row r="38" spans="1:14" s="14" customFormat="1" ht="26.25" customHeight="1" x14ac:dyDescent="0.4">
      <c r="A38" s="144" t="s">
        <v>67</v>
      </c>
      <c r="B38" s="145">
        <v>10</v>
      </c>
      <c r="C38" s="151">
        <v>1</v>
      </c>
      <c r="D38" s="152">
        <v>318004</v>
      </c>
      <c r="E38" s="153">
        <f>IF(ISBLANK(D38),"-",$D$48/$D$45*D38)</f>
        <v>324133.36187301873</v>
      </c>
      <c r="F38" s="152">
        <v>332917</v>
      </c>
      <c r="G38" s="154">
        <f>IF(ISBLANK(F38),"-",$D$48/$F$45*F38)</f>
        <v>330333.78976404516</v>
      </c>
      <c r="I38" s="155"/>
      <c r="J38" s="132"/>
      <c r="K38" s="132"/>
      <c r="L38" s="137"/>
      <c r="M38" s="137"/>
      <c r="N38" s="138"/>
    </row>
    <row r="39" spans="1:14" s="14" customFormat="1" ht="26.25" customHeight="1" x14ac:dyDescent="0.4">
      <c r="A39" s="144" t="s">
        <v>68</v>
      </c>
      <c r="B39" s="145">
        <v>1</v>
      </c>
      <c r="C39" s="156">
        <v>2</v>
      </c>
      <c r="D39" s="157">
        <v>321076</v>
      </c>
      <c r="E39" s="158">
        <f>IF(ISBLANK(D39),"-",$D$48/$D$45*D39)</f>
        <v>327264.57307688385</v>
      </c>
      <c r="F39" s="157">
        <v>335941</v>
      </c>
      <c r="G39" s="159">
        <f>IF(ISBLANK(F39),"-",$D$48/$F$45*F39)</f>
        <v>333334.32557401125</v>
      </c>
      <c r="I39" s="499">
        <f>ABS((F43/D43*D42)-F42)/D42</f>
        <v>1.7358541631782173E-2</v>
      </c>
      <c r="J39" s="132"/>
      <c r="K39" s="132"/>
      <c r="L39" s="137"/>
      <c r="M39" s="137"/>
      <c r="N39" s="138"/>
    </row>
    <row r="40" spans="1:14" ht="26.25" customHeight="1" x14ac:dyDescent="0.4">
      <c r="A40" s="144" t="s">
        <v>69</v>
      </c>
      <c r="B40" s="145">
        <v>1</v>
      </c>
      <c r="C40" s="156">
        <v>3</v>
      </c>
      <c r="D40" s="157">
        <v>323440</v>
      </c>
      <c r="E40" s="158">
        <f>IF(ISBLANK(D40),"-",$D$48/$D$45*D40)</f>
        <v>329674.13794860814</v>
      </c>
      <c r="F40" s="157">
        <v>336594</v>
      </c>
      <c r="G40" s="159">
        <f>IF(ISBLANK(F40),"-",$D$48/$F$45*F40)</f>
        <v>333982.25873667921</v>
      </c>
      <c r="I40" s="499"/>
      <c r="L40" s="137"/>
      <c r="M40" s="137"/>
      <c r="N40" s="160"/>
    </row>
    <row r="41" spans="1:14" ht="27" customHeight="1" x14ac:dyDescent="0.4">
      <c r="A41" s="144" t="s">
        <v>70</v>
      </c>
      <c r="B41" s="145">
        <v>1</v>
      </c>
      <c r="C41" s="161">
        <v>4</v>
      </c>
      <c r="D41" s="162"/>
      <c r="E41" s="163" t="str">
        <f>IF(ISBLANK(D41),"-",$D$48/$D$45*D41)</f>
        <v>-</v>
      </c>
      <c r="F41" s="162"/>
      <c r="G41" s="164" t="str">
        <f>IF(ISBLANK(F41),"-",$D$48/$F$45*F41)</f>
        <v>-</v>
      </c>
      <c r="I41" s="165"/>
      <c r="L41" s="137"/>
      <c r="M41" s="137"/>
      <c r="N41" s="160"/>
    </row>
    <row r="42" spans="1:14" ht="27" customHeight="1" x14ac:dyDescent="0.4">
      <c r="A42" s="144" t="s">
        <v>71</v>
      </c>
      <c r="B42" s="145">
        <v>1</v>
      </c>
      <c r="C42" s="166" t="s">
        <v>72</v>
      </c>
      <c r="D42" s="167">
        <f>AVERAGE(D38:D41)</f>
        <v>320840</v>
      </c>
      <c r="E42" s="168">
        <f>AVERAGE(E38:E41)</f>
        <v>327024.0242995036</v>
      </c>
      <c r="F42" s="167">
        <f>AVERAGE(F38:F41)</f>
        <v>335150.66666666669</v>
      </c>
      <c r="G42" s="169">
        <f>AVERAGE(G38:G41)</f>
        <v>332550.1246915785</v>
      </c>
      <c r="H42" s="170"/>
    </row>
    <row r="43" spans="1:14" ht="26.25" customHeight="1" x14ac:dyDescent="0.4">
      <c r="A43" s="144" t="s">
        <v>73</v>
      </c>
      <c r="B43" s="145">
        <v>1</v>
      </c>
      <c r="C43" s="171" t="s">
        <v>74</v>
      </c>
      <c r="D43" s="172">
        <v>9.91</v>
      </c>
      <c r="E43" s="160"/>
      <c r="F43" s="172">
        <v>10.18</v>
      </c>
      <c r="H43" s="170"/>
    </row>
    <row r="44" spans="1:14" ht="26.25" customHeight="1" x14ac:dyDescent="0.4">
      <c r="A44" s="144" t="s">
        <v>75</v>
      </c>
      <c r="B44" s="145">
        <v>1</v>
      </c>
      <c r="C44" s="173" t="s">
        <v>76</v>
      </c>
      <c r="D44" s="174">
        <f>D43*$B$34</f>
        <v>9.91</v>
      </c>
      <c r="E44" s="175"/>
      <c r="F44" s="174">
        <f>F43*$B$34</f>
        <v>10.18</v>
      </c>
      <c r="H44" s="170"/>
    </row>
    <row r="45" spans="1:14" ht="19.5" customHeight="1" x14ac:dyDescent="0.3">
      <c r="A45" s="144" t="s">
        <v>77</v>
      </c>
      <c r="B45" s="176">
        <f>(B44/B43)*(B42/B41)*(B40/B39)*(B38/B37)*B36</f>
        <v>50</v>
      </c>
      <c r="C45" s="173" t="s">
        <v>78</v>
      </c>
      <c r="D45" s="177">
        <f>D44*$B$30/100</f>
        <v>9.8109000000000002</v>
      </c>
      <c r="E45" s="178"/>
      <c r="F45" s="177">
        <f>F44*$B$30/100</f>
        <v>10.078199999999999</v>
      </c>
      <c r="H45" s="170"/>
    </row>
    <row r="46" spans="1:14" ht="19.5" customHeight="1" x14ac:dyDescent="0.3">
      <c r="A46" s="500" t="s">
        <v>79</v>
      </c>
      <c r="B46" s="501"/>
      <c r="C46" s="173" t="s">
        <v>80</v>
      </c>
      <c r="D46" s="179">
        <f>D45/$B$45</f>
        <v>0.196218</v>
      </c>
      <c r="E46" s="180"/>
      <c r="F46" s="181">
        <f>F45/$B$45</f>
        <v>0.20156399999999997</v>
      </c>
      <c r="H46" s="170"/>
    </row>
    <row r="47" spans="1:14" ht="27" customHeight="1" x14ac:dyDescent="0.4">
      <c r="A47" s="502"/>
      <c r="B47" s="503"/>
      <c r="C47" s="182" t="s">
        <v>81</v>
      </c>
      <c r="D47" s="183">
        <v>0.2</v>
      </c>
      <c r="E47" s="184"/>
      <c r="F47" s="180"/>
      <c r="H47" s="170"/>
    </row>
    <row r="48" spans="1:14" ht="18.75" x14ac:dyDescent="0.3">
      <c r="C48" s="185" t="s">
        <v>82</v>
      </c>
      <c r="D48" s="177">
        <f>D47*$B$45</f>
        <v>10</v>
      </c>
      <c r="F48" s="186"/>
      <c r="H48" s="170"/>
    </row>
    <row r="49" spans="1:12" ht="19.5" customHeight="1" x14ac:dyDescent="0.3">
      <c r="C49" s="187" t="s">
        <v>83</v>
      </c>
      <c r="D49" s="188">
        <f>D48/B34</f>
        <v>10</v>
      </c>
      <c r="F49" s="186"/>
      <c r="H49" s="170"/>
    </row>
    <row r="50" spans="1:12" ht="18.75" x14ac:dyDescent="0.3">
      <c r="C50" s="142" t="s">
        <v>84</v>
      </c>
      <c r="D50" s="189">
        <f>AVERAGE(E38:E41,G38:G41)</f>
        <v>329787.07449554111</v>
      </c>
      <c r="F50" s="190"/>
      <c r="H50" s="170"/>
    </row>
    <row r="51" spans="1:12" ht="18.75" x14ac:dyDescent="0.3">
      <c r="C51" s="144" t="s">
        <v>85</v>
      </c>
      <c r="D51" s="191">
        <f>STDEV(E38:E41,G38:G41)/D50</f>
        <v>1.1249780376278148E-2</v>
      </c>
      <c r="F51" s="190"/>
      <c r="H51" s="170"/>
    </row>
    <row r="52" spans="1:12" ht="19.5" customHeight="1" x14ac:dyDescent="0.3">
      <c r="C52" s="192" t="s">
        <v>20</v>
      </c>
      <c r="D52" s="193">
        <f>COUNT(E38:E41,G38:G41)</f>
        <v>6</v>
      </c>
      <c r="F52" s="190"/>
    </row>
    <row r="54" spans="1:12" ht="18.75" x14ac:dyDescent="0.3">
      <c r="A54" s="194" t="s">
        <v>1</v>
      </c>
      <c r="B54" s="195" t="s">
        <v>86</v>
      </c>
    </row>
    <row r="55" spans="1:12" ht="18.75" x14ac:dyDescent="0.3">
      <c r="A55" s="120" t="s">
        <v>87</v>
      </c>
      <c r="B55" s="196" t="str">
        <f>B21</f>
        <v>Each 5ml reconstituted suspension contains: Artemether 15 mg and Lumefantrine 90 mg</v>
      </c>
    </row>
    <row r="56" spans="1:12" ht="26.25" customHeight="1" x14ac:dyDescent="0.4">
      <c r="A56" s="197" t="s">
        <v>137</v>
      </c>
      <c r="B56" s="372">
        <f>60/5*15</f>
        <v>180</v>
      </c>
      <c r="C56" s="120" t="str">
        <f>B20</f>
        <v>Artemether &amp; Lumefantrine</v>
      </c>
      <c r="H56" s="198"/>
    </row>
    <row r="57" spans="1:12" ht="18.75" x14ac:dyDescent="0.3">
      <c r="A57" s="196" t="s">
        <v>138</v>
      </c>
      <c r="B57" s="266">
        <f>Uniformity!D43</f>
        <v>24.196696666666664</v>
      </c>
      <c r="H57" s="198"/>
    </row>
    <row r="58" spans="1:12" ht="19.5" customHeight="1" x14ac:dyDescent="0.3">
      <c r="H58" s="198"/>
    </row>
    <row r="59" spans="1:12" s="14" customFormat="1" ht="27" customHeight="1" x14ac:dyDescent="0.4">
      <c r="A59" s="142" t="s">
        <v>108</v>
      </c>
      <c r="B59" s="143">
        <v>100</v>
      </c>
      <c r="C59" s="120"/>
      <c r="D59" s="199" t="s">
        <v>109</v>
      </c>
      <c r="E59" s="200" t="s">
        <v>88</v>
      </c>
      <c r="F59" s="200" t="s">
        <v>65</v>
      </c>
      <c r="G59" s="200" t="s">
        <v>89</v>
      </c>
      <c r="H59" s="146" t="s">
        <v>90</v>
      </c>
      <c r="L59" s="132"/>
    </row>
    <row r="60" spans="1:12" s="14" customFormat="1" ht="26.25" customHeight="1" x14ac:dyDescent="0.4">
      <c r="A60" s="144" t="s">
        <v>110</v>
      </c>
      <c r="B60" s="145">
        <v>1</v>
      </c>
      <c r="C60" s="504" t="s">
        <v>92</v>
      </c>
      <c r="D60" s="507">
        <v>2.7401599999999999</v>
      </c>
      <c r="E60" s="201">
        <v>1</v>
      </c>
      <c r="F60" s="202">
        <v>298585</v>
      </c>
      <c r="G60" s="267">
        <f>IF(ISBLANK(F60),"-",(F60/$D$50*$D$47*$B$68)*($B$57/$D$60))</f>
        <v>159.89854417037171</v>
      </c>
      <c r="H60" s="285">
        <f t="shared" ref="H60:H71" si="0">IF(ISBLANK(F60),"-",(G60/$B$56)*100)</f>
        <v>88.832524539095388</v>
      </c>
      <c r="L60" s="132"/>
    </row>
    <row r="61" spans="1:12" s="14" customFormat="1" ht="26.25" customHeight="1" x14ac:dyDescent="0.4">
      <c r="A61" s="144" t="s">
        <v>93</v>
      </c>
      <c r="B61" s="145">
        <v>1</v>
      </c>
      <c r="C61" s="505"/>
      <c r="D61" s="508"/>
      <c r="E61" s="203">
        <v>2</v>
      </c>
      <c r="F61" s="157">
        <v>300416</v>
      </c>
      <c r="G61" s="268">
        <f>IF(ISBLANK(F61),"-",(F61/$D$50*$D$47*$B$68)*($B$57/$D$60))</f>
        <v>160.87908316052844</v>
      </c>
      <c r="H61" s="286">
        <f t="shared" si="0"/>
        <v>89.377268422515797</v>
      </c>
      <c r="L61" s="132"/>
    </row>
    <row r="62" spans="1:12" s="14" customFormat="1" ht="26.25" customHeight="1" x14ac:dyDescent="0.4">
      <c r="A62" s="144" t="s">
        <v>94</v>
      </c>
      <c r="B62" s="145">
        <v>1</v>
      </c>
      <c r="C62" s="505"/>
      <c r="D62" s="508"/>
      <c r="E62" s="203">
        <v>3</v>
      </c>
      <c r="F62" s="204">
        <v>303868</v>
      </c>
      <c r="G62" s="268">
        <f>IF(ISBLANK(F62),"-",(F62/$D$50*$D$47*$B$68)*($B$57/$D$60))</f>
        <v>162.72770172635097</v>
      </c>
      <c r="H62" s="286">
        <f t="shared" si="0"/>
        <v>90.404278736861656</v>
      </c>
      <c r="L62" s="132"/>
    </row>
    <row r="63" spans="1:12" ht="27" customHeight="1" x14ac:dyDescent="0.4">
      <c r="A63" s="144" t="s">
        <v>95</v>
      </c>
      <c r="B63" s="145">
        <v>1</v>
      </c>
      <c r="C63" s="506"/>
      <c r="D63" s="509"/>
      <c r="E63" s="205">
        <v>4</v>
      </c>
      <c r="F63" s="206"/>
      <c r="G63" s="268" t="str">
        <f>IF(ISBLANK(F63),"-",(F63/$D$50*$D$47*$B$68)*($B$57/$D$60))</f>
        <v>-</v>
      </c>
      <c r="H63" s="286" t="str">
        <f t="shared" si="0"/>
        <v>-</v>
      </c>
    </row>
    <row r="64" spans="1:12" ht="26.25" customHeight="1" x14ac:dyDescent="0.4">
      <c r="A64" s="144" t="s">
        <v>96</v>
      </c>
      <c r="B64" s="145">
        <v>1</v>
      </c>
      <c r="C64" s="504" t="s">
        <v>97</v>
      </c>
      <c r="D64" s="507">
        <v>2.78152</v>
      </c>
      <c r="E64" s="201">
        <v>1</v>
      </c>
      <c r="F64" s="202">
        <v>308658</v>
      </c>
      <c r="G64" s="267">
        <f>IF(ISBLANK(F64),"-",(F64/$D$50*$D$47*$B$68)*($B$57/$D$64))</f>
        <v>162.83501423073139</v>
      </c>
      <c r="H64" s="285">
        <f t="shared" si="0"/>
        <v>90.463896794850768</v>
      </c>
    </row>
    <row r="65" spans="1:8" ht="26.25" customHeight="1" x14ac:dyDescent="0.4">
      <c r="A65" s="144" t="s">
        <v>98</v>
      </c>
      <c r="B65" s="145">
        <v>1</v>
      </c>
      <c r="C65" s="505"/>
      <c r="D65" s="508"/>
      <c r="E65" s="203">
        <v>2</v>
      </c>
      <c r="F65" s="157">
        <v>312174</v>
      </c>
      <c r="G65" s="268">
        <f>IF(ISBLANK(F65),"-",(F65/$D$50*$D$47*$B$68)*($B$57/$D$64))</f>
        <v>164.68990835314278</v>
      </c>
      <c r="H65" s="286">
        <f t="shared" si="0"/>
        <v>91.494393529523762</v>
      </c>
    </row>
    <row r="66" spans="1:8" ht="26.25" customHeight="1" x14ac:dyDescent="0.4">
      <c r="A66" s="144" t="s">
        <v>99</v>
      </c>
      <c r="B66" s="145">
        <v>1</v>
      </c>
      <c r="C66" s="505"/>
      <c r="D66" s="508"/>
      <c r="E66" s="203">
        <v>3</v>
      </c>
      <c r="F66" s="157">
        <v>311945</v>
      </c>
      <c r="G66" s="268">
        <f>IF(ISBLANK(F66),"-",(F66/$D$50*$D$47*$B$68)*($B$57/$D$64))</f>
        <v>164.56909755848059</v>
      </c>
      <c r="H66" s="286">
        <f t="shared" si="0"/>
        <v>91.42727642137811</v>
      </c>
    </row>
    <row r="67" spans="1:8" ht="27" customHeight="1" x14ac:dyDescent="0.4">
      <c r="A67" s="144" t="s">
        <v>100</v>
      </c>
      <c r="B67" s="145">
        <v>1</v>
      </c>
      <c r="C67" s="506"/>
      <c r="D67" s="509"/>
      <c r="E67" s="205">
        <v>4</v>
      </c>
      <c r="F67" s="206"/>
      <c r="G67" s="284" t="str">
        <f>IF(ISBLANK(F67),"-",(F67/$D$50*$D$47*$B$68)*($B$57/$D$64))</f>
        <v>-</v>
      </c>
      <c r="H67" s="287" t="str">
        <f t="shared" si="0"/>
        <v>-</v>
      </c>
    </row>
    <row r="68" spans="1:8" ht="26.25" customHeight="1" x14ac:dyDescent="0.4">
      <c r="A68" s="144" t="s">
        <v>101</v>
      </c>
      <c r="B68" s="207">
        <f>(B67/B66)*(B65/B64)*(B63/B62)*(B61/B60)*B59</f>
        <v>100</v>
      </c>
      <c r="C68" s="504" t="s">
        <v>102</v>
      </c>
      <c r="D68" s="507">
        <v>2.6231</v>
      </c>
      <c r="E68" s="201">
        <v>1</v>
      </c>
      <c r="F68" s="202">
        <v>286002</v>
      </c>
      <c r="G68" s="267">
        <f>IF(ISBLANK(F68),"-",(F68/$D$50*$D$47*$B$68)*($B$57/$D$68))</f>
        <v>159.99509491326634</v>
      </c>
      <c r="H68" s="286">
        <f t="shared" si="0"/>
        <v>88.886163840703531</v>
      </c>
    </row>
    <row r="69" spans="1:8" ht="27" customHeight="1" x14ac:dyDescent="0.4">
      <c r="A69" s="192" t="s">
        <v>111</v>
      </c>
      <c r="B69" s="208">
        <f>(D47*B68)/B56*B57</f>
        <v>2.6885218518518514</v>
      </c>
      <c r="C69" s="505"/>
      <c r="D69" s="508"/>
      <c r="E69" s="203">
        <v>2</v>
      </c>
      <c r="F69" s="157">
        <v>286682</v>
      </c>
      <c r="G69" s="268">
        <f>IF(ISBLANK(F69),"-",(F69/$D$50*$D$47*$B$68)*($B$57/$D$68))</f>
        <v>160.37550017106531</v>
      </c>
      <c r="H69" s="286">
        <f t="shared" si="0"/>
        <v>89.097500095036281</v>
      </c>
    </row>
    <row r="70" spans="1:8" ht="26.25" customHeight="1" x14ac:dyDescent="0.4">
      <c r="A70" s="517" t="s">
        <v>79</v>
      </c>
      <c r="B70" s="518"/>
      <c r="C70" s="505"/>
      <c r="D70" s="508"/>
      <c r="E70" s="203">
        <v>3</v>
      </c>
      <c r="F70" s="157">
        <v>289733</v>
      </c>
      <c r="G70" s="268">
        <f>IF(ISBLANK(F70),"-",(F70/$D$50*$D$47*$B$68)*($B$57/$D$68))</f>
        <v>162.08228905568981</v>
      </c>
      <c r="H70" s="286">
        <f t="shared" si="0"/>
        <v>90.045716142049898</v>
      </c>
    </row>
    <row r="71" spans="1:8" ht="27" customHeight="1" x14ac:dyDescent="0.4">
      <c r="A71" s="519"/>
      <c r="B71" s="520"/>
      <c r="C71" s="516"/>
      <c r="D71" s="509"/>
      <c r="E71" s="205">
        <v>4</v>
      </c>
      <c r="F71" s="206"/>
      <c r="G71" s="284" t="str">
        <f>IF(ISBLANK(F71),"-",(F71/$D$50*$D$47*$B$68)*($B$57/$D$68))</f>
        <v>-</v>
      </c>
      <c r="H71" s="287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1" t="s">
        <v>72</v>
      </c>
      <c r="G72" s="273">
        <f>AVERAGE(G60:G71)</f>
        <v>162.00580370440306</v>
      </c>
      <c r="H72" s="288">
        <f>AVERAGE(H60:H71)</f>
        <v>90.003224280223904</v>
      </c>
    </row>
    <row r="73" spans="1:8" ht="26.25" customHeight="1" x14ac:dyDescent="0.4">
      <c r="C73" s="209"/>
      <c r="D73" s="209"/>
      <c r="E73" s="209"/>
      <c r="F73" s="212" t="s">
        <v>85</v>
      </c>
      <c r="G73" s="272">
        <f>STDEV(G60:G71)/G72</f>
        <v>1.142358716105338E-2</v>
      </c>
      <c r="H73" s="272">
        <f>STDEV(H60:H71)/H72</f>
        <v>1.142358716105338E-2</v>
      </c>
    </row>
    <row r="74" spans="1:8" ht="27" customHeight="1" x14ac:dyDescent="0.4">
      <c r="A74" s="209"/>
      <c r="B74" s="209"/>
      <c r="C74" s="210"/>
      <c r="D74" s="210"/>
      <c r="E74" s="213"/>
      <c r="F74" s="214" t="s">
        <v>20</v>
      </c>
      <c r="G74" s="215">
        <f>COUNT(G60:G71)</f>
        <v>9</v>
      </c>
      <c r="H74" s="215">
        <f>COUNT(H60:H71)</f>
        <v>9</v>
      </c>
    </row>
    <row r="76" spans="1:8" ht="26.25" customHeight="1" x14ac:dyDescent="0.4">
      <c r="A76" s="128" t="s">
        <v>103</v>
      </c>
      <c r="B76" s="216" t="s">
        <v>104</v>
      </c>
      <c r="C76" s="512" t="str">
        <f>B26</f>
        <v>Artemether</v>
      </c>
      <c r="D76" s="512"/>
      <c r="E76" s="217" t="s">
        <v>105</v>
      </c>
      <c r="F76" s="217"/>
      <c r="G76" s="304">
        <f>H72</f>
        <v>90.003224280223904</v>
      </c>
      <c r="H76" s="219"/>
    </row>
    <row r="77" spans="1:8" ht="18.75" x14ac:dyDescent="0.3">
      <c r="A77" s="127" t="s">
        <v>112</v>
      </c>
      <c r="B77" s="127" t="s">
        <v>113</v>
      </c>
    </row>
    <row r="78" spans="1:8" ht="18.75" x14ac:dyDescent="0.3">
      <c r="A78" s="127"/>
      <c r="B78" s="127"/>
    </row>
    <row r="79" spans="1:8" ht="26.25" customHeight="1" x14ac:dyDescent="0.4">
      <c r="A79" s="128" t="s">
        <v>4</v>
      </c>
      <c r="B79" s="498"/>
      <c r="C79" s="498"/>
    </row>
    <row r="80" spans="1:8" ht="26.25" customHeight="1" x14ac:dyDescent="0.4">
      <c r="A80" s="129" t="s">
        <v>52</v>
      </c>
      <c r="B80" s="498"/>
      <c r="C80" s="498"/>
    </row>
    <row r="81" spans="1:12" ht="27" customHeight="1" x14ac:dyDescent="0.4">
      <c r="A81" s="129" t="s">
        <v>6</v>
      </c>
      <c r="B81" s="220"/>
    </row>
    <row r="82" spans="1:12" s="14" customFormat="1" ht="27" customHeight="1" x14ac:dyDescent="0.4">
      <c r="A82" s="129" t="s">
        <v>53</v>
      </c>
      <c r="B82" s="131">
        <v>0</v>
      </c>
      <c r="C82" s="489" t="s">
        <v>54</v>
      </c>
      <c r="D82" s="490"/>
      <c r="E82" s="490"/>
      <c r="F82" s="490"/>
      <c r="G82" s="491"/>
      <c r="I82" s="132"/>
      <c r="J82" s="132"/>
      <c r="K82" s="132"/>
      <c r="L82" s="132"/>
    </row>
    <row r="83" spans="1:12" s="14" customFormat="1" ht="19.5" customHeight="1" x14ac:dyDescent="0.3">
      <c r="A83" s="129" t="s">
        <v>55</v>
      </c>
      <c r="B83" s="133">
        <f>B81-B82</f>
        <v>0</v>
      </c>
      <c r="C83" s="134"/>
      <c r="D83" s="134"/>
      <c r="E83" s="134"/>
      <c r="F83" s="134"/>
      <c r="G83" s="135"/>
      <c r="I83" s="132"/>
      <c r="J83" s="132"/>
      <c r="K83" s="132"/>
      <c r="L83" s="132"/>
    </row>
    <row r="84" spans="1:12" s="14" customFormat="1" ht="27" customHeight="1" x14ac:dyDescent="0.4">
      <c r="A84" s="129" t="s">
        <v>56</v>
      </c>
      <c r="B84" s="136"/>
      <c r="C84" s="492" t="s">
        <v>114</v>
      </c>
      <c r="D84" s="493"/>
      <c r="E84" s="493"/>
      <c r="F84" s="493"/>
      <c r="G84" s="493"/>
      <c r="H84" s="494"/>
      <c r="I84" s="132"/>
      <c r="J84" s="132"/>
      <c r="K84" s="132"/>
      <c r="L84" s="132"/>
    </row>
    <row r="85" spans="1:12" s="14" customFormat="1" ht="27" customHeight="1" x14ac:dyDescent="0.4">
      <c r="A85" s="129" t="s">
        <v>58</v>
      </c>
      <c r="B85" s="136"/>
      <c r="C85" s="492" t="s">
        <v>115</v>
      </c>
      <c r="D85" s="493"/>
      <c r="E85" s="493"/>
      <c r="F85" s="493"/>
      <c r="G85" s="493"/>
      <c r="H85" s="494"/>
      <c r="I85" s="132"/>
      <c r="J85" s="132"/>
      <c r="K85" s="132"/>
      <c r="L85" s="132"/>
    </row>
    <row r="86" spans="1:12" s="14" customFormat="1" ht="18.75" x14ac:dyDescent="0.3">
      <c r="A86" s="129"/>
      <c r="B86" s="139"/>
      <c r="C86" s="140"/>
      <c r="D86" s="140"/>
      <c r="E86" s="140"/>
      <c r="F86" s="140"/>
      <c r="G86" s="140"/>
      <c r="H86" s="140"/>
      <c r="I86" s="132"/>
      <c r="J86" s="132"/>
      <c r="K86" s="132"/>
      <c r="L86" s="132"/>
    </row>
    <row r="87" spans="1:12" s="14" customFormat="1" ht="18.75" x14ac:dyDescent="0.3">
      <c r="A87" s="129" t="s">
        <v>60</v>
      </c>
      <c r="B87" s="141" t="e">
        <f>B84/B85</f>
        <v>#DIV/0!</v>
      </c>
      <c r="C87" s="120" t="s">
        <v>61</v>
      </c>
      <c r="D87" s="120"/>
      <c r="E87" s="120"/>
      <c r="F87" s="120"/>
      <c r="G87" s="120"/>
      <c r="I87" s="132"/>
      <c r="J87" s="132"/>
      <c r="K87" s="132"/>
      <c r="L87" s="132"/>
    </row>
    <row r="88" spans="1:12" ht="19.5" customHeight="1" x14ac:dyDescent="0.3">
      <c r="A88" s="127"/>
      <c r="B88" s="127"/>
    </row>
    <row r="89" spans="1:12" ht="27" customHeight="1" x14ac:dyDescent="0.4">
      <c r="A89" s="142" t="s">
        <v>106</v>
      </c>
      <c r="B89" s="143"/>
      <c r="D89" s="221" t="s">
        <v>62</v>
      </c>
      <c r="E89" s="222"/>
      <c r="F89" s="495" t="s">
        <v>63</v>
      </c>
      <c r="G89" s="497"/>
    </row>
    <row r="90" spans="1:12" ht="27" customHeight="1" x14ac:dyDescent="0.4">
      <c r="A90" s="144" t="s">
        <v>64</v>
      </c>
      <c r="B90" s="145"/>
      <c r="C90" s="223" t="s">
        <v>88</v>
      </c>
      <c r="D90" s="147" t="s">
        <v>65</v>
      </c>
      <c r="E90" s="148" t="s">
        <v>66</v>
      </c>
      <c r="F90" s="147" t="s">
        <v>65</v>
      </c>
      <c r="G90" s="224" t="s">
        <v>66</v>
      </c>
      <c r="I90" s="150" t="s">
        <v>107</v>
      </c>
    </row>
    <row r="91" spans="1:12" ht="26.25" customHeight="1" x14ac:dyDescent="0.4">
      <c r="A91" s="144" t="s">
        <v>67</v>
      </c>
      <c r="B91" s="145"/>
      <c r="C91" s="225">
        <v>1</v>
      </c>
      <c r="D91" s="152"/>
      <c r="E91" s="153" t="str">
        <f>IF(ISBLANK(D91),"-",$D$101/$D$98*D91)</f>
        <v>-</v>
      </c>
      <c r="F91" s="152"/>
      <c r="G91" s="154" t="str">
        <f>IF(ISBLANK(F91),"-",$D$101/$F$98*F91)</f>
        <v>-</v>
      </c>
      <c r="I91" s="155"/>
    </row>
    <row r="92" spans="1:12" ht="26.25" customHeight="1" x14ac:dyDescent="0.4">
      <c r="A92" s="144" t="s">
        <v>68</v>
      </c>
      <c r="B92" s="145">
        <v>1</v>
      </c>
      <c r="C92" s="210">
        <v>2</v>
      </c>
      <c r="D92" s="157"/>
      <c r="E92" s="158" t="str">
        <f>IF(ISBLANK(D92),"-",$D$101/$D$98*D92)</f>
        <v>-</v>
      </c>
      <c r="F92" s="157"/>
      <c r="G92" s="159" t="str">
        <f>IF(ISBLANK(F92),"-",$D$101/$F$98*F92)</f>
        <v>-</v>
      </c>
      <c r="I92" s="499" t="e">
        <f>ABS((F96/D96*D95)-F95)/D95</f>
        <v>#DIV/0!</v>
      </c>
    </row>
    <row r="93" spans="1:12" ht="26.25" customHeight="1" x14ac:dyDescent="0.4">
      <c r="A93" s="144" t="s">
        <v>69</v>
      </c>
      <c r="B93" s="145">
        <v>1</v>
      </c>
      <c r="C93" s="210">
        <v>3</v>
      </c>
      <c r="D93" s="157"/>
      <c r="E93" s="158" t="str">
        <f>IF(ISBLANK(D93),"-",$D$101/$D$98*D93)</f>
        <v>-</v>
      </c>
      <c r="F93" s="157"/>
      <c r="G93" s="159" t="str">
        <f>IF(ISBLANK(F93),"-",$D$101/$F$98*F93)</f>
        <v>-</v>
      </c>
      <c r="I93" s="499"/>
    </row>
    <row r="94" spans="1:12" ht="27" customHeight="1" x14ac:dyDescent="0.4">
      <c r="A94" s="144" t="s">
        <v>70</v>
      </c>
      <c r="B94" s="145">
        <v>1</v>
      </c>
      <c r="C94" s="226">
        <v>4</v>
      </c>
      <c r="D94" s="162"/>
      <c r="E94" s="163" t="str">
        <f>IF(ISBLANK(D94),"-",$D$101/$D$98*D94)</f>
        <v>-</v>
      </c>
      <c r="F94" s="227"/>
      <c r="G94" s="164" t="str">
        <f>IF(ISBLANK(F94),"-",$D$101/$F$98*F94)</f>
        <v>-</v>
      </c>
      <c r="I94" s="165"/>
    </row>
    <row r="95" spans="1:12" ht="27" customHeight="1" x14ac:dyDescent="0.4">
      <c r="A95" s="144" t="s">
        <v>71</v>
      </c>
      <c r="B95" s="145">
        <v>1</v>
      </c>
      <c r="C95" s="228" t="s">
        <v>72</v>
      </c>
      <c r="D95" s="229" t="e">
        <f>AVERAGE(D91:D94)</f>
        <v>#DIV/0!</v>
      </c>
      <c r="E95" s="168" t="e">
        <f>AVERAGE(E91:E94)</f>
        <v>#DIV/0!</v>
      </c>
      <c r="F95" s="230" t="e">
        <f>AVERAGE(F91:F94)</f>
        <v>#DIV/0!</v>
      </c>
      <c r="G95" s="231" t="e">
        <f>AVERAGE(G91:G94)</f>
        <v>#DIV/0!</v>
      </c>
    </row>
    <row r="96" spans="1:12" ht="26.25" customHeight="1" x14ac:dyDescent="0.4">
      <c r="A96" s="144" t="s">
        <v>73</v>
      </c>
      <c r="B96" s="130">
        <v>1</v>
      </c>
      <c r="C96" s="232" t="s">
        <v>116</v>
      </c>
      <c r="D96" s="233"/>
      <c r="E96" s="160"/>
      <c r="F96" s="172"/>
    </row>
    <row r="97" spans="1:10" ht="26.25" customHeight="1" x14ac:dyDescent="0.4">
      <c r="A97" s="144" t="s">
        <v>75</v>
      </c>
      <c r="B97" s="130">
        <v>1</v>
      </c>
      <c r="C97" s="234" t="s">
        <v>117</v>
      </c>
      <c r="D97" s="235" t="e">
        <f>D96*$B$87</f>
        <v>#DIV/0!</v>
      </c>
      <c r="E97" s="175"/>
      <c r="F97" s="174" t="e">
        <f>F96*$B$87</f>
        <v>#DIV/0!</v>
      </c>
    </row>
    <row r="98" spans="1:10" ht="19.5" customHeight="1" x14ac:dyDescent="0.3">
      <c r="A98" s="144" t="s">
        <v>77</v>
      </c>
      <c r="B98" s="236" t="e">
        <f>(B97/B96)*(B95/B94)*(B93/B92)*(B91/B90)*B89</f>
        <v>#DIV/0!</v>
      </c>
      <c r="C98" s="234" t="s">
        <v>118</v>
      </c>
      <c r="D98" s="237" t="e">
        <f>D97*$B$83/100</f>
        <v>#DIV/0!</v>
      </c>
      <c r="E98" s="178"/>
      <c r="F98" s="177" t="e">
        <f>F97*$B$83/100</f>
        <v>#DIV/0!</v>
      </c>
    </row>
    <row r="99" spans="1:10" ht="19.5" customHeight="1" x14ac:dyDescent="0.3">
      <c r="A99" s="500" t="s">
        <v>79</v>
      </c>
      <c r="B99" s="514"/>
      <c r="C99" s="234" t="s">
        <v>119</v>
      </c>
      <c r="D99" s="238" t="e">
        <f>D98/$B$98</f>
        <v>#DIV/0!</v>
      </c>
      <c r="E99" s="178"/>
      <c r="F99" s="181" t="e">
        <f>F98/$B$98</f>
        <v>#DIV/0!</v>
      </c>
      <c r="G99" s="239"/>
      <c r="H99" s="170"/>
    </row>
    <row r="100" spans="1:10" ht="19.5" customHeight="1" x14ac:dyDescent="0.3">
      <c r="A100" s="502"/>
      <c r="B100" s="515"/>
      <c r="C100" s="234" t="s">
        <v>81</v>
      </c>
      <c r="D100" s="240" t="e">
        <f>$B$56/$B$116</f>
        <v>#DIV/0!</v>
      </c>
      <c r="F100" s="186"/>
      <c r="G100" s="241"/>
      <c r="H100" s="170"/>
    </row>
    <row r="101" spans="1:10" ht="18.75" x14ac:dyDescent="0.3">
      <c r="C101" s="234" t="s">
        <v>82</v>
      </c>
      <c r="D101" s="235" t="e">
        <f>D100*$B$98</f>
        <v>#DIV/0!</v>
      </c>
      <c r="F101" s="186"/>
      <c r="G101" s="239"/>
      <c r="H101" s="170"/>
    </row>
    <row r="102" spans="1:10" ht="19.5" customHeight="1" x14ac:dyDescent="0.3">
      <c r="C102" s="242" t="s">
        <v>83</v>
      </c>
      <c r="D102" s="243" t="e">
        <f>D101/B34</f>
        <v>#DIV/0!</v>
      </c>
      <c r="F102" s="190"/>
      <c r="G102" s="239"/>
      <c r="H102" s="170"/>
      <c r="J102" s="244"/>
    </row>
    <row r="103" spans="1:10" ht="18.75" x14ac:dyDescent="0.3">
      <c r="C103" s="245" t="s">
        <v>120</v>
      </c>
      <c r="D103" s="246" t="e">
        <f>AVERAGE(E91:E94,G91:G94)</f>
        <v>#DIV/0!</v>
      </c>
      <c r="F103" s="190"/>
      <c r="G103" s="247"/>
      <c r="H103" s="170"/>
      <c r="J103" s="248"/>
    </row>
    <row r="104" spans="1:10" ht="18.75" x14ac:dyDescent="0.3">
      <c r="C104" s="212" t="s">
        <v>85</v>
      </c>
      <c r="D104" s="249" t="e">
        <f>STDEV(E91:E94,G91:G94)/D103</f>
        <v>#DIV/0!</v>
      </c>
      <c r="F104" s="190"/>
      <c r="G104" s="239"/>
      <c r="H104" s="170"/>
      <c r="J104" s="248"/>
    </row>
    <row r="105" spans="1:10" ht="19.5" customHeight="1" x14ac:dyDescent="0.3">
      <c r="C105" s="214" t="s">
        <v>20</v>
      </c>
      <c r="D105" s="250">
        <f>COUNT(E91:E94,G91:G94)</f>
        <v>0</v>
      </c>
      <c r="F105" s="190"/>
      <c r="G105" s="239"/>
      <c r="H105" s="170"/>
      <c r="J105" s="248"/>
    </row>
    <row r="106" spans="1:10" ht="19.5" customHeight="1" x14ac:dyDescent="0.3">
      <c r="A106" s="194"/>
      <c r="B106" s="194"/>
      <c r="C106" s="194"/>
      <c r="D106" s="194"/>
      <c r="E106" s="194"/>
    </row>
    <row r="107" spans="1:10" ht="27" customHeight="1" x14ac:dyDescent="0.4">
      <c r="A107" s="142" t="s">
        <v>121</v>
      </c>
      <c r="B107" s="143"/>
      <c r="C107" s="289" t="s">
        <v>122</v>
      </c>
      <c r="D107" s="289" t="s">
        <v>65</v>
      </c>
      <c r="E107" s="289" t="s">
        <v>123</v>
      </c>
      <c r="F107" s="251" t="s">
        <v>124</v>
      </c>
    </row>
    <row r="108" spans="1:10" ht="26.25" customHeight="1" x14ac:dyDescent="0.4">
      <c r="A108" s="144" t="s">
        <v>91</v>
      </c>
      <c r="B108" s="145"/>
      <c r="C108" s="294">
        <v>1</v>
      </c>
      <c r="D108" s="295"/>
      <c r="E108" s="269" t="str">
        <f t="shared" ref="E108:E113" si="1">IF(ISBLANK(D108),"-",D108/$D$103*$D$100*$B$116)</f>
        <v>-</v>
      </c>
      <c r="F108" s="296" t="str">
        <f t="shared" ref="F108:F113" si="2">IF(ISBLANK(D108), "-", (E108/$B$56)*100)</f>
        <v>-</v>
      </c>
    </row>
    <row r="109" spans="1:10" ht="26.25" customHeight="1" x14ac:dyDescent="0.4">
      <c r="A109" s="144" t="s">
        <v>93</v>
      </c>
      <c r="B109" s="145"/>
      <c r="C109" s="290">
        <v>2</v>
      </c>
      <c r="D109" s="292"/>
      <c r="E109" s="270" t="str">
        <f t="shared" si="1"/>
        <v>-</v>
      </c>
      <c r="F109" s="297" t="str">
        <f t="shared" si="2"/>
        <v>-</v>
      </c>
    </row>
    <row r="110" spans="1:10" ht="26.25" customHeight="1" x14ac:dyDescent="0.4">
      <c r="A110" s="144" t="s">
        <v>94</v>
      </c>
      <c r="B110" s="145">
        <v>1</v>
      </c>
      <c r="C110" s="290">
        <v>3</v>
      </c>
      <c r="D110" s="292"/>
      <c r="E110" s="270" t="str">
        <f t="shared" si="1"/>
        <v>-</v>
      </c>
      <c r="F110" s="297" t="str">
        <f t="shared" si="2"/>
        <v>-</v>
      </c>
    </row>
    <row r="111" spans="1:10" ht="26.25" customHeight="1" x14ac:dyDescent="0.4">
      <c r="A111" s="144" t="s">
        <v>95</v>
      </c>
      <c r="B111" s="145">
        <v>1</v>
      </c>
      <c r="C111" s="290">
        <v>4</v>
      </c>
      <c r="D111" s="292"/>
      <c r="E111" s="270" t="str">
        <f t="shared" si="1"/>
        <v>-</v>
      </c>
      <c r="F111" s="297" t="str">
        <f t="shared" si="2"/>
        <v>-</v>
      </c>
    </row>
    <row r="112" spans="1:10" ht="26.25" customHeight="1" x14ac:dyDescent="0.4">
      <c r="A112" s="144" t="s">
        <v>96</v>
      </c>
      <c r="B112" s="145">
        <v>1</v>
      </c>
      <c r="C112" s="290">
        <v>5</v>
      </c>
      <c r="D112" s="292"/>
      <c r="E112" s="270" t="str">
        <f t="shared" si="1"/>
        <v>-</v>
      </c>
      <c r="F112" s="297" t="str">
        <f t="shared" si="2"/>
        <v>-</v>
      </c>
    </row>
    <row r="113" spans="1:10" ht="27" customHeight="1" x14ac:dyDescent="0.4">
      <c r="A113" s="144" t="s">
        <v>98</v>
      </c>
      <c r="B113" s="145">
        <v>1</v>
      </c>
      <c r="C113" s="291">
        <v>6</v>
      </c>
      <c r="D113" s="293"/>
      <c r="E113" s="271" t="str">
        <f t="shared" si="1"/>
        <v>-</v>
      </c>
      <c r="F113" s="298" t="str">
        <f t="shared" si="2"/>
        <v>-</v>
      </c>
    </row>
    <row r="114" spans="1:10" ht="27" customHeight="1" x14ac:dyDescent="0.4">
      <c r="A114" s="144" t="s">
        <v>99</v>
      </c>
      <c r="B114" s="145">
        <v>1</v>
      </c>
      <c r="C114" s="252"/>
      <c r="D114" s="210"/>
      <c r="E114" s="119"/>
      <c r="F114" s="299"/>
    </row>
    <row r="115" spans="1:10" ht="26.25" customHeight="1" x14ac:dyDescent="0.4">
      <c r="A115" s="144" t="s">
        <v>100</v>
      </c>
      <c r="B115" s="145">
        <v>1</v>
      </c>
      <c r="C115" s="252"/>
      <c r="D115" s="276" t="s">
        <v>72</v>
      </c>
      <c r="E115" s="278" t="e">
        <f>AVERAGE(E108:E113)</f>
        <v>#DIV/0!</v>
      </c>
      <c r="F115" s="300" t="e">
        <f>AVERAGE(F108:F113)</f>
        <v>#DIV/0!</v>
      </c>
    </row>
    <row r="116" spans="1:10" ht="27" customHeight="1" x14ac:dyDescent="0.4">
      <c r="A116" s="144" t="s">
        <v>101</v>
      </c>
      <c r="B116" s="176" t="e">
        <f>(B115/B114)*(B113/B112)*(B111/B110)*(B109/B108)*B107</f>
        <v>#DIV/0!</v>
      </c>
      <c r="C116" s="253"/>
      <c r="D116" s="277" t="s">
        <v>85</v>
      </c>
      <c r="E116" s="275" t="e">
        <f>STDEV(E108:E113)/E115</f>
        <v>#DIV/0!</v>
      </c>
      <c r="F116" s="254" t="e">
        <f>STDEV(F108:F113)/F115</f>
        <v>#DIV/0!</v>
      </c>
      <c r="I116" s="119"/>
    </row>
    <row r="117" spans="1:10" ht="27" customHeight="1" x14ac:dyDescent="0.4">
      <c r="A117" s="500" t="s">
        <v>79</v>
      </c>
      <c r="B117" s="501"/>
      <c r="C117" s="255"/>
      <c r="D117" s="214" t="s">
        <v>20</v>
      </c>
      <c r="E117" s="280">
        <f>COUNT(E108:E113)</f>
        <v>0</v>
      </c>
      <c r="F117" s="281">
        <f>COUNT(F108:F113)</f>
        <v>0</v>
      </c>
      <c r="I117" s="119"/>
      <c r="J117" s="248"/>
    </row>
    <row r="118" spans="1:10" ht="26.25" customHeight="1" x14ac:dyDescent="0.3">
      <c r="A118" s="502"/>
      <c r="B118" s="503"/>
      <c r="C118" s="119"/>
      <c r="D118" s="279"/>
      <c r="E118" s="480" t="s">
        <v>125</v>
      </c>
      <c r="F118" s="481"/>
      <c r="G118" s="119"/>
      <c r="H118" s="119"/>
      <c r="I118" s="119"/>
    </row>
    <row r="119" spans="1:10" ht="25.5" customHeight="1" x14ac:dyDescent="0.4">
      <c r="A119" s="264"/>
      <c r="B119" s="140"/>
      <c r="C119" s="119"/>
      <c r="D119" s="277" t="s">
        <v>126</v>
      </c>
      <c r="E119" s="282">
        <f>MIN(E108:E113)</f>
        <v>0</v>
      </c>
      <c r="F119" s="301">
        <f>MIN(F108:F113)</f>
        <v>0</v>
      </c>
      <c r="G119" s="119"/>
      <c r="H119" s="119"/>
      <c r="I119" s="119"/>
    </row>
    <row r="120" spans="1:10" ht="24" customHeight="1" x14ac:dyDescent="0.4">
      <c r="A120" s="264"/>
      <c r="B120" s="140"/>
      <c r="C120" s="119"/>
      <c r="D120" s="187" t="s">
        <v>127</v>
      </c>
      <c r="E120" s="283">
        <f>MAX(E108:E113)</f>
        <v>0</v>
      </c>
      <c r="F120" s="302">
        <f>MAX(F108:F113)</f>
        <v>0</v>
      </c>
      <c r="G120" s="119"/>
      <c r="H120" s="119"/>
      <c r="I120" s="119"/>
    </row>
    <row r="121" spans="1:10" ht="27" customHeight="1" x14ac:dyDescent="0.3">
      <c r="A121" s="264"/>
      <c r="B121" s="140"/>
      <c r="C121" s="119"/>
      <c r="D121" s="119"/>
      <c r="E121" s="119"/>
      <c r="F121" s="210"/>
      <c r="G121" s="119"/>
      <c r="H121" s="119"/>
      <c r="I121" s="119"/>
    </row>
    <row r="122" spans="1:10" ht="25.5" customHeight="1" x14ac:dyDescent="0.3">
      <c r="A122" s="264"/>
      <c r="B122" s="140"/>
      <c r="C122" s="119"/>
      <c r="D122" s="119"/>
      <c r="E122" s="119"/>
      <c r="F122" s="210"/>
      <c r="G122" s="119"/>
      <c r="H122" s="119"/>
      <c r="I122" s="119"/>
    </row>
    <row r="123" spans="1:10" ht="18.75" x14ac:dyDescent="0.3">
      <c r="A123" s="264"/>
      <c r="B123" s="140"/>
      <c r="C123" s="119"/>
      <c r="D123" s="119"/>
      <c r="E123" s="119"/>
      <c r="F123" s="210"/>
      <c r="G123" s="119"/>
      <c r="H123" s="119"/>
      <c r="I123" s="119"/>
    </row>
    <row r="124" spans="1:10" ht="45.75" customHeight="1" x14ac:dyDescent="0.65">
      <c r="A124" s="128" t="s">
        <v>103</v>
      </c>
      <c r="B124" s="216" t="s">
        <v>128</v>
      </c>
      <c r="C124" s="512" t="str">
        <f>B26</f>
        <v>Artemether</v>
      </c>
      <c r="D124" s="512"/>
      <c r="E124" s="217" t="s">
        <v>129</v>
      </c>
      <c r="F124" s="217"/>
      <c r="G124" s="303" t="e">
        <f>F115</f>
        <v>#DIV/0!</v>
      </c>
      <c r="H124" s="119"/>
      <c r="I124" s="119"/>
    </row>
    <row r="125" spans="1:10" ht="45.75" customHeight="1" x14ac:dyDescent="0.65">
      <c r="A125" s="128"/>
      <c r="B125" s="216" t="s">
        <v>130</v>
      </c>
      <c r="C125" s="129" t="s">
        <v>131</v>
      </c>
      <c r="D125" s="303">
        <f>MIN(F108:F113)</f>
        <v>0</v>
      </c>
      <c r="E125" s="228" t="s">
        <v>132</v>
      </c>
      <c r="F125" s="303">
        <f>MAX(F108:F113)</f>
        <v>0</v>
      </c>
      <c r="G125" s="218"/>
      <c r="H125" s="119"/>
      <c r="I125" s="119"/>
    </row>
    <row r="126" spans="1:10" ht="19.5" customHeight="1" x14ac:dyDescent="0.3">
      <c r="A126" s="256"/>
      <c r="B126" s="256"/>
      <c r="C126" s="257"/>
      <c r="D126" s="257"/>
      <c r="E126" s="257"/>
      <c r="F126" s="257"/>
      <c r="G126" s="257"/>
      <c r="H126" s="257"/>
    </row>
    <row r="127" spans="1:10" ht="18.75" x14ac:dyDescent="0.3">
      <c r="B127" s="513" t="s">
        <v>26</v>
      </c>
      <c r="C127" s="513"/>
      <c r="E127" s="223" t="s">
        <v>27</v>
      </c>
      <c r="F127" s="258"/>
      <c r="G127" s="513" t="s">
        <v>28</v>
      </c>
      <c r="H127" s="513"/>
    </row>
    <row r="128" spans="1:10" ht="69.95" customHeight="1" x14ac:dyDescent="0.3">
      <c r="A128" s="259" t="s">
        <v>29</v>
      </c>
      <c r="B128" s="260"/>
      <c r="C128" s="260"/>
      <c r="E128" s="260"/>
      <c r="F128" s="119"/>
      <c r="G128" s="261"/>
      <c r="H128" s="261"/>
    </row>
    <row r="129" spans="1:9" ht="69.95" customHeight="1" x14ac:dyDescent="0.3">
      <c r="A129" s="259" t="s">
        <v>30</v>
      </c>
      <c r="B129" s="262"/>
      <c r="C129" s="262"/>
      <c r="E129" s="262"/>
      <c r="F129" s="119"/>
      <c r="G129" s="263"/>
      <c r="H129" s="263"/>
    </row>
    <row r="130" spans="1:9" ht="18.75" x14ac:dyDescent="0.3">
      <c r="A130" s="209"/>
      <c r="B130" s="209"/>
      <c r="C130" s="210"/>
      <c r="D130" s="210"/>
      <c r="E130" s="210"/>
      <c r="F130" s="213"/>
      <c r="G130" s="210"/>
      <c r="H130" s="210"/>
      <c r="I130" s="119"/>
    </row>
    <row r="131" spans="1:9" ht="18.75" x14ac:dyDescent="0.3">
      <c r="A131" s="209"/>
      <c r="B131" s="209"/>
      <c r="C131" s="210"/>
      <c r="D131" s="210"/>
      <c r="E131" s="210"/>
      <c r="F131" s="213"/>
      <c r="G131" s="210"/>
      <c r="H131" s="210"/>
      <c r="I131" s="119"/>
    </row>
    <row r="132" spans="1:9" ht="18.75" x14ac:dyDescent="0.3">
      <c r="A132" s="209"/>
      <c r="B132" s="209"/>
      <c r="C132" s="210"/>
      <c r="D132" s="210"/>
      <c r="E132" s="210"/>
      <c r="F132" s="213"/>
      <c r="G132" s="210"/>
      <c r="H132" s="210"/>
      <c r="I132" s="119"/>
    </row>
    <row r="133" spans="1:9" ht="18.75" x14ac:dyDescent="0.3">
      <c r="A133" s="209"/>
      <c r="B133" s="209"/>
      <c r="C133" s="210"/>
      <c r="D133" s="210"/>
      <c r="E133" s="210"/>
      <c r="F133" s="213"/>
      <c r="G133" s="210"/>
      <c r="H133" s="210"/>
      <c r="I133" s="119"/>
    </row>
    <row r="134" spans="1:9" ht="18.75" x14ac:dyDescent="0.3">
      <c r="A134" s="209"/>
      <c r="B134" s="209"/>
      <c r="C134" s="210"/>
      <c r="D134" s="210"/>
      <c r="E134" s="210"/>
      <c r="F134" s="213"/>
      <c r="G134" s="210"/>
      <c r="H134" s="210"/>
      <c r="I134" s="119"/>
    </row>
    <row r="135" spans="1:9" ht="18.75" x14ac:dyDescent="0.3">
      <c r="A135" s="209"/>
      <c r="B135" s="209"/>
      <c r="C135" s="210"/>
      <c r="D135" s="210"/>
      <c r="E135" s="210"/>
      <c r="F135" s="213"/>
      <c r="G135" s="210"/>
      <c r="H135" s="210"/>
      <c r="I135" s="119"/>
    </row>
    <row r="136" spans="1:9" ht="18.75" x14ac:dyDescent="0.3">
      <c r="A136" s="209"/>
      <c r="B136" s="209"/>
      <c r="C136" s="210"/>
      <c r="D136" s="210"/>
      <c r="E136" s="210"/>
      <c r="F136" s="213"/>
      <c r="G136" s="210"/>
      <c r="H136" s="210"/>
      <c r="I136" s="119"/>
    </row>
    <row r="137" spans="1:9" ht="18.75" x14ac:dyDescent="0.3">
      <c r="A137" s="209"/>
      <c r="B137" s="209"/>
      <c r="C137" s="210"/>
      <c r="D137" s="210"/>
      <c r="E137" s="210"/>
      <c r="F137" s="213"/>
      <c r="G137" s="210"/>
      <c r="H137" s="210"/>
      <c r="I137" s="119"/>
    </row>
    <row r="138" spans="1:9" ht="18.75" x14ac:dyDescent="0.3">
      <c r="A138" s="209"/>
      <c r="B138" s="209"/>
      <c r="C138" s="210"/>
      <c r="D138" s="210"/>
      <c r="E138" s="210"/>
      <c r="F138" s="213"/>
      <c r="G138" s="210"/>
      <c r="H138" s="210"/>
      <c r="I138" s="119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"/>
  <sheetViews>
    <sheetView workbookViewId="0">
      <selection activeCell="F3" sqref="F3"/>
    </sheetView>
  </sheetViews>
  <sheetFormatPr defaultRowHeight="12.75" x14ac:dyDescent="0.2"/>
  <sheetData>
    <row r="3" spans="2:6" ht="13.5" x14ac:dyDescent="0.25">
      <c r="B3" s="82">
        <v>39.492809999999999</v>
      </c>
      <c r="C3" s="83">
        <v>15.52271</v>
      </c>
      <c r="D3" s="60">
        <f>B3-C3</f>
        <v>23.970099999999999</v>
      </c>
      <c r="F3">
        <v>88.514665614926415</v>
      </c>
    </row>
    <row r="4" spans="2:6" ht="13.5" x14ac:dyDescent="0.25">
      <c r="B4" s="87">
        <v>39.902859999999997</v>
      </c>
      <c r="C4" s="88">
        <v>15.59586</v>
      </c>
      <c r="D4" s="60">
        <f>B4-C4</f>
        <v>24.306999999999995</v>
      </c>
    </row>
    <row r="5" spans="2:6" ht="13.5" x14ac:dyDescent="0.25">
      <c r="B5" s="87">
        <v>39.852490000000003</v>
      </c>
      <c r="C5" s="88">
        <v>15.5395</v>
      </c>
      <c r="D5" s="60">
        <f>B5-C5</f>
        <v>24.312990000000003</v>
      </c>
    </row>
    <row r="8" spans="2:6" x14ac:dyDescent="0.2">
      <c r="D8" s="60">
        <f>AVERAGE(D3:D5)</f>
        <v>24.196696666666664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5" workbookViewId="0">
      <selection activeCell="C49" sqref="C49"/>
    </sheetView>
  </sheetViews>
  <sheetFormatPr defaultRowHeight="13.5" x14ac:dyDescent="0.25"/>
  <cols>
    <col min="1" max="1" width="27.5703125" style="402" customWidth="1"/>
    <col min="2" max="2" width="20.42578125" style="402" customWidth="1"/>
    <col min="3" max="3" width="31.85546875" style="402" customWidth="1"/>
    <col min="4" max="4" width="25.85546875" style="402" customWidth="1"/>
    <col min="5" max="5" width="25.7109375" style="402" customWidth="1"/>
    <col min="6" max="6" width="23.140625" style="402" customWidth="1"/>
    <col min="7" max="7" width="28.42578125" style="402" customWidth="1"/>
    <col min="8" max="8" width="21.5703125" style="402" customWidth="1"/>
    <col min="9" max="9" width="9.140625" style="402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471" t="s">
        <v>0</v>
      </c>
      <c r="B15" s="471"/>
      <c r="C15" s="471"/>
      <c r="D15" s="471"/>
      <c r="E15" s="471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402" t="s">
        <v>135</v>
      </c>
      <c r="C18" s="36"/>
      <c r="D18" s="36"/>
      <c r="E18" s="36"/>
    </row>
    <row r="19" spans="1:5" ht="16.5" customHeight="1" x14ac:dyDescent="0.3">
      <c r="A19" s="11" t="s">
        <v>6</v>
      </c>
      <c r="B19" s="12">
        <v>98.838999999999999</v>
      </c>
      <c r="C19" s="36"/>
      <c r="D19" s="36"/>
      <c r="E19" s="36"/>
    </row>
    <row r="20" spans="1:5" ht="16.5" customHeight="1" x14ac:dyDescent="0.3">
      <c r="A20" s="8" t="s">
        <v>8</v>
      </c>
      <c r="B20" s="12">
        <v>11.4</v>
      </c>
      <c r="C20" s="36"/>
      <c r="D20" s="36"/>
      <c r="E20" s="36"/>
    </row>
    <row r="21" spans="1:5" ht="16.5" customHeight="1" x14ac:dyDescent="0.3">
      <c r="A21" s="8" t="s">
        <v>10</v>
      </c>
      <c r="B21" s="13">
        <f>B20/10</f>
        <v>1.1400000000000001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18678893</v>
      </c>
      <c r="C24" s="18">
        <v>22690</v>
      </c>
      <c r="D24" s="19">
        <v>5.32</v>
      </c>
      <c r="E24" s="20">
        <v>34.270000000000003</v>
      </c>
    </row>
    <row r="25" spans="1:5" ht="16.5" customHeight="1" x14ac:dyDescent="0.3">
      <c r="A25" s="17">
        <v>2</v>
      </c>
      <c r="B25" s="18">
        <v>18680317</v>
      </c>
      <c r="C25" s="18">
        <v>22870</v>
      </c>
      <c r="D25" s="19">
        <v>5.43</v>
      </c>
      <c r="E25" s="19">
        <v>34.270000000000003</v>
      </c>
    </row>
    <row r="26" spans="1:5" ht="16.5" customHeight="1" x14ac:dyDescent="0.3">
      <c r="A26" s="17">
        <v>3</v>
      </c>
      <c r="B26" s="18">
        <v>18672112</v>
      </c>
      <c r="C26" s="18">
        <v>23005</v>
      </c>
      <c r="D26" s="19">
        <v>5.41</v>
      </c>
      <c r="E26" s="19">
        <v>34.26</v>
      </c>
    </row>
    <row r="27" spans="1:5" ht="16.5" customHeight="1" x14ac:dyDescent="0.3">
      <c r="A27" s="17">
        <v>4</v>
      </c>
      <c r="B27" s="18">
        <v>18665515</v>
      </c>
      <c r="C27" s="18">
        <v>23032</v>
      </c>
      <c r="D27" s="19">
        <v>5.23</v>
      </c>
      <c r="E27" s="19">
        <v>34.25</v>
      </c>
    </row>
    <row r="28" spans="1:5" ht="16.5" customHeight="1" x14ac:dyDescent="0.3">
      <c r="A28" s="17">
        <v>5</v>
      </c>
      <c r="B28" s="18">
        <v>18665855</v>
      </c>
      <c r="C28" s="18">
        <v>23192</v>
      </c>
      <c r="D28" s="19">
        <v>5.36</v>
      </c>
      <c r="E28" s="19">
        <v>34.25</v>
      </c>
    </row>
    <row r="29" spans="1:5" ht="16.5" customHeight="1" x14ac:dyDescent="0.3">
      <c r="A29" s="17">
        <v>6</v>
      </c>
      <c r="B29" s="21">
        <v>18677294</v>
      </c>
      <c r="C29" s="21">
        <v>23279</v>
      </c>
      <c r="D29" s="22">
        <v>5.61</v>
      </c>
      <c r="E29" s="22">
        <v>34.24</v>
      </c>
    </row>
    <row r="30" spans="1:5" ht="16.5" customHeight="1" x14ac:dyDescent="0.3">
      <c r="A30" s="23" t="s">
        <v>18</v>
      </c>
      <c r="B30" s="24">
        <f>AVERAGE(B24:B29)</f>
        <v>18673331</v>
      </c>
      <c r="C30" s="25">
        <f>AVERAGE(C24:C29)</f>
        <v>23011.333333333332</v>
      </c>
      <c r="D30" s="26">
        <f>AVERAGE(D24:D29)</f>
        <v>5.3933333333333335</v>
      </c>
      <c r="E30" s="26">
        <f>AVERAGE(E24:E29)</f>
        <v>34.256666666666668</v>
      </c>
    </row>
    <row r="31" spans="1:5" ht="16.5" customHeight="1" x14ac:dyDescent="0.3">
      <c r="A31" s="27" t="s">
        <v>19</v>
      </c>
      <c r="B31" s="28">
        <f>(STDEV(B24:B29)/B30)</f>
        <v>3.5027615634383128E-4</v>
      </c>
      <c r="C31" s="29"/>
      <c r="D31" s="29"/>
      <c r="E31" s="30"/>
    </row>
    <row r="32" spans="1:5" s="40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02" customFormat="1" ht="15.75" customHeight="1" x14ac:dyDescent="0.25">
      <c r="A33" s="36"/>
      <c r="B33" s="36"/>
      <c r="C33" s="36"/>
      <c r="D33" s="36"/>
      <c r="E33" s="36"/>
    </row>
    <row r="34" spans="1:5" s="402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02" customFormat="1" ht="15.75" customHeight="1" x14ac:dyDescent="0.25">
      <c r="A54" s="36"/>
      <c r="B54" s="36"/>
      <c r="C54" s="36"/>
      <c r="D54" s="36"/>
      <c r="E54" s="36"/>
    </row>
    <row r="55" spans="1:7" s="402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347"/>
      <c r="D58" s="43"/>
      <c r="F58" s="44"/>
      <c r="G58" s="44"/>
    </row>
    <row r="59" spans="1:7" ht="15" customHeight="1" x14ac:dyDescent="0.3">
      <c r="B59" s="472" t="s">
        <v>26</v>
      </c>
      <c r="C59" s="472"/>
      <c r="E59" s="463" t="s">
        <v>27</v>
      </c>
      <c r="F59" s="113"/>
      <c r="G59" s="463" t="s">
        <v>28</v>
      </c>
    </row>
    <row r="60" spans="1:7" ht="15" customHeight="1" x14ac:dyDescent="0.3">
      <c r="A60" s="464" t="s">
        <v>29</v>
      </c>
      <c r="B60" s="116"/>
      <c r="C60" s="116"/>
      <c r="E60" s="116"/>
      <c r="G60" s="116"/>
    </row>
    <row r="61" spans="1:7" ht="15" customHeight="1" x14ac:dyDescent="0.3">
      <c r="A61" s="464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LUMEFANTRINE</vt:lpstr>
      <vt:lpstr>ARTEMETHER SST</vt:lpstr>
      <vt:lpstr>Uniformity</vt:lpstr>
      <vt:lpstr>ARTEMETHER 1</vt:lpstr>
      <vt:lpstr>Sheet1</vt:lpstr>
      <vt:lpstr>LUMEFANTRINE SST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2018-09-04T08:56:03Z</cp:lastPrinted>
  <dcterms:created xsi:type="dcterms:W3CDTF">2005-07-05T10:19:27Z</dcterms:created>
  <dcterms:modified xsi:type="dcterms:W3CDTF">2018-09-04T09:33:25Z</dcterms:modified>
</cp:coreProperties>
</file>