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Ceftriaxone" sheetId="5" r:id="rId3"/>
  </sheets>
  <definedNames>
    <definedName name="_xlnm.Print_Area" localSheetId="2">Ceftriaxone!$A$1:$H$80</definedName>
    <definedName name="_xlnm.Print_Area" localSheetId="0">SST!$A$15:$G$61</definedName>
    <definedName name="_xlnm.Print_Area" localSheetId="1">Uniformity!$A$10:$G$52</definedName>
  </definedNames>
  <calcPr calcId="144525"/>
</workbook>
</file>

<file path=xl/calcChain.xml><?xml version="1.0" encoding="utf-8"?>
<calcChain xmlns="http://schemas.openxmlformats.org/spreadsheetml/2006/main">
  <c r="B21" i="1" l="1"/>
  <c r="B57" i="5"/>
  <c r="C76" i="5"/>
  <c r="H71" i="5"/>
  <c r="G71" i="5"/>
  <c r="B68" i="5"/>
  <c r="B69" i="5" s="1"/>
  <c r="H67" i="5"/>
  <c r="G67" i="5"/>
  <c r="H63" i="5"/>
  <c r="G63" i="5"/>
  <c r="C56" i="5"/>
  <c r="B55" i="5"/>
  <c r="B45" i="5"/>
  <c r="D48" i="5" s="1"/>
  <c r="D49" i="5" s="1"/>
  <c r="F42" i="5"/>
  <c r="D42" i="5"/>
  <c r="G41" i="5"/>
  <c r="E41" i="5"/>
  <c r="B34" i="5"/>
  <c r="F44" i="5" s="1"/>
  <c r="B30" i="5"/>
  <c r="C43" i="2"/>
  <c r="B43" i="2"/>
  <c r="C42" i="2"/>
  <c r="B42" i="2"/>
  <c r="D40" i="2"/>
  <c r="E40" i="2" s="1"/>
  <c r="D39" i="2"/>
  <c r="D38" i="2"/>
  <c r="E38" i="2" s="1"/>
  <c r="D37" i="2"/>
  <c r="D36" i="2"/>
  <c r="E36" i="2" s="1"/>
  <c r="D35" i="2"/>
  <c r="D34" i="2"/>
  <c r="E34" i="2" s="1"/>
  <c r="D33" i="2"/>
  <c r="D32" i="2"/>
  <c r="E32" i="2" s="1"/>
  <c r="D31" i="2"/>
  <c r="D30" i="2"/>
  <c r="E30" i="2" s="1"/>
  <c r="D29" i="2"/>
  <c r="D28" i="2"/>
  <c r="E28" i="2" s="1"/>
  <c r="D27" i="2"/>
  <c r="D26" i="2"/>
  <c r="E26" i="2" s="1"/>
  <c r="D25" i="2"/>
  <c r="D24" i="2"/>
  <c r="E24" i="2" s="1"/>
  <c r="D23" i="2"/>
  <c r="D22" i="2"/>
  <c r="E22" i="2" s="1"/>
  <c r="D21" i="2"/>
  <c r="D43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5" l="1"/>
  <c r="D47" i="2"/>
  <c r="D48" i="2"/>
  <c r="C47" i="2"/>
  <c r="B47" i="2"/>
  <c r="C48" i="2"/>
  <c r="E39" i="2"/>
  <c r="E37" i="2"/>
  <c r="E35" i="2"/>
  <c r="E33" i="2"/>
  <c r="E31" i="2"/>
  <c r="E29" i="2"/>
  <c r="E27" i="2"/>
  <c r="E25" i="2"/>
  <c r="E23" i="2"/>
  <c r="E21" i="2"/>
  <c r="D42" i="2"/>
  <c r="D44" i="5"/>
  <c r="D45" i="5" s="1"/>
  <c r="G39" i="5" l="1"/>
  <c r="G38" i="5"/>
  <c r="G40" i="5"/>
  <c r="D46" i="5"/>
  <c r="E40" i="5"/>
  <c r="E38" i="5"/>
  <c r="E39" i="5"/>
  <c r="F46" i="5"/>
  <c r="D52" i="5" l="1"/>
  <c r="E42" i="5"/>
  <c r="D50" i="5"/>
  <c r="G42" i="5"/>
  <c r="D51" i="5" l="1"/>
  <c r="G66" i="5"/>
  <c r="H66" i="5" s="1"/>
  <c r="G65" i="5"/>
  <c r="H65" i="5" s="1"/>
  <c r="G62" i="5"/>
  <c r="H62" i="5" s="1"/>
  <c r="G60" i="5"/>
  <c r="H60" i="5" s="1"/>
  <c r="G70" i="5"/>
  <c r="H70" i="5" s="1"/>
  <c r="G64" i="5"/>
  <c r="H64" i="5" s="1"/>
  <c r="G61" i="5"/>
  <c r="H61" i="5" s="1"/>
  <c r="G69" i="5"/>
  <c r="H69" i="5" s="1"/>
  <c r="G68" i="5"/>
  <c r="H68" i="5" s="1"/>
  <c r="H74" i="5" l="1"/>
  <c r="H72" i="5"/>
  <c r="G76" i="5" s="1"/>
  <c r="H73" i="5" l="1"/>
</calcChain>
</file>

<file path=xl/sharedStrings.xml><?xml version="1.0" encoding="utf-8"?>
<sst xmlns="http://schemas.openxmlformats.org/spreadsheetml/2006/main" count="173" uniqueCount="122">
  <si>
    <t>HPLC System Suitability Report</t>
  </si>
  <si>
    <t>Analysis Data</t>
  </si>
  <si>
    <t>Assay</t>
  </si>
  <si>
    <t>Sample(s)</t>
  </si>
  <si>
    <t>Reference Substance:</t>
  </si>
  <si>
    <t>CEFTRIAXONE POWDER 500 mg</t>
  </si>
  <si>
    <t>% age Purity:</t>
  </si>
  <si>
    <t>NDQD201808047</t>
  </si>
  <si>
    <t>Weight (mg):</t>
  </si>
  <si>
    <t>Ceftriaxone 500G (As Ceftriaxone Sodium)</t>
  </si>
  <si>
    <t>Standard Conc (mg/mL):</t>
  </si>
  <si>
    <t>Each vials contains Ceftriaxone sodium USP equivalent to 500 mg of ceftriaxone.</t>
  </si>
  <si>
    <t>2018-08-15 12:49:55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</si>
  <si>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</si>
  <si>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</si>
  <si>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</si>
  <si>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</si>
  <si>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</si>
  <si>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</si>
  <si>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</si>
  <si>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</si>
  <si>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</si>
  <si>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</si>
  <si>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</si>
  <si>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</si>
  <si>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</si>
  <si>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</si>
  <si>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</si>
  <si>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</si>
  <si>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</si>
  <si>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</si>
  <si>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</si>
  <si>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</si>
  <si>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</si>
  <si>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</si>
  <si>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</si>
  <si>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</si>
  <si>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</si>
  <si>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</si>
  <si>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2018-08-22 11:46:25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</si>
  <si>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</si>
  <si>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</si>
  <si>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</si>
  <si>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</si>
  <si>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</si>
  <si>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</si>
  <si>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</si>
  <si>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</si>
  <si>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</si>
  <si>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</si>
  <si>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</si>
  <si>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</si>
  <si>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</si>
  <si>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</si>
  <si>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</si>
  <si>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</si>
  <si>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</si>
  <si>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</si>
  <si>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</si>
  <si>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</si>
  <si>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</si>
  <si>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</si>
  <si>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</si>
  <si>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</si>
  <si>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</si>
  <si>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</si>
  <si>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</si>
  <si>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</si>
  <si>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</si>
  <si>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</si>
  <si>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</si>
  <si>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</si>
  <si>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</si>
  <si>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</si>
  <si>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</si>
  <si>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</si>
  <si>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</si>
  <si>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</si>
  <si>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</si>
  <si>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</si>
  <si>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</si>
  <si>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</si>
  <si>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</si>
  <si>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</si>
  <si>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</si>
  <si>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</si>
  <si>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</si>
  <si>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</si>
  <si>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</si>
  <si>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</si>
  <si>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</si>
  <si>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</si>
  <si>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</si>
  <si>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</si>
  <si>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</si>
  <si>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</si>
  <si>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</si>
  <si>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</si>
  <si>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</si>
  <si>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</si>
  <si>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</si>
  <si>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</si>
  <si>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Amt of RS (mg):</t>
  </si>
  <si>
    <t>Amt of RS as free base (mg):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</si>
  <si>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</si>
  <si>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If correction for water content is NOT needed, enter 0</t>
  </si>
  <si>
    <t>Desired Concetration (mg/mL):</t>
  </si>
  <si>
    <t>Initial Sample dilution (mL):</t>
  </si>
  <si>
    <t>Initial    Standard dilution (mL):</t>
  </si>
  <si>
    <t>Each Vial contains</t>
  </si>
  <si>
    <t>Average Vial Content Weight (mg):</t>
  </si>
  <si>
    <t>Sample Weight (mg)</t>
  </si>
  <si>
    <t>CEFTRIAXONE  INJECTION POWDER 1 g</t>
  </si>
  <si>
    <t>CEFTRIAXONE</t>
  </si>
  <si>
    <t>Each vials contains Ceftriaxone sodium USP equivalent to 500mg of  ceftriaxone.</t>
  </si>
  <si>
    <t>CEFTRIAXONE SODIUM</t>
  </si>
  <si>
    <t>C2-1</t>
  </si>
  <si>
    <t>Ceftriaxone Sodium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</si>
  <si>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1500</t>
    </r>
  </si>
  <si>
    <t>RUTTO KENNEDY/CYNTHIA</t>
  </si>
  <si>
    <t>22TH AUG 2018</t>
  </si>
  <si>
    <t>CEFTRIAXONE  INJECTION POWDER 500mg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</si>
</sst>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0.000"/>
    <numFmt numFmtId="171" formatCode="0\ &quot;mg&quot;"/>
  </numFmts>
  <fonts count="2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15" fontId="14" fillId="3" borderId="0" xfId="0" applyNumberFormat="1" applyFont="1" applyFill="1" applyAlignment="1" applyProtection="1">
      <alignment horizontal="left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7" fillId="2" borderId="0" xfId="0" applyFont="1" applyFill="1"/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41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3" fillId="3" borderId="40" xfId="0" applyFont="1" applyFill="1" applyBorder="1" applyAlignment="1" applyProtection="1">
      <alignment horizontal="center"/>
      <protection locked="0"/>
    </xf>
    <xf numFmtId="170" fontId="11" fillId="2" borderId="38" xfId="0" applyNumberFormat="1" applyFont="1" applyFill="1" applyBorder="1" applyAlignment="1">
      <alignment horizontal="center"/>
    </xf>
    <xf numFmtId="170" fontId="11" fillId="2" borderId="41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0" fontId="11" fillId="2" borderId="42" xfId="0" applyNumberFormat="1" applyFont="1" applyFill="1" applyBorder="1" applyAlignment="1">
      <alignment horizontal="center"/>
    </xf>
    <xf numFmtId="170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3" fillId="3" borderId="44" xfId="0" applyFont="1" applyFill="1" applyBorder="1" applyAlignment="1" applyProtection="1">
      <alignment horizontal="center"/>
      <protection locked="0"/>
    </xf>
    <xf numFmtId="170" fontId="11" fillId="2" borderId="45" xfId="0" applyNumberFormat="1" applyFont="1" applyFill="1" applyBorder="1" applyAlignment="1">
      <alignment horizontal="center"/>
    </xf>
    <xf numFmtId="170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0" fontId="12" fillId="6" borderId="47" xfId="0" applyNumberFormat="1" applyFont="1" applyFill="1" applyBorder="1" applyAlignment="1">
      <alignment horizontal="center"/>
    </xf>
    <xf numFmtId="170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0" fontId="12" fillId="7" borderId="31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3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4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3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0" fontId="14" fillId="3" borderId="0" xfId="0" applyFont="1" applyFill="1" applyAlignment="1" applyProtection="1">
      <alignment horizontal="lef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2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18" fillId="2" borderId="54" xfId="0" applyFont="1" applyFill="1" applyBorder="1" applyAlignment="1">
      <alignment horizontal="center"/>
    </xf>
    <xf numFmtId="0" fontId="18" fillId="2" borderId="30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54" xfId="0" applyFont="1" applyFill="1" applyBorder="1" applyAlignment="1">
      <alignment horizontal="justify" vertical="center" wrapText="1"/>
    </xf>
    <xf numFmtId="0" fontId="18" fillId="2" borderId="30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54" xfId="0" applyFont="1" applyFill="1" applyBorder="1" applyAlignment="1">
      <alignment horizontal="left" vertical="center" wrapText="1"/>
    </xf>
    <xf numFmtId="0" fontId="18" fillId="2" borderId="30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8" fillId="2" borderId="33" xfId="0" applyFont="1" applyFill="1" applyBorder="1" applyAlignment="1">
      <alignment horizontal="left" vertical="center" wrapText="1"/>
    </xf>
    <xf numFmtId="0" fontId="18" fillId="2" borderId="34" xfId="0" applyFont="1" applyFill="1" applyBorder="1" applyAlignment="1">
      <alignment horizontal="left" vertical="center" wrapText="1"/>
    </xf>
    <xf numFmtId="0" fontId="18" fillId="2" borderId="51" xfId="0" applyFont="1" applyFill="1" applyBorder="1" applyAlignment="1">
      <alignment horizontal="left" vertical="center" wrapText="1"/>
    </xf>
    <xf numFmtId="0" fontId="18" fillId="2" borderId="53" xfId="0" applyFont="1" applyFill="1" applyBorder="1" applyAlignment="1">
      <alignment horizontal="left" vertical="center" wrapText="1"/>
    </xf>
    <xf numFmtId="0" fontId="13" fillId="3" borderId="0" xfId="0" applyFont="1" applyFill="1" applyAlignment="1" applyProtection="1">
      <alignment horizontal="left" wrapText="1"/>
      <protection locked="0"/>
    </xf>
    <xf numFmtId="0" fontId="12" fillId="2" borderId="10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</cellXfs>
  <cellStyles count="1">
    <cellStyle name="Normal" xfId="0" builtinId="0"/>
  </cellStyles>
  <dxfs count="2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31" sqref="C3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8" t="s">
        <v>0</v>
      </c>
      <c r="B15" s="238"/>
      <c r="C15" s="238"/>
      <c r="D15" s="238"/>
      <c r="E15" s="23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117</v>
      </c>
      <c r="C18" s="10"/>
      <c r="D18" s="10"/>
      <c r="E18" s="10"/>
    </row>
    <row r="19" spans="1:6" ht="16.5" customHeight="1" x14ac:dyDescent="0.3">
      <c r="A19" s="11" t="s">
        <v>6</v>
      </c>
      <c r="B19" s="12">
        <v>92.4</v>
      </c>
      <c r="C19" s="10"/>
      <c r="D19" s="10"/>
      <c r="E19" s="10"/>
    </row>
    <row r="20" spans="1:6" ht="16.5" customHeight="1" x14ac:dyDescent="0.3">
      <c r="A20" s="7" t="s">
        <v>8</v>
      </c>
      <c r="B20" s="12">
        <v>18.53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0.18530000000000002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38734907</v>
      </c>
      <c r="C24" s="18">
        <v>4013</v>
      </c>
      <c r="D24" s="19">
        <v>1.2</v>
      </c>
      <c r="E24" s="20">
        <v>3.2</v>
      </c>
    </row>
    <row r="25" spans="1:6" ht="16.5" customHeight="1" x14ac:dyDescent="0.3">
      <c r="A25" s="17">
        <v>2</v>
      </c>
      <c r="B25" s="18">
        <v>38748376</v>
      </c>
      <c r="C25" s="18">
        <v>4013</v>
      </c>
      <c r="D25" s="19">
        <v>1.1000000000000001</v>
      </c>
      <c r="E25" s="19">
        <v>3.2</v>
      </c>
    </row>
    <row r="26" spans="1:6" ht="16.5" customHeight="1" x14ac:dyDescent="0.3">
      <c r="A26" s="17">
        <v>3</v>
      </c>
      <c r="B26" s="18">
        <v>38601112</v>
      </c>
      <c r="C26" s="18">
        <v>4013</v>
      </c>
      <c r="D26" s="19">
        <v>1.2</v>
      </c>
      <c r="E26" s="19">
        <v>3.2</v>
      </c>
    </row>
    <row r="27" spans="1:6" ht="16.5" customHeight="1" x14ac:dyDescent="0.3">
      <c r="A27" s="17">
        <v>4</v>
      </c>
      <c r="B27" s="18">
        <v>38628719</v>
      </c>
      <c r="C27" s="18">
        <v>3993</v>
      </c>
      <c r="D27" s="19">
        <v>1.1000000000000001</v>
      </c>
      <c r="E27" s="19">
        <v>3.2</v>
      </c>
    </row>
    <row r="28" spans="1:6" ht="16.5" customHeight="1" x14ac:dyDescent="0.3">
      <c r="A28" s="17">
        <v>5</v>
      </c>
      <c r="B28" s="18">
        <v>38695345</v>
      </c>
      <c r="C28" s="18">
        <v>3956</v>
      </c>
      <c r="D28" s="19">
        <v>1.2</v>
      </c>
      <c r="E28" s="19">
        <v>3.2</v>
      </c>
    </row>
    <row r="29" spans="1:6" ht="16.5" customHeight="1" x14ac:dyDescent="0.3">
      <c r="A29" s="17">
        <v>6</v>
      </c>
      <c r="B29" s="21">
        <v>38788750</v>
      </c>
      <c r="C29" s="21">
        <v>3952</v>
      </c>
      <c r="D29" s="22">
        <v>1.2</v>
      </c>
      <c r="E29" s="22">
        <v>3.2</v>
      </c>
    </row>
    <row r="30" spans="1:6" ht="16.5" customHeight="1" x14ac:dyDescent="0.3">
      <c r="A30" s="23" t="s">
        <v>18</v>
      </c>
      <c r="B30" s="24">
        <f>AVERAGE(B24:B29)</f>
        <v>38699534.833333336</v>
      </c>
      <c r="C30" s="25">
        <f>AVERAGE(C24:C29)</f>
        <v>3990</v>
      </c>
      <c r="D30" s="26">
        <f>AVERAGE(D24:D29)</f>
        <v>1.1666666666666667</v>
      </c>
      <c r="E30" s="26">
        <f>AVERAGE(E24:E29)</f>
        <v>3.1999999999999997</v>
      </c>
    </row>
    <row r="31" spans="1:6" ht="16.5" customHeight="1" x14ac:dyDescent="0.3">
      <c r="A31" s="27" t="s">
        <v>19</v>
      </c>
      <c r="B31" s="28">
        <f>(STDEV(B24:B29)/B30)</f>
        <v>1.8746273845581724E-3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40" t="s">
        <v>118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9" t="s">
        <v>26</v>
      </c>
      <c r="C59" s="23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119</v>
      </c>
      <c r="C60" s="48"/>
      <c r="E60" s="48" t="s">
        <v>120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workbookViewId="0">
      <selection activeCell="C23" sqref="C23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42" t="s">
        <v>31</v>
      </c>
      <c r="B8" s="242"/>
      <c r="C8" s="242"/>
      <c r="D8" s="242"/>
      <c r="E8" s="242"/>
      <c r="F8" s="242"/>
      <c r="G8" s="242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43" t="s">
        <v>32</v>
      </c>
      <c r="B10" s="243"/>
      <c r="C10" s="243"/>
      <c r="D10" s="243"/>
      <c r="E10" s="243"/>
      <c r="F10" s="243"/>
      <c r="G10" s="243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40" t="s">
        <v>33</v>
      </c>
      <c r="B11" s="240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40" t="s">
        <v>34</v>
      </c>
      <c r="B12" s="240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40" t="s">
        <v>35</v>
      </c>
      <c r="B13" s="240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40" t="s">
        <v>36</v>
      </c>
      <c r="B14" s="240"/>
      <c r="C14" s="241" t="s">
        <v>11</v>
      </c>
      <c r="D14" s="241"/>
      <c r="E14" s="241"/>
      <c r="F14" s="241"/>
      <c r="G14" s="241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40" t="s">
        <v>37</v>
      </c>
      <c r="B15" s="240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40" t="s">
        <v>38</v>
      </c>
      <c r="B16" s="240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44" t="s">
        <v>1</v>
      </c>
      <c r="B18" s="244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12937.71</v>
      </c>
      <c r="C21" s="83">
        <v>12367.96</v>
      </c>
      <c r="D21" s="84">
        <f t="shared" ref="D21:D40" si="0">B21-C21</f>
        <v>569.75</v>
      </c>
      <c r="E21" s="85">
        <f t="shared" ref="E21:E40" si="1">(D21-$D$43)/$D$43</f>
        <v>-2.8598172110750348E-2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12702.46</v>
      </c>
      <c r="C22" s="88">
        <v>12116.51</v>
      </c>
      <c r="D22" s="89">
        <f t="shared" si="0"/>
        <v>585.94999999999891</v>
      </c>
      <c r="E22" s="85">
        <f t="shared" si="1"/>
        <v>-9.7779543360285376E-4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12964.71</v>
      </c>
      <c r="C23" s="88">
        <v>12393.53</v>
      </c>
      <c r="D23" s="89">
        <f t="shared" si="0"/>
        <v>571.17999999999847</v>
      </c>
      <c r="E23" s="85">
        <f t="shared" si="1"/>
        <v>-2.6160077132461372E-2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12860.15</v>
      </c>
      <c r="C24" s="88">
        <v>12271.06</v>
      </c>
      <c r="D24" s="89">
        <f t="shared" si="0"/>
        <v>589.09000000000015</v>
      </c>
      <c r="E24" s="85">
        <f t="shared" si="1"/>
        <v>4.3757837495010431E-3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12872.18</v>
      </c>
      <c r="C25" s="88">
        <v>12316.18</v>
      </c>
      <c r="D25" s="89">
        <f t="shared" si="0"/>
        <v>556</v>
      </c>
      <c r="E25" s="85">
        <f t="shared" si="1"/>
        <v>-5.2041393055861682E-2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13035.74</v>
      </c>
      <c r="C26" s="88">
        <v>12433.95</v>
      </c>
      <c r="D26" s="89">
        <f t="shared" si="0"/>
        <v>601.78999999999905</v>
      </c>
      <c r="E26" s="85">
        <f t="shared" si="1"/>
        <v>2.602879509516565E-2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12673.66</v>
      </c>
      <c r="C27" s="88">
        <v>12115.69</v>
      </c>
      <c r="D27" s="89">
        <f t="shared" si="0"/>
        <v>557.96999999999935</v>
      </c>
      <c r="E27" s="85">
        <f t="shared" si="1"/>
        <v>-4.8682618854999575E-2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12989.4</v>
      </c>
      <c r="C28" s="88">
        <v>12412.25</v>
      </c>
      <c r="D28" s="89">
        <f t="shared" si="0"/>
        <v>577.14999999999964</v>
      </c>
      <c r="E28" s="85">
        <f t="shared" si="1"/>
        <v>-1.5981456838472866E-2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12902.65</v>
      </c>
      <c r="C29" s="88">
        <v>12308.2</v>
      </c>
      <c r="D29" s="89">
        <f t="shared" si="0"/>
        <v>594.44999999999891</v>
      </c>
      <c r="E29" s="85">
        <f t="shared" si="1"/>
        <v>1.3514377514284153E-2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12804.9</v>
      </c>
      <c r="C30" s="88">
        <v>12209.92</v>
      </c>
      <c r="D30" s="89">
        <f t="shared" si="0"/>
        <v>594.97999999999956</v>
      </c>
      <c r="E30" s="85">
        <f t="shared" si="1"/>
        <v>1.4418007121624107E-2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12925.43</v>
      </c>
      <c r="C31" s="88">
        <v>12353.83</v>
      </c>
      <c r="D31" s="89">
        <f t="shared" si="0"/>
        <v>571.60000000000036</v>
      </c>
      <c r="E31" s="85">
        <f t="shared" si="1"/>
        <v>-2.5443993292680201E-2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12991.36</v>
      </c>
      <c r="C32" s="88">
        <v>12405.11</v>
      </c>
      <c r="D32" s="89">
        <f t="shared" si="0"/>
        <v>586.25</v>
      </c>
      <c r="E32" s="85">
        <f t="shared" si="1"/>
        <v>-4.6630697661674569E-4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12737.82</v>
      </c>
      <c r="C33" s="88">
        <v>12160.94</v>
      </c>
      <c r="D33" s="89">
        <f t="shared" si="0"/>
        <v>576.8799999999992</v>
      </c>
      <c r="E33" s="85">
        <f t="shared" si="1"/>
        <v>-1.6441796449759433E-2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13043.64</v>
      </c>
      <c r="C34" s="88">
        <v>12441.45</v>
      </c>
      <c r="D34" s="89">
        <f t="shared" si="0"/>
        <v>602.18999999999869</v>
      </c>
      <c r="E34" s="85">
        <f t="shared" si="1"/>
        <v>2.6710779704477362E-2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12828.42</v>
      </c>
      <c r="C35" s="88">
        <v>12251.64</v>
      </c>
      <c r="D35" s="89">
        <f t="shared" si="0"/>
        <v>576.78000000000065</v>
      </c>
      <c r="E35" s="85">
        <f t="shared" si="1"/>
        <v>-1.6612292602085035E-2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13134.04</v>
      </c>
      <c r="C36" s="88">
        <v>12523.39</v>
      </c>
      <c r="D36" s="89">
        <f t="shared" si="0"/>
        <v>610.65000000000146</v>
      </c>
      <c r="E36" s="85">
        <f t="shared" si="1"/>
        <v>4.1134754191437847E-2</v>
      </c>
      <c r="G36" s="66"/>
      <c r="H36" s="66"/>
    </row>
    <row r="37" spans="1:15" ht="15" x14ac:dyDescent="0.3">
      <c r="A37" s="86">
        <v>17</v>
      </c>
      <c r="B37" s="90">
        <v>12938.59</v>
      </c>
      <c r="C37" s="88">
        <v>12349.28</v>
      </c>
      <c r="D37" s="89">
        <f t="shared" si="0"/>
        <v>589.30999999999949</v>
      </c>
      <c r="E37" s="85">
        <f t="shared" si="1"/>
        <v>4.750875284621708E-3</v>
      </c>
    </row>
    <row r="38" spans="1:15" ht="15" x14ac:dyDescent="0.3">
      <c r="A38" s="86">
        <v>18</v>
      </c>
      <c r="B38" s="90">
        <v>12840.63</v>
      </c>
      <c r="C38" s="88">
        <v>12225.2</v>
      </c>
      <c r="D38" s="89">
        <f t="shared" si="0"/>
        <v>615.42999999999847</v>
      </c>
      <c r="E38" s="85">
        <f t="shared" si="1"/>
        <v>4.9284470272715104E-2</v>
      </c>
    </row>
    <row r="39" spans="1:15" ht="15" x14ac:dyDescent="0.3">
      <c r="A39" s="86">
        <v>19</v>
      </c>
      <c r="B39" s="90">
        <v>12870.59</v>
      </c>
      <c r="C39" s="88">
        <v>12261.63</v>
      </c>
      <c r="D39" s="89">
        <f t="shared" si="0"/>
        <v>608.96000000000095</v>
      </c>
      <c r="E39" s="85">
        <f t="shared" si="1"/>
        <v>3.8253369217092388E-2</v>
      </c>
    </row>
    <row r="40" spans="1:15" ht="14.25" customHeight="1" x14ac:dyDescent="0.3">
      <c r="A40" s="91">
        <v>20</v>
      </c>
      <c r="B40" s="92">
        <v>12832.18</v>
      </c>
      <c r="C40" s="93">
        <v>12238.07</v>
      </c>
      <c r="D40" s="94">
        <f t="shared" si="0"/>
        <v>594.11000000000058</v>
      </c>
      <c r="E40" s="95">
        <f t="shared" si="1"/>
        <v>1.2934690596371526E-2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257886.26</v>
      </c>
      <c r="C42" s="98">
        <f>SUM(C21:C40)</f>
        <v>246155.79000000007</v>
      </c>
      <c r="D42" s="99">
        <f>SUM(D21:D40)</f>
        <v>11730.469999999994</v>
      </c>
    </row>
    <row r="43" spans="1:15" ht="15.75" customHeight="1" x14ac:dyDescent="0.3">
      <c r="A43" s="100" t="s">
        <v>47</v>
      </c>
      <c r="B43" s="101">
        <f>AVERAGE(B21:B40)</f>
        <v>12894.313</v>
      </c>
      <c r="C43" s="102">
        <f>AVERAGE(C21:C40)</f>
        <v>12307.789500000003</v>
      </c>
      <c r="D43" s="103">
        <f>AVERAGE(D21:D40)</f>
        <v>586.52349999999967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245">
        <f>D43</f>
        <v>586.52349999999967</v>
      </c>
      <c r="C47" s="107">
        <f>-(IF(D43&gt;300, 7.5%, 10%))</f>
        <v>-7.4999999999999997E-2</v>
      </c>
      <c r="D47" s="108">
        <f>IF(D43&lt;300, D43*0.9, D43*0.925)</f>
        <v>542.53423749999968</v>
      </c>
    </row>
    <row r="48" spans="1:15" ht="15.75" customHeight="1" x14ac:dyDescent="0.3">
      <c r="B48" s="246"/>
      <c r="C48" s="109">
        <f>+(IF(D43&gt;300, 7.5%, 10%))</f>
        <v>7.4999999999999997E-2</v>
      </c>
      <c r="D48" s="108">
        <f>IF(D43&lt;300, D43*1.1, D43*1.075)</f>
        <v>630.51276249999967</v>
      </c>
    </row>
    <row r="49" spans="1:7" ht="14.25" customHeight="1" x14ac:dyDescent="0.3">
      <c r="A49" s="110"/>
      <c r="D49" s="111"/>
    </row>
    <row r="50" spans="1:7" ht="15" customHeight="1" x14ac:dyDescent="0.3">
      <c r="B50" s="239" t="s">
        <v>26</v>
      </c>
      <c r="C50" s="239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zoomScale="60" zoomScaleNormal="78" workbookViewId="0">
      <selection activeCell="B18" sqref="B18:C18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47" t="s">
        <v>49</v>
      </c>
      <c r="B1" s="247"/>
      <c r="C1" s="247"/>
      <c r="D1" s="247"/>
      <c r="E1" s="247"/>
      <c r="F1" s="247"/>
      <c r="G1" s="247"/>
      <c r="H1" s="247"/>
    </row>
    <row r="2" spans="1:8" x14ac:dyDescent="0.2">
      <c r="A2" s="247"/>
      <c r="B2" s="247"/>
      <c r="C2" s="247"/>
      <c r="D2" s="247"/>
      <c r="E2" s="247"/>
      <c r="F2" s="247"/>
      <c r="G2" s="247"/>
      <c r="H2" s="247"/>
    </row>
    <row r="3" spans="1:8" x14ac:dyDescent="0.2">
      <c r="A3" s="247"/>
      <c r="B3" s="247"/>
      <c r="C3" s="247"/>
      <c r="D3" s="247"/>
      <c r="E3" s="247"/>
      <c r="F3" s="247"/>
      <c r="G3" s="247"/>
      <c r="H3" s="247"/>
    </row>
    <row r="4" spans="1:8" x14ac:dyDescent="0.2">
      <c r="A4" s="247"/>
      <c r="B4" s="247"/>
      <c r="C4" s="247"/>
      <c r="D4" s="247"/>
      <c r="E4" s="247"/>
      <c r="F4" s="247"/>
      <c r="G4" s="247"/>
      <c r="H4" s="247"/>
    </row>
    <row r="5" spans="1:8" x14ac:dyDescent="0.2">
      <c r="A5" s="247"/>
      <c r="B5" s="247"/>
      <c r="C5" s="247"/>
      <c r="D5" s="247"/>
      <c r="E5" s="247"/>
      <c r="F5" s="247"/>
      <c r="G5" s="247"/>
      <c r="H5" s="247"/>
    </row>
    <row r="6" spans="1:8" x14ac:dyDescent="0.2">
      <c r="A6" s="247"/>
      <c r="B6" s="247"/>
      <c r="C6" s="247"/>
      <c r="D6" s="247"/>
      <c r="E6" s="247"/>
      <c r="F6" s="247"/>
      <c r="G6" s="247"/>
      <c r="H6" s="247"/>
    </row>
    <row r="7" spans="1:8" x14ac:dyDescent="0.2">
      <c r="A7" s="247"/>
      <c r="B7" s="247"/>
      <c r="C7" s="247"/>
      <c r="D7" s="247"/>
      <c r="E7" s="247"/>
      <c r="F7" s="247"/>
      <c r="G7" s="247"/>
      <c r="H7" s="247"/>
    </row>
    <row r="8" spans="1:8" x14ac:dyDescent="0.2">
      <c r="A8" s="248" t="s">
        <v>50</v>
      </c>
      <c r="B8" s="248"/>
      <c r="C8" s="248"/>
      <c r="D8" s="248"/>
      <c r="E8" s="248"/>
      <c r="F8" s="248"/>
      <c r="G8" s="248"/>
      <c r="H8" s="248"/>
    </row>
    <row r="9" spans="1:8" x14ac:dyDescent="0.2">
      <c r="A9" s="248"/>
      <c r="B9" s="248"/>
      <c r="C9" s="248"/>
      <c r="D9" s="248"/>
      <c r="E9" s="248"/>
      <c r="F9" s="248"/>
      <c r="G9" s="248"/>
      <c r="H9" s="248"/>
    </row>
    <row r="10" spans="1:8" x14ac:dyDescent="0.2">
      <c r="A10" s="248"/>
      <c r="B10" s="248"/>
      <c r="C10" s="248"/>
      <c r="D10" s="248"/>
      <c r="E10" s="248"/>
      <c r="F10" s="248"/>
      <c r="G10" s="248"/>
      <c r="H10" s="248"/>
    </row>
    <row r="11" spans="1:8" x14ac:dyDescent="0.2">
      <c r="A11" s="248"/>
      <c r="B11" s="248"/>
      <c r="C11" s="248"/>
      <c r="D11" s="248"/>
      <c r="E11" s="248"/>
      <c r="F11" s="248"/>
      <c r="G11" s="248"/>
      <c r="H11" s="248"/>
    </row>
    <row r="12" spans="1:8" x14ac:dyDescent="0.2">
      <c r="A12" s="248"/>
      <c r="B12" s="248"/>
      <c r="C12" s="248"/>
      <c r="D12" s="248"/>
      <c r="E12" s="248"/>
      <c r="F12" s="248"/>
      <c r="G12" s="248"/>
      <c r="H12" s="248"/>
    </row>
    <row r="13" spans="1:8" x14ac:dyDescent="0.2">
      <c r="A13" s="248"/>
      <c r="B13" s="248"/>
      <c r="C13" s="248"/>
      <c r="D13" s="248"/>
      <c r="E13" s="248"/>
      <c r="F13" s="248"/>
      <c r="G13" s="248"/>
      <c r="H13" s="248"/>
    </row>
    <row r="14" spans="1:8" x14ac:dyDescent="0.2">
      <c r="A14" s="248"/>
      <c r="B14" s="248"/>
      <c r="C14" s="248"/>
      <c r="D14" s="248"/>
      <c r="E14" s="248"/>
      <c r="F14" s="248"/>
      <c r="G14" s="248"/>
      <c r="H14" s="248"/>
    </row>
    <row r="15" spans="1:8" ht="19.5" customHeight="1" x14ac:dyDescent="0.3">
      <c r="A15" s="119"/>
      <c r="B15" s="119"/>
      <c r="C15" s="119"/>
      <c r="D15" s="119"/>
      <c r="E15" s="119"/>
      <c r="F15" s="119"/>
      <c r="G15" s="119"/>
      <c r="H15" s="119"/>
    </row>
    <row r="16" spans="1:8" ht="19.5" customHeight="1" x14ac:dyDescent="0.3">
      <c r="A16" s="255" t="s">
        <v>31</v>
      </c>
      <c r="B16" s="256"/>
      <c r="C16" s="256"/>
      <c r="D16" s="256"/>
      <c r="E16" s="256"/>
      <c r="F16" s="256"/>
      <c r="G16" s="256"/>
      <c r="H16" s="257"/>
    </row>
    <row r="17" spans="1:8" ht="18.75" customHeight="1" x14ac:dyDescent="0.3">
      <c r="A17" s="120" t="s">
        <v>51</v>
      </c>
      <c r="B17" s="120"/>
      <c r="C17" s="119"/>
      <c r="D17" s="119"/>
      <c r="E17" s="119"/>
      <c r="F17" s="119"/>
      <c r="G17" s="119"/>
      <c r="H17" s="119"/>
    </row>
    <row r="18" spans="1:8" ht="26.25" customHeight="1" x14ac:dyDescent="0.4">
      <c r="A18" s="121" t="s">
        <v>33</v>
      </c>
      <c r="B18" s="273" t="s">
        <v>121</v>
      </c>
      <c r="C18" s="273"/>
      <c r="D18" s="273" t="s">
        <v>112</v>
      </c>
      <c r="E18" s="273"/>
      <c r="F18" s="119"/>
      <c r="G18" s="119"/>
      <c r="H18" s="119"/>
    </row>
    <row r="19" spans="1:8" ht="26.25" customHeight="1" x14ac:dyDescent="0.4">
      <c r="A19" s="121" t="s">
        <v>34</v>
      </c>
      <c r="B19" s="236" t="s">
        <v>7</v>
      </c>
      <c r="C19" s="119">
        <v>8</v>
      </c>
      <c r="D19" s="119"/>
      <c r="E19" s="119"/>
      <c r="F19" s="119"/>
      <c r="G19" s="119"/>
      <c r="H19" s="119"/>
    </row>
    <row r="20" spans="1:8" ht="26.25" customHeight="1" x14ac:dyDescent="0.4">
      <c r="A20" s="121" t="s">
        <v>35</v>
      </c>
      <c r="B20" s="122" t="s">
        <v>113</v>
      </c>
      <c r="C20" s="119"/>
      <c r="D20" s="119"/>
      <c r="E20" s="119"/>
      <c r="F20" s="119"/>
      <c r="G20" s="119"/>
      <c r="H20" s="119"/>
    </row>
    <row r="21" spans="1:8" ht="26.25" customHeight="1" x14ac:dyDescent="0.4">
      <c r="A21" s="121" t="s">
        <v>36</v>
      </c>
      <c r="B21" s="258" t="s">
        <v>114</v>
      </c>
      <c r="C21" s="258"/>
      <c r="D21" s="258"/>
      <c r="E21" s="258"/>
      <c r="F21" s="258"/>
      <c r="G21" s="258"/>
      <c r="H21" s="258"/>
    </row>
    <row r="22" spans="1:8" ht="26.25" customHeight="1" x14ac:dyDescent="0.4">
      <c r="A22" s="121" t="s">
        <v>37</v>
      </c>
      <c r="B22" s="123">
        <v>43332</v>
      </c>
      <c r="C22" s="119"/>
      <c r="D22" s="119"/>
      <c r="E22" s="119"/>
      <c r="F22" s="119"/>
      <c r="G22" s="119"/>
      <c r="H22" s="119"/>
    </row>
    <row r="23" spans="1:8" ht="26.25" customHeight="1" x14ac:dyDescent="0.4">
      <c r="A23" s="121" t="s">
        <v>38</v>
      </c>
      <c r="B23" s="123">
        <v>43334</v>
      </c>
      <c r="C23" s="119"/>
      <c r="D23" s="119"/>
      <c r="E23" s="119"/>
      <c r="F23" s="119"/>
      <c r="G23" s="119"/>
      <c r="H23" s="119"/>
    </row>
    <row r="24" spans="1:8" ht="18.75" customHeight="1" x14ac:dyDescent="0.3">
      <c r="A24" s="121"/>
      <c r="B24" s="124"/>
      <c r="C24" s="119"/>
      <c r="D24" s="119"/>
      <c r="E24" s="119"/>
      <c r="F24" s="119"/>
      <c r="G24" s="119"/>
      <c r="H24" s="119"/>
    </row>
    <row r="25" spans="1:8" ht="18.75" customHeight="1" x14ac:dyDescent="0.3">
      <c r="A25" s="125" t="s">
        <v>1</v>
      </c>
      <c r="B25" s="124"/>
      <c r="C25" s="119"/>
      <c r="D25" s="119"/>
      <c r="E25" s="119"/>
      <c r="F25" s="119"/>
      <c r="G25" s="119"/>
      <c r="H25" s="119"/>
    </row>
    <row r="26" spans="1:8" ht="26.25" customHeight="1" x14ac:dyDescent="0.4">
      <c r="A26" s="126" t="s">
        <v>4</v>
      </c>
      <c r="B26" s="259" t="s">
        <v>115</v>
      </c>
      <c r="C26" s="259"/>
      <c r="D26" s="119"/>
      <c r="E26" s="119"/>
      <c r="F26" s="119"/>
      <c r="G26" s="119"/>
      <c r="H26" s="119"/>
    </row>
    <row r="27" spans="1:8" ht="26.25" customHeight="1" x14ac:dyDescent="0.4">
      <c r="A27" s="127" t="s">
        <v>52</v>
      </c>
      <c r="B27" s="258" t="s">
        <v>116</v>
      </c>
      <c r="C27" s="258"/>
      <c r="D27" s="119"/>
      <c r="E27" s="119"/>
      <c r="F27" s="119"/>
      <c r="G27" s="119"/>
      <c r="H27" s="119"/>
    </row>
    <row r="28" spans="1:8" ht="27" customHeight="1" x14ac:dyDescent="0.4">
      <c r="A28" s="127" t="s">
        <v>6</v>
      </c>
      <c r="B28" s="128">
        <v>92.4</v>
      </c>
      <c r="C28" s="119"/>
      <c r="D28" s="119"/>
      <c r="E28" s="119"/>
      <c r="F28" s="119"/>
      <c r="G28" s="119"/>
      <c r="H28" s="119"/>
    </row>
    <row r="29" spans="1:8" ht="27" customHeight="1" x14ac:dyDescent="0.4">
      <c r="A29" s="127" t="s">
        <v>53</v>
      </c>
      <c r="B29" s="129">
        <v>8</v>
      </c>
      <c r="C29" s="260" t="s">
        <v>105</v>
      </c>
      <c r="D29" s="261"/>
      <c r="E29" s="261"/>
      <c r="F29" s="261"/>
      <c r="G29" s="261"/>
      <c r="H29" s="262"/>
    </row>
    <row r="30" spans="1:8" ht="19.5" customHeight="1" x14ac:dyDescent="0.3">
      <c r="A30" s="127" t="s">
        <v>54</v>
      </c>
      <c r="B30" s="130">
        <f>B28-B29</f>
        <v>84.4</v>
      </c>
      <c r="C30" s="131"/>
      <c r="D30" s="131"/>
      <c r="E30" s="131"/>
      <c r="F30" s="131"/>
      <c r="G30" s="131"/>
      <c r="H30" s="132"/>
    </row>
    <row r="31" spans="1:8" ht="27" customHeight="1" x14ac:dyDescent="0.4">
      <c r="A31" s="127" t="s">
        <v>55</v>
      </c>
      <c r="B31" s="133">
        <v>1</v>
      </c>
      <c r="C31" s="263" t="s">
        <v>56</v>
      </c>
      <c r="D31" s="264"/>
      <c r="E31" s="264"/>
      <c r="F31" s="264"/>
      <c r="G31" s="264"/>
      <c r="H31" s="265"/>
    </row>
    <row r="32" spans="1:8" ht="27" customHeight="1" x14ac:dyDescent="0.4">
      <c r="A32" s="127" t="s">
        <v>57</v>
      </c>
      <c r="B32" s="133">
        <v>1</v>
      </c>
      <c r="C32" s="263" t="s">
        <v>58</v>
      </c>
      <c r="D32" s="264"/>
      <c r="E32" s="264"/>
      <c r="F32" s="264"/>
      <c r="G32" s="264"/>
      <c r="H32" s="265"/>
    </row>
    <row r="33" spans="1:8" ht="18.75" customHeight="1" x14ac:dyDescent="0.3">
      <c r="A33" s="127"/>
      <c r="B33" s="134"/>
      <c r="C33" s="135"/>
      <c r="D33" s="135"/>
      <c r="E33" s="135"/>
      <c r="F33" s="135"/>
      <c r="G33" s="135"/>
      <c r="H33" s="135"/>
    </row>
    <row r="34" spans="1:8" ht="18.75" customHeight="1" x14ac:dyDescent="0.3">
      <c r="A34" s="127" t="s">
        <v>59</v>
      </c>
      <c r="B34" s="136">
        <f>B31/B32</f>
        <v>1</v>
      </c>
      <c r="C34" s="119" t="s">
        <v>60</v>
      </c>
      <c r="D34" s="119"/>
      <c r="E34" s="119"/>
      <c r="F34" s="119"/>
      <c r="G34" s="119"/>
      <c r="H34" s="137"/>
    </row>
    <row r="35" spans="1:8" ht="19.5" customHeight="1" x14ac:dyDescent="0.3">
      <c r="A35" s="127"/>
      <c r="B35" s="130"/>
      <c r="C35" s="137"/>
      <c r="D35" s="137"/>
      <c r="E35" s="137"/>
      <c r="F35" s="137"/>
      <c r="G35" s="119"/>
      <c r="H35" s="137"/>
    </row>
    <row r="36" spans="1:8" ht="27" customHeight="1" x14ac:dyDescent="0.4">
      <c r="A36" s="138" t="s">
        <v>108</v>
      </c>
      <c r="B36" s="139">
        <v>100</v>
      </c>
      <c r="C36" s="119"/>
      <c r="D36" s="266" t="s">
        <v>61</v>
      </c>
      <c r="E36" s="267"/>
      <c r="F36" s="266" t="s">
        <v>62</v>
      </c>
      <c r="G36" s="268"/>
      <c r="H36" s="137"/>
    </row>
    <row r="37" spans="1:8" ht="26.25" customHeight="1" x14ac:dyDescent="0.4">
      <c r="A37" s="140" t="s">
        <v>63</v>
      </c>
      <c r="B37" s="141">
        <v>1</v>
      </c>
      <c r="C37" s="142" t="s">
        <v>64</v>
      </c>
      <c r="D37" s="143" t="s">
        <v>65</v>
      </c>
      <c r="E37" s="144" t="s">
        <v>66</v>
      </c>
      <c r="F37" s="143" t="s">
        <v>65</v>
      </c>
      <c r="G37" s="145" t="s">
        <v>66</v>
      </c>
      <c r="H37" s="137"/>
    </row>
    <row r="38" spans="1:8" ht="26.25" customHeight="1" x14ac:dyDescent="0.4">
      <c r="A38" s="140" t="s">
        <v>67</v>
      </c>
      <c r="B38" s="141">
        <v>1</v>
      </c>
      <c r="C38" s="146">
        <v>1</v>
      </c>
      <c r="D38" s="147">
        <v>38667005</v>
      </c>
      <c r="E38" s="148">
        <f>IF(ISBLANK(D38),"-",$D$48/$D$45*D38)</f>
        <v>49448447.886480987</v>
      </c>
      <c r="F38" s="147">
        <v>41849943</v>
      </c>
      <c r="G38" s="149">
        <f>IF(ISBLANK(F38),"-",$D$48/$F$45*F38)</f>
        <v>49094297.545868337</v>
      </c>
      <c r="H38" s="137"/>
    </row>
    <row r="39" spans="1:8" ht="26.25" customHeight="1" x14ac:dyDescent="0.4">
      <c r="A39" s="140" t="s">
        <v>68</v>
      </c>
      <c r="B39" s="141">
        <v>1</v>
      </c>
      <c r="C39" s="150">
        <v>2</v>
      </c>
      <c r="D39" s="151">
        <v>38610499</v>
      </c>
      <c r="E39" s="152">
        <f>IF(ISBLANK(D39),"-",$D$48/$D$45*D39)</f>
        <v>49376186.432658188</v>
      </c>
      <c r="F39" s="151">
        <v>42009603</v>
      </c>
      <c r="G39" s="153">
        <f>IF(ISBLANK(F39),"-",$D$48/$F$45*F39)</f>
        <v>49281595.18558491</v>
      </c>
      <c r="H39" s="137"/>
    </row>
    <row r="40" spans="1:8" ht="26.25" customHeight="1" x14ac:dyDescent="0.4">
      <c r="A40" s="140" t="s">
        <v>69</v>
      </c>
      <c r="B40" s="141">
        <v>1</v>
      </c>
      <c r="C40" s="150">
        <v>3</v>
      </c>
      <c r="D40" s="151">
        <v>38752637</v>
      </c>
      <c r="E40" s="152">
        <f>IF(ISBLANK(D40),"-",$D$48/$D$45*D40)</f>
        <v>49557956.484041497</v>
      </c>
      <c r="F40" s="151">
        <v>42043347</v>
      </c>
      <c r="G40" s="153">
        <f>IF(ISBLANK(F40),"-",$D$48/$F$45*F40)</f>
        <v>49321180.376331478</v>
      </c>
      <c r="H40" s="119"/>
    </row>
    <row r="41" spans="1:8" ht="26.25" customHeight="1" x14ac:dyDescent="0.4">
      <c r="A41" s="140" t="s">
        <v>70</v>
      </c>
      <c r="B41" s="141">
        <v>1</v>
      </c>
      <c r="C41" s="154">
        <v>4</v>
      </c>
      <c r="D41" s="155"/>
      <c r="E41" s="156" t="str">
        <f>IF(ISBLANK(D41),"-",$D$48/$D$45*D41)</f>
        <v>-</v>
      </c>
      <c r="F41" s="155"/>
      <c r="G41" s="157" t="str">
        <f>IF(ISBLANK(F41),"-",$D$48/$F$45*F41)</f>
        <v>-</v>
      </c>
      <c r="H41" s="119"/>
    </row>
    <row r="42" spans="1:8" ht="27" customHeight="1" x14ac:dyDescent="0.4">
      <c r="A42" s="140" t="s">
        <v>71</v>
      </c>
      <c r="B42" s="141">
        <v>1</v>
      </c>
      <c r="C42" s="158" t="s">
        <v>72</v>
      </c>
      <c r="D42" s="159">
        <f>AVERAGE(D38:D41)</f>
        <v>38676713.666666664</v>
      </c>
      <c r="E42" s="160">
        <f>AVERAGE(E38:E41)</f>
        <v>49460863.601060234</v>
      </c>
      <c r="F42" s="159">
        <f>AVERAGE(F38:F41)</f>
        <v>41967631</v>
      </c>
      <c r="G42" s="161">
        <f>AVERAGE(G38:G41)</f>
        <v>49232357.702594906</v>
      </c>
      <c r="H42" s="162"/>
    </row>
    <row r="43" spans="1:8" ht="26.25" customHeight="1" x14ac:dyDescent="0.4">
      <c r="A43" s="140" t="s">
        <v>73</v>
      </c>
      <c r="B43" s="141">
        <v>1</v>
      </c>
      <c r="C43" s="163" t="s">
        <v>102</v>
      </c>
      <c r="D43" s="164">
        <v>18.53</v>
      </c>
      <c r="E43" s="165"/>
      <c r="F43" s="164">
        <v>20.2</v>
      </c>
      <c r="G43" s="119"/>
      <c r="H43" s="162"/>
    </row>
    <row r="44" spans="1:8" ht="26.25" customHeight="1" x14ac:dyDescent="0.4">
      <c r="A44" s="140" t="s">
        <v>74</v>
      </c>
      <c r="B44" s="141">
        <v>1</v>
      </c>
      <c r="C44" s="166" t="s">
        <v>103</v>
      </c>
      <c r="D44" s="167">
        <f>D43*$B$34</f>
        <v>18.53</v>
      </c>
      <c r="E44" s="168"/>
      <c r="F44" s="167">
        <f>F43*$B$34</f>
        <v>20.2</v>
      </c>
      <c r="G44" s="119"/>
      <c r="H44" s="162"/>
    </row>
    <row r="45" spans="1:8" ht="19.5" customHeight="1" x14ac:dyDescent="0.3">
      <c r="A45" s="140" t="s">
        <v>75</v>
      </c>
      <c r="B45" s="169">
        <f>(B44/B43)*(B42/B41)*(B40/B39)*(B38/B37)*B36</f>
        <v>100</v>
      </c>
      <c r="C45" s="166" t="s">
        <v>76</v>
      </c>
      <c r="D45" s="170">
        <f>D44*$B$30/100</f>
        <v>15.639320000000003</v>
      </c>
      <c r="E45" s="171"/>
      <c r="F45" s="170">
        <f>F44*$B$30/100</f>
        <v>17.0488</v>
      </c>
      <c r="G45" s="119"/>
      <c r="H45" s="162"/>
    </row>
    <row r="46" spans="1:8" ht="19.5" customHeight="1" x14ac:dyDescent="0.3">
      <c r="A46" s="269" t="s">
        <v>77</v>
      </c>
      <c r="B46" s="270"/>
      <c r="C46" s="166" t="s">
        <v>78</v>
      </c>
      <c r="D46" s="167">
        <f>D45/$B$45</f>
        <v>0.15639320000000004</v>
      </c>
      <c r="E46" s="171"/>
      <c r="F46" s="172">
        <f>F45/$B$45</f>
        <v>0.170488</v>
      </c>
      <c r="G46" s="119"/>
      <c r="H46" s="162"/>
    </row>
    <row r="47" spans="1:8" ht="27" customHeight="1" x14ac:dyDescent="0.4">
      <c r="A47" s="271"/>
      <c r="B47" s="272"/>
      <c r="C47" s="173" t="s">
        <v>106</v>
      </c>
      <c r="D47" s="174">
        <v>0.2</v>
      </c>
      <c r="E47" s="119"/>
      <c r="F47" s="175"/>
      <c r="G47" s="119"/>
      <c r="H47" s="162"/>
    </row>
    <row r="48" spans="1:8" ht="18.75" customHeight="1" x14ac:dyDescent="0.3">
      <c r="A48" s="119"/>
      <c r="B48" s="119"/>
      <c r="C48" s="176" t="s">
        <v>79</v>
      </c>
      <c r="D48" s="167">
        <f>D47*$B$45</f>
        <v>20</v>
      </c>
      <c r="E48" s="119"/>
      <c r="F48" s="175"/>
      <c r="G48" s="119"/>
      <c r="H48" s="162"/>
    </row>
    <row r="49" spans="1:8" ht="19.5" customHeight="1" x14ac:dyDescent="0.3">
      <c r="A49" s="119"/>
      <c r="B49" s="119"/>
      <c r="C49" s="177" t="s">
        <v>80</v>
      </c>
      <c r="D49" s="178">
        <f>D48/B34</f>
        <v>20</v>
      </c>
      <c r="E49" s="119"/>
      <c r="F49" s="175"/>
      <c r="G49" s="119"/>
      <c r="H49" s="162"/>
    </row>
    <row r="50" spans="1:8" ht="18.75" customHeight="1" x14ac:dyDescent="0.3">
      <c r="A50" s="119"/>
      <c r="B50" s="119"/>
      <c r="C50" s="138" t="s">
        <v>81</v>
      </c>
      <c r="D50" s="179">
        <f>AVERAGE(E38:E41,G38:G41)</f>
        <v>49346610.651827574</v>
      </c>
      <c r="E50" s="119"/>
      <c r="F50" s="180"/>
      <c r="G50" s="119"/>
      <c r="H50" s="162"/>
    </row>
    <row r="51" spans="1:8" ht="18.75" customHeight="1" x14ac:dyDescent="0.3">
      <c r="A51" s="119"/>
      <c r="B51" s="119"/>
      <c r="C51" s="173" t="s">
        <v>82</v>
      </c>
      <c r="D51" s="181">
        <f>STDEV(E38:E41,G38:G41)/D50</f>
        <v>3.1970690722452327E-3</v>
      </c>
      <c r="E51" s="119"/>
      <c r="F51" s="180"/>
      <c r="G51" s="119"/>
      <c r="H51" s="162"/>
    </row>
    <row r="52" spans="1:8" ht="19.5" customHeight="1" x14ac:dyDescent="0.3">
      <c r="A52" s="119"/>
      <c r="B52" s="119"/>
      <c r="C52" s="182" t="s">
        <v>20</v>
      </c>
      <c r="D52" s="183">
        <f>COUNT(E38:E41,G38:G41)</f>
        <v>6</v>
      </c>
      <c r="E52" s="119"/>
      <c r="F52" s="180"/>
      <c r="G52" s="119"/>
      <c r="H52" s="119"/>
    </row>
    <row r="53" spans="1:8" ht="18.75" customHeight="1" x14ac:dyDescent="0.3">
      <c r="A53" s="119"/>
      <c r="B53" s="119"/>
      <c r="C53" s="119"/>
      <c r="D53" s="119"/>
      <c r="E53" s="119"/>
      <c r="F53" s="119"/>
      <c r="G53" s="119"/>
      <c r="H53" s="119"/>
    </row>
    <row r="54" spans="1:8" ht="18.75" customHeight="1" x14ac:dyDescent="0.3">
      <c r="A54" s="120" t="s">
        <v>1</v>
      </c>
      <c r="B54" s="184" t="s">
        <v>83</v>
      </c>
      <c r="C54" s="119"/>
      <c r="D54" s="119"/>
      <c r="E54" s="119"/>
      <c r="F54" s="119"/>
      <c r="G54" s="119"/>
      <c r="H54" s="119"/>
    </row>
    <row r="55" spans="1:8" ht="18.75" customHeight="1" x14ac:dyDescent="0.3">
      <c r="A55" s="119" t="s">
        <v>84</v>
      </c>
      <c r="B55" s="185" t="str">
        <f>B21</f>
        <v>Each vials contains Ceftriaxone sodium USP equivalent to 500mg of  ceftriaxone.</v>
      </c>
      <c r="C55" s="119"/>
      <c r="D55" s="119"/>
      <c r="E55" s="119"/>
      <c r="F55" s="119"/>
      <c r="G55" s="119"/>
      <c r="H55" s="119"/>
    </row>
    <row r="56" spans="1:8" ht="26.25" customHeight="1" x14ac:dyDescent="0.4">
      <c r="A56" s="186" t="s">
        <v>109</v>
      </c>
      <c r="B56" s="187">
        <v>500</v>
      </c>
      <c r="C56" s="119" t="str">
        <f>B20</f>
        <v>CEFTRIAXONE</v>
      </c>
      <c r="D56" s="119"/>
      <c r="E56" s="119"/>
      <c r="F56" s="119"/>
      <c r="G56" s="119"/>
      <c r="H56" s="188"/>
    </row>
    <row r="57" spans="1:8" ht="18.75" customHeight="1" x14ac:dyDescent="0.3">
      <c r="A57" s="185" t="s">
        <v>110</v>
      </c>
      <c r="B57" s="237">
        <f>Uniformity!D43</f>
        <v>586.52349999999967</v>
      </c>
      <c r="C57" s="119"/>
      <c r="D57" s="119"/>
      <c r="E57" s="119"/>
      <c r="F57" s="119"/>
      <c r="G57" s="119"/>
      <c r="H57" s="188"/>
    </row>
    <row r="58" spans="1:8" ht="19.5" customHeight="1" x14ac:dyDescent="0.3">
      <c r="A58" s="119"/>
      <c r="B58" s="119"/>
      <c r="C58" s="119"/>
      <c r="D58" s="119"/>
      <c r="E58" s="119"/>
      <c r="F58" s="119"/>
      <c r="G58" s="119"/>
      <c r="H58" s="188"/>
    </row>
    <row r="59" spans="1:8" ht="27" customHeight="1" x14ac:dyDescent="0.4">
      <c r="A59" s="138" t="s">
        <v>107</v>
      </c>
      <c r="B59" s="139">
        <v>200</v>
      </c>
      <c r="C59" s="119"/>
      <c r="D59" s="189" t="s">
        <v>111</v>
      </c>
      <c r="E59" s="190" t="s">
        <v>64</v>
      </c>
      <c r="F59" s="190" t="s">
        <v>65</v>
      </c>
      <c r="G59" s="190" t="s">
        <v>85</v>
      </c>
      <c r="H59" s="142" t="s">
        <v>86</v>
      </c>
    </row>
    <row r="60" spans="1:8" ht="26.25" customHeight="1" x14ac:dyDescent="0.4">
      <c r="A60" s="140" t="s">
        <v>104</v>
      </c>
      <c r="B60" s="141">
        <v>1</v>
      </c>
      <c r="C60" s="249" t="s">
        <v>87</v>
      </c>
      <c r="D60" s="252">
        <v>47.58</v>
      </c>
      <c r="E60" s="191">
        <v>1</v>
      </c>
      <c r="F60" s="192">
        <v>49818393</v>
      </c>
      <c r="G60" s="193">
        <f>IF(ISBLANK(F60),"-",(F60/$D$50*$D$47*$B$68)*($B$57/$D$60))</f>
        <v>497.79823991638767</v>
      </c>
      <c r="H60" s="194">
        <f t="shared" ref="H60:H71" si="0">IF(ISBLANK(F60),"-",G60/$B$56)</f>
        <v>0.99559647983277533</v>
      </c>
    </row>
    <row r="61" spans="1:8" ht="26.25" customHeight="1" x14ac:dyDescent="0.4">
      <c r="A61" s="140" t="s">
        <v>88</v>
      </c>
      <c r="B61" s="141">
        <v>1</v>
      </c>
      <c r="C61" s="250"/>
      <c r="D61" s="253"/>
      <c r="E61" s="195">
        <v>2</v>
      </c>
      <c r="F61" s="151">
        <v>49557444</v>
      </c>
      <c r="G61" s="196">
        <f>IF(ISBLANK(F61),"-",(F61/$D$50*$D$47*$B$68)*($B$57/$D$60))</f>
        <v>495.19077016303891</v>
      </c>
      <c r="H61" s="197">
        <f t="shared" si="0"/>
        <v>0.99038154032607784</v>
      </c>
    </row>
    <row r="62" spans="1:8" ht="26.25" customHeight="1" x14ac:dyDescent="0.4">
      <c r="A62" s="140" t="s">
        <v>89</v>
      </c>
      <c r="B62" s="141">
        <v>1</v>
      </c>
      <c r="C62" s="250"/>
      <c r="D62" s="253"/>
      <c r="E62" s="195">
        <v>3</v>
      </c>
      <c r="F62" s="151">
        <v>49686471</v>
      </c>
      <c r="G62" s="196">
        <f>IF(ISBLANK(F62),"-",(F62/$D$50*$D$47*$B$68)*($B$57/$D$60))</f>
        <v>496.48004124614442</v>
      </c>
      <c r="H62" s="197">
        <f t="shared" si="0"/>
        <v>0.99296008249228884</v>
      </c>
    </row>
    <row r="63" spans="1:8" ht="27" customHeight="1" x14ac:dyDescent="0.4">
      <c r="A63" s="140" t="s">
        <v>90</v>
      </c>
      <c r="B63" s="141">
        <v>1</v>
      </c>
      <c r="C63" s="251"/>
      <c r="D63" s="254"/>
      <c r="E63" s="198">
        <v>4</v>
      </c>
      <c r="F63" s="199"/>
      <c r="G63" s="196" t="str">
        <f>IF(ISBLANK(F63),"-",(F63/$D$50*$D$47*$B$68)*($B$57/$D$60))</f>
        <v>-</v>
      </c>
      <c r="H63" s="197" t="str">
        <f t="shared" si="0"/>
        <v>-</v>
      </c>
    </row>
    <row r="64" spans="1:8" ht="26.25" customHeight="1" x14ac:dyDescent="0.4">
      <c r="A64" s="140" t="s">
        <v>91</v>
      </c>
      <c r="B64" s="141">
        <v>1</v>
      </c>
      <c r="C64" s="249" t="s">
        <v>92</v>
      </c>
      <c r="D64" s="252">
        <v>49.2</v>
      </c>
      <c r="E64" s="191">
        <v>1</v>
      </c>
      <c r="F64" s="192">
        <v>51592561</v>
      </c>
      <c r="G64" s="200">
        <f>IF(ISBLANK(F64),"-",(F64/$D$50*$D$47*$B$68)*($B$57/$D$64))</f>
        <v>498.55154178852916</v>
      </c>
      <c r="H64" s="201">
        <f t="shared" si="0"/>
        <v>0.99710308357705835</v>
      </c>
    </row>
    <row r="65" spans="1:8" ht="26.25" customHeight="1" x14ac:dyDescent="0.4">
      <c r="A65" s="140" t="s">
        <v>93</v>
      </c>
      <c r="B65" s="141">
        <v>1</v>
      </c>
      <c r="C65" s="250"/>
      <c r="D65" s="253"/>
      <c r="E65" s="195">
        <v>2</v>
      </c>
      <c r="F65" s="151">
        <v>51523049</v>
      </c>
      <c r="G65" s="202">
        <f>IF(ISBLANK(F65),"-",(F65/$D$50*$D$47*$B$68)*($B$57/$D$64))</f>
        <v>497.87983032274633</v>
      </c>
      <c r="H65" s="203">
        <f t="shared" si="0"/>
        <v>0.99575966064549271</v>
      </c>
    </row>
    <row r="66" spans="1:8" ht="26.25" customHeight="1" x14ac:dyDescent="0.4">
      <c r="A66" s="140" t="s">
        <v>94</v>
      </c>
      <c r="B66" s="141">
        <v>1</v>
      </c>
      <c r="C66" s="250"/>
      <c r="D66" s="253"/>
      <c r="E66" s="195">
        <v>3</v>
      </c>
      <c r="F66" s="151">
        <v>51540624</v>
      </c>
      <c r="G66" s="202">
        <f>IF(ISBLANK(F66),"-",(F66/$D$50*$D$47*$B$68)*($B$57/$D$64))</f>
        <v>498.0496618483985</v>
      </c>
      <c r="H66" s="203">
        <f t="shared" si="0"/>
        <v>0.99609932369679699</v>
      </c>
    </row>
    <row r="67" spans="1:8" ht="27" customHeight="1" x14ac:dyDescent="0.4">
      <c r="A67" s="140" t="s">
        <v>95</v>
      </c>
      <c r="B67" s="141">
        <v>1</v>
      </c>
      <c r="C67" s="251"/>
      <c r="D67" s="254"/>
      <c r="E67" s="198">
        <v>4</v>
      </c>
      <c r="F67" s="199"/>
      <c r="G67" s="204" t="str">
        <f>IF(ISBLANK(F67),"-",(F67/$D$50*$D$47*$B$68)*($B$57/$D$64))</f>
        <v>-</v>
      </c>
      <c r="H67" s="205" t="str">
        <f t="shared" si="0"/>
        <v>-</v>
      </c>
    </row>
    <row r="68" spans="1:8" ht="26.25" customHeight="1" x14ac:dyDescent="0.4">
      <c r="A68" s="140" t="s">
        <v>96</v>
      </c>
      <c r="B68" s="206">
        <f>(B67/B66)*(B65/B64)*(B63/B62)*(B61/B60)*B59</f>
        <v>200</v>
      </c>
      <c r="C68" s="249" t="s">
        <v>97</v>
      </c>
      <c r="D68" s="252">
        <v>42.58</v>
      </c>
      <c r="E68" s="191">
        <v>1</v>
      </c>
      <c r="F68" s="192">
        <v>44341952</v>
      </c>
      <c r="G68" s="200">
        <f>IF(ISBLANK(F68),"-",(F68/$D$50*$D$47*$B$68)*($B$57/$D$68))</f>
        <v>495.10490682547834</v>
      </c>
      <c r="H68" s="197">
        <f t="shared" si="0"/>
        <v>0.99020981365095673</v>
      </c>
    </row>
    <row r="69" spans="1:8" ht="27" customHeight="1" x14ac:dyDescent="0.4">
      <c r="A69" s="182" t="s">
        <v>98</v>
      </c>
      <c r="B69" s="207">
        <f>(D47*B68)/B56*B57</f>
        <v>46.921879999999973</v>
      </c>
      <c r="C69" s="250"/>
      <c r="D69" s="253"/>
      <c r="E69" s="195">
        <v>2</v>
      </c>
      <c r="F69" s="151">
        <v>44218116</v>
      </c>
      <c r="G69" s="202">
        <f>IF(ISBLANK(F69),"-",(F69/$D$50*$D$47*$B$68)*($B$57/$D$68))</f>
        <v>493.72220244562504</v>
      </c>
      <c r="H69" s="197">
        <f t="shared" si="0"/>
        <v>0.98744440489125007</v>
      </c>
    </row>
    <row r="70" spans="1:8" ht="26.25" customHeight="1" x14ac:dyDescent="0.4">
      <c r="A70" s="269" t="s">
        <v>77</v>
      </c>
      <c r="B70" s="270"/>
      <c r="C70" s="250"/>
      <c r="D70" s="253"/>
      <c r="E70" s="195">
        <v>3</v>
      </c>
      <c r="F70" s="151">
        <v>44337626</v>
      </c>
      <c r="G70" s="202">
        <f>IF(ISBLANK(F70),"-",(F70/$D$50*$D$47*$B$68)*($B$57/$D$68))</f>
        <v>495.0566044001153</v>
      </c>
      <c r="H70" s="197">
        <f t="shared" si="0"/>
        <v>0.99011320880023057</v>
      </c>
    </row>
    <row r="71" spans="1:8" ht="27" customHeight="1" x14ac:dyDescent="0.4">
      <c r="A71" s="271"/>
      <c r="B71" s="272"/>
      <c r="C71" s="275"/>
      <c r="D71" s="254"/>
      <c r="E71" s="198">
        <v>4</v>
      </c>
      <c r="F71" s="199"/>
      <c r="G71" s="204" t="str">
        <f>IF(ISBLANK(F71),"-",(F71/$D$50*$D$47*$B$68)*($B$57/$D$68))</f>
        <v>-</v>
      </c>
      <c r="H71" s="208" t="str">
        <f t="shared" si="0"/>
        <v>-</v>
      </c>
    </row>
    <row r="72" spans="1:8" ht="26.25" customHeight="1" x14ac:dyDescent="0.4">
      <c r="A72" s="209"/>
      <c r="B72" s="209"/>
      <c r="C72" s="209"/>
      <c r="D72" s="209"/>
      <c r="E72" s="209"/>
      <c r="F72" s="210"/>
      <c r="G72" s="211" t="s">
        <v>72</v>
      </c>
      <c r="H72" s="212">
        <f>AVERAGE(H60:H71)</f>
        <v>0.99285195532365855</v>
      </c>
    </row>
    <row r="73" spans="1:8" ht="26.25" customHeight="1" x14ac:dyDescent="0.4">
      <c r="A73" s="119"/>
      <c r="B73" s="119"/>
      <c r="C73" s="209"/>
      <c r="D73" s="209"/>
      <c r="E73" s="209"/>
      <c r="F73" s="210"/>
      <c r="G73" s="213" t="s">
        <v>82</v>
      </c>
      <c r="H73" s="214">
        <f>STDEV(H60:H71)/H72</f>
        <v>3.4606235195441307E-3</v>
      </c>
    </row>
    <row r="74" spans="1:8" ht="27" customHeight="1" x14ac:dyDescent="0.4">
      <c r="A74" s="209"/>
      <c r="B74" s="209"/>
      <c r="C74" s="210"/>
      <c r="D74" s="210"/>
      <c r="E74" s="215"/>
      <c r="F74" s="210"/>
      <c r="G74" s="216" t="s">
        <v>20</v>
      </c>
      <c r="H74" s="217">
        <f>COUNT(H60:H71)</f>
        <v>9</v>
      </c>
    </row>
    <row r="75" spans="1:8" ht="18.75" customHeight="1" x14ac:dyDescent="0.3">
      <c r="A75" s="218"/>
      <c r="B75" s="218"/>
      <c r="C75" s="168"/>
      <c r="D75" s="168"/>
      <c r="E75" s="171"/>
      <c r="F75" s="168"/>
      <c r="G75" s="219"/>
      <c r="H75" s="220"/>
    </row>
    <row r="76" spans="1:8" ht="26.25" customHeight="1" x14ac:dyDescent="0.4">
      <c r="A76" s="126" t="s">
        <v>99</v>
      </c>
      <c r="B76" s="221" t="s">
        <v>100</v>
      </c>
      <c r="C76" s="276" t="str">
        <f>B20</f>
        <v>CEFTRIAXONE</v>
      </c>
      <c r="D76" s="276"/>
      <c r="E76" s="222" t="s">
        <v>101</v>
      </c>
      <c r="F76" s="222"/>
      <c r="G76" s="223">
        <f>H72</f>
        <v>0.99285195532365855</v>
      </c>
      <c r="H76" s="220"/>
    </row>
    <row r="77" spans="1:8" ht="19.5" customHeight="1" x14ac:dyDescent="0.3">
      <c r="A77" s="224"/>
      <c r="B77" s="224"/>
      <c r="C77" s="225"/>
      <c r="D77" s="225"/>
      <c r="E77" s="225"/>
      <c r="F77" s="225"/>
      <c r="G77" s="225"/>
      <c r="H77" s="225"/>
    </row>
    <row r="78" spans="1:8" ht="18.75" customHeight="1" x14ac:dyDescent="0.3">
      <c r="A78" s="119"/>
      <c r="B78" s="274" t="s">
        <v>26</v>
      </c>
      <c r="C78" s="274"/>
      <c r="D78" s="119"/>
      <c r="E78" s="226" t="s">
        <v>27</v>
      </c>
      <c r="F78" s="227"/>
      <c r="G78" s="274" t="s">
        <v>28</v>
      </c>
      <c r="H78" s="274"/>
    </row>
    <row r="79" spans="1:8" ht="60" customHeight="1" x14ac:dyDescent="0.3">
      <c r="A79" s="228" t="s">
        <v>29</v>
      </c>
      <c r="B79" s="229" t="s">
        <v>119</v>
      </c>
      <c r="C79" s="229"/>
      <c r="D79" s="119"/>
      <c r="E79" s="230"/>
      <c r="F79" s="231"/>
      <c r="G79" s="232"/>
      <c r="H79" s="232"/>
    </row>
    <row r="80" spans="1:8" ht="60" customHeight="1" x14ac:dyDescent="0.3">
      <c r="A80" s="228" t="s">
        <v>30</v>
      </c>
      <c r="B80" s="233"/>
      <c r="C80" s="233"/>
      <c r="D80" s="119"/>
      <c r="E80" s="234"/>
      <c r="F80" s="231"/>
      <c r="G80" s="235"/>
      <c r="H80" s="235"/>
    </row>
    <row r="250" spans="1:1" x14ac:dyDescent="0.2">
      <c r="A250">
        <v>5</v>
      </c>
    </row>
  </sheetData>
  <sheetProtection password="F258" sheet="1" objects="1" scenarios="1" formatCells="0" formatColumns="0"/>
  <mergeCells count="24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18:C18"/>
    <mergeCell ref="D18:E18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Ceftriaxone</vt:lpstr>
      <vt:lpstr>Ceftriaxone!Print_Area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2018-08-23T05:58:19Z</cp:lastPrinted>
  <dcterms:created xsi:type="dcterms:W3CDTF">2005-07-05T10:19:27Z</dcterms:created>
  <dcterms:modified xsi:type="dcterms:W3CDTF">2018-08-23T06:08:54Z</dcterms:modified>
</cp:coreProperties>
</file>