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840" windowWidth="20532" windowHeight="8352" activeTab="2"/>
  </bookViews>
  <sheets>
    <sheet name="Uniformity" sheetId="4" r:id="rId1"/>
    <sheet name="SST" sheetId="1" r:id="rId2"/>
    <sheet name="Amodiaquine " sheetId="5" r:id="rId3"/>
  </sheets>
  <definedNames>
    <definedName name="_xlnm.Print_Area" localSheetId="2">'Amodiaquine '!$A$1:$H$83</definedName>
    <definedName name="_xlnm.Print_Area" localSheetId="1">SST!$A$1:$F$47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28" i="1" l="1"/>
  <c r="F16" i="1"/>
  <c r="E16" i="1"/>
  <c r="D16" i="1"/>
  <c r="C16" i="1"/>
  <c r="B17" i="1"/>
  <c r="B16" i="1"/>
  <c r="B7" i="1"/>
  <c r="F44" i="5"/>
  <c r="F45" i="5" s="1"/>
  <c r="B34" i="5"/>
  <c r="D44" i="5" s="1"/>
  <c r="D45" i="5" s="1"/>
  <c r="D46" i="5" s="1"/>
  <c r="B27" i="1"/>
  <c r="C76" i="5"/>
  <c r="B68" i="5"/>
  <c r="B57" i="5"/>
  <c r="B55" i="5"/>
  <c r="B45" i="5"/>
  <c r="D48" i="5" s="1"/>
  <c r="F42" i="5"/>
  <c r="D42" i="5"/>
  <c r="B30" i="5"/>
  <c r="C46" i="4"/>
  <c r="D50" i="4" s="1"/>
  <c r="C45" i="4"/>
  <c r="D43" i="4"/>
  <c r="D36" i="4"/>
  <c r="D35" i="4"/>
  <c r="D28" i="4"/>
  <c r="D27" i="4"/>
  <c r="C19" i="4"/>
  <c r="B39" i="1"/>
  <c r="E37" i="1"/>
  <c r="D37" i="1"/>
  <c r="C37" i="1"/>
  <c r="B37" i="1"/>
  <c r="B38" i="1" s="1"/>
  <c r="B18" i="1"/>
  <c r="D37" i="4" l="1"/>
  <c r="D30" i="4"/>
  <c r="B49" i="4"/>
  <c r="D32" i="4"/>
  <c r="D40" i="4"/>
  <c r="D49" i="4"/>
  <c r="D38" i="4"/>
  <c r="D25" i="4"/>
  <c r="D33" i="4"/>
  <c r="D41" i="4"/>
  <c r="C50" i="4"/>
  <c r="D29" i="4"/>
  <c r="D31" i="4"/>
  <c r="D39" i="4"/>
  <c r="C49" i="4"/>
  <c r="D24" i="4"/>
  <c r="D26" i="4"/>
  <c r="D34" i="4"/>
  <c r="D42" i="4"/>
  <c r="I39" i="5"/>
  <c r="D49" i="5"/>
  <c r="E38" i="5"/>
  <c r="B69" i="5"/>
  <c r="E40" i="5" l="1"/>
  <c r="E41" i="5"/>
  <c r="E39" i="5"/>
  <c r="G40" i="5"/>
  <c r="F46" i="5"/>
  <c r="G41" i="5"/>
  <c r="G39" i="5"/>
  <c r="G38" i="5"/>
  <c r="D51" i="5" l="1"/>
  <c r="E42" i="5"/>
  <c r="D50" i="5"/>
  <c r="G60" i="5" s="1"/>
  <c r="D52" i="5"/>
  <c r="G42" i="5"/>
  <c r="G62" i="5" l="1"/>
  <c r="H62" i="5" s="1"/>
  <c r="G69" i="5"/>
  <c r="H69" i="5" s="1"/>
  <c r="G61" i="5"/>
  <c r="H61" i="5" s="1"/>
  <c r="G67" i="5"/>
  <c r="H67" i="5" s="1"/>
  <c r="G65" i="5"/>
  <c r="H65" i="5" s="1"/>
  <c r="G66" i="5"/>
  <c r="H66" i="5" s="1"/>
  <c r="G63" i="5"/>
  <c r="H63" i="5" s="1"/>
  <c r="G71" i="5"/>
  <c r="H71" i="5" s="1"/>
  <c r="G64" i="5"/>
  <c r="H64" i="5" s="1"/>
  <c r="G68" i="5"/>
  <c r="H68" i="5" s="1"/>
  <c r="G70" i="5"/>
  <c r="H70" i="5" s="1"/>
  <c r="H60" i="5"/>
  <c r="G74" i="5" l="1"/>
  <c r="G72" i="5"/>
  <c r="G73" i="5" s="1"/>
  <c r="H72" i="5"/>
  <c r="G76" i="5" s="1"/>
  <c r="H74" i="5"/>
  <c r="H73" i="5" l="1"/>
</calcChain>
</file>

<file path=xl/sharedStrings.xml><?xml version="1.0" encoding="utf-8"?>
<sst xmlns="http://schemas.openxmlformats.org/spreadsheetml/2006/main" count="169" uniqueCount="119">
  <si>
    <t>HPLC System Suitability Report</t>
  </si>
  <si>
    <t>Analysis Data</t>
  </si>
  <si>
    <t>Assay</t>
  </si>
  <si>
    <t>Sample(s)</t>
  </si>
  <si>
    <t>Reference Substance:</t>
  </si>
  <si>
    <t>CAMOSUNATE PLUS ADULTS</t>
  </si>
  <si>
    <t>% age Purity:</t>
  </si>
  <si>
    <t>NDQE2016061241</t>
  </si>
  <si>
    <t>Weight (mg):</t>
  </si>
  <si>
    <t>Amodiaquine HCl,
Artesunate</t>
  </si>
  <si>
    <t>Standard Conc (mg/mL):</t>
  </si>
  <si>
    <t>Each tablet contains Amodiaquine HCl 300 mg
Artesunate 100 mg</t>
  </si>
  <si>
    <t>2016-07-05 10:58:12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</si>
  <si>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</si>
  <si>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</si>
  <si>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</si>
  <si>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</si>
  <si>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</si>
  <si>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</si>
  <si>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</si>
  <si>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</si>
  <si>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</si>
  <si>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</si>
  <si>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</si>
  <si>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</si>
  <si>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</si>
  <si>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</si>
  <si>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</si>
  <si>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</si>
  <si>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</si>
  <si>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</si>
  <si>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</si>
  <si>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</si>
  <si>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</si>
  <si>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</si>
  <si>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</si>
  <si>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</si>
  <si>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</si>
  <si>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</si>
  <si>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</si>
  <si>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</si>
  <si>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</si>
  <si>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</si>
  <si>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</si>
  <si>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</si>
  <si>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</si>
  <si>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</si>
  <si>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</si>
  <si>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</si>
  <si>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</si>
  <si>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</si>
  <si>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</si>
  <si>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</si>
  <si>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</si>
  <si>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</si>
  <si>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</si>
  <si>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</si>
  <si>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</si>
  <si>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</si>
  <si>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</si>
  <si>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</si>
  <si>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</si>
  <si>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</si>
  <si>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</si>
  <si>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</si>
  <si>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</si>
  <si>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</si>
  <si>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</si>
  <si>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</si>
  <si>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</si>
  <si>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</si>
  <si>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</si>
  <si>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</si>
  <si>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</si>
  <si>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</si>
  <si>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</si>
  <si>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</si>
  <si>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</si>
  <si>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</si>
  <si>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</si>
  <si>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</si>
  <si>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</si>
  <si>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</si>
  <si>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</si>
  <si>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</si>
  <si>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</si>
  <si>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</si>
  <si>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</si>
  <si>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</si>
  <si>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</si>
  <si>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</si>
  <si>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</si>
  <si>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</si>
  <si>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</si>
  <si>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</si>
  <si>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</si>
  <si>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Average</t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</si>
  <si>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</si>
  <si>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</si>
  <si>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</si>
  <si>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</si>
  <si>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</si>
  <si>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</si>
  <si>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Each Tablet contains</t>
  </si>
  <si>
    <t>Resolution (USP)</t>
  </si>
  <si>
    <t>CAMOSUNATE PLUS</t>
  </si>
  <si>
    <t>NDQE20161241</t>
  </si>
  <si>
    <t>Amodiaquine &amp; Artesunate</t>
  </si>
  <si>
    <t>Each tablet contains 300 mg Amodiaquine &amp; 100 mg Artesunate</t>
  </si>
  <si>
    <t>Amodiaquine Hydrochloride</t>
  </si>
  <si>
    <t>Lot J0I144</t>
  </si>
  <si>
    <t>1 mg of anhydrous salt is equivalent to</t>
  </si>
  <si>
    <t>Mwt of compound in (anhydrous) salt form:</t>
  </si>
  <si>
    <t xml:space="preserve">Enter molecular mass of compound in (anhydrous) salt form. If salt conversion is NOT needed, enter 1. </t>
  </si>
  <si>
    <t>% age Purity (anhydrous basis):</t>
  </si>
  <si>
    <t>Amodiaquine</t>
  </si>
  <si>
    <t>Average Tablet Weight (mg):</t>
  </si>
  <si>
    <t>Chloroquine Phosphate USP CRS (Lot J1L043)</t>
  </si>
  <si>
    <t>Amodiaquine HCl USP CRS (Lot J0I144)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</si>
</sst>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  <numFmt numFmtId="177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27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0" fontId="10" fillId="6" borderId="45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46" xfId="0" applyFont="1" applyFill="1" applyBorder="1" applyAlignment="1">
      <alignment horizontal="center" wrapText="1"/>
    </xf>
    <xf numFmtId="0" fontId="22" fillId="2" borderId="47" xfId="0" applyFont="1" applyFill="1" applyBorder="1" applyAlignment="1">
      <alignment horizontal="center" wrapText="1"/>
    </xf>
    <xf numFmtId="0" fontId="22" fillId="2" borderId="48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46" xfId="0" applyFont="1" applyFill="1" applyBorder="1" applyAlignment="1">
      <alignment horizontal="justify" vertical="center" wrapText="1"/>
    </xf>
    <xf numFmtId="0" fontId="16" fillId="2" borderId="47" xfId="0" applyFont="1" applyFill="1" applyBorder="1" applyAlignment="1">
      <alignment horizontal="justify" vertical="center" wrapText="1"/>
    </xf>
    <xf numFmtId="0" fontId="16" fillId="2" borderId="48" xfId="0" applyFont="1" applyFill="1" applyBorder="1" applyAlignment="1">
      <alignment horizontal="justify" vertical="center" wrapText="1"/>
    </xf>
    <xf numFmtId="0" fontId="16" fillId="2" borderId="46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6" fillId="2" borderId="48" xfId="0" applyFont="1" applyFill="1" applyBorder="1" applyAlignment="1">
      <alignment horizontal="left" vertical="center" wrapText="1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46" xfId="0" applyFont="1" applyFill="1" applyBorder="1" applyAlignment="1">
      <alignment horizontal="center"/>
    </xf>
    <xf numFmtId="0" fontId="16" fillId="2" borderId="47" xfId="0" applyFont="1" applyFill="1" applyBorder="1" applyAlignment="1">
      <alignment horizontal="center"/>
    </xf>
    <xf numFmtId="0" fontId="16" fillId="2" borderId="48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177" fontId="5" fillId="4" borderId="1" xfId="0" applyNumberFormat="1" applyFont="1" applyFill="1" applyBorder="1" applyAlignment="1">
      <alignment horizontal="center"/>
    </xf>
    <xf numFmtId="177" fontId="7" fillId="3" borderId="3" xfId="0" applyNumberFormat="1" applyFont="1" applyFill="1" applyBorder="1" applyAlignment="1" applyProtection="1">
      <alignment horizontal="center"/>
      <protection locked="0"/>
    </xf>
    <xf numFmtId="177" fontId="7" fillId="3" borderId="5" xfId="0" applyNumberFormat="1" applyFont="1" applyFill="1" applyBorder="1" applyAlignment="1" applyProtection="1">
      <alignment horizontal="center"/>
      <protection locked="0"/>
    </xf>
    <xf numFmtId="177" fontId="7" fillId="3" borderId="4" xfId="0" applyNumberFormat="1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40" xfId="0" applyNumberFormat="1" applyFont="1" applyFill="1" applyBorder="1" applyAlignment="1">
      <alignment horizontal="center"/>
    </xf>
    <xf numFmtId="2" fontId="8" fillId="2" borderId="30" xfId="0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0" xfId="0" applyFont="1" applyFill="1" applyBorder="1"/>
    <xf numFmtId="165" fontId="10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/>
  </cellXfs>
  <cellStyles count="2">
    <cellStyle name="Normal" xfId="0" builtinId="0"/>
    <cellStyle name="Percent" xfId="1" builtinId="5"/>
  </cellStyles>
  <dxfs count="2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E5" sqref="E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14" t="s">
        <v>32</v>
      </c>
      <c r="B11" s="215"/>
      <c r="C11" s="215"/>
      <c r="D11" s="215"/>
      <c r="E11" s="215"/>
      <c r="F11" s="216"/>
      <c r="G11" s="86"/>
    </row>
    <row r="12" spans="1:7" ht="16.5" customHeight="1" x14ac:dyDescent="0.3">
      <c r="A12" s="213" t="s">
        <v>97</v>
      </c>
      <c r="B12" s="213"/>
      <c r="C12" s="213"/>
      <c r="D12" s="213"/>
      <c r="E12" s="213"/>
      <c r="F12" s="213"/>
      <c r="G12" s="85"/>
    </row>
    <row r="14" spans="1:7" ht="16.5" customHeight="1" x14ac:dyDescent="0.3">
      <c r="A14" s="218" t="s">
        <v>34</v>
      </c>
      <c r="B14" s="218"/>
      <c r="C14" s="55" t="s">
        <v>5</v>
      </c>
    </row>
    <row r="15" spans="1:7" ht="16.5" customHeight="1" x14ac:dyDescent="0.3">
      <c r="A15" s="218" t="s">
        <v>35</v>
      </c>
      <c r="B15" s="218"/>
      <c r="C15" s="55" t="s">
        <v>7</v>
      </c>
    </row>
    <row r="16" spans="1:7" ht="16.5" customHeight="1" x14ac:dyDescent="0.3">
      <c r="A16" s="218" t="s">
        <v>36</v>
      </c>
      <c r="B16" s="218"/>
      <c r="C16" s="55" t="s">
        <v>9</v>
      </c>
    </row>
    <row r="17" spans="1:5" ht="16.5" customHeight="1" x14ac:dyDescent="0.3">
      <c r="A17" s="218" t="s">
        <v>37</v>
      </c>
      <c r="B17" s="218"/>
      <c r="C17" s="55" t="s">
        <v>11</v>
      </c>
    </row>
    <row r="18" spans="1:5" ht="16.5" customHeight="1" x14ac:dyDescent="0.3">
      <c r="A18" s="218" t="s">
        <v>38</v>
      </c>
      <c r="B18" s="218"/>
      <c r="C18" s="92" t="s">
        <v>12</v>
      </c>
    </row>
    <row r="19" spans="1:5" ht="16.5" customHeight="1" x14ac:dyDescent="0.3">
      <c r="A19" s="218" t="s">
        <v>39</v>
      </c>
      <c r="B19" s="218"/>
      <c r="C19" s="92" t="e">
        <f>#REF!</f>
        <v>#REF!</v>
      </c>
    </row>
    <row r="20" spans="1:5" ht="16.5" customHeight="1" x14ac:dyDescent="0.3">
      <c r="A20" s="57"/>
      <c r="B20" s="57"/>
      <c r="C20" s="72"/>
    </row>
    <row r="21" spans="1:5" ht="16.5" customHeight="1" x14ac:dyDescent="0.3">
      <c r="A21" s="213" t="s">
        <v>1</v>
      </c>
      <c r="B21" s="213"/>
      <c r="C21" s="54" t="s">
        <v>98</v>
      </c>
      <c r="D21" s="61"/>
    </row>
    <row r="22" spans="1:5" ht="15.75" customHeight="1" x14ac:dyDescent="0.3">
      <c r="A22" s="217"/>
      <c r="B22" s="217"/>
      <c r="C22" s="52"/>
      <c r="D22" s="217"/>
      <c r="E22" s="217"/>
    </row>
    <row r="23" spans="1:5" ht="33.75" customHeight="1" x14ac:dyDescent="0.3">
      <c r="C23" s="81" t="s">
        <v>99</v>
      </c>
      <c r="D23" s="80" t="s">
        <v>100</v>
      </c>
      <c r="E23" s="47"/>
    </row>
    <row r="24" spans="1:5" ht="15.75" customHeight="1" x14ac:dyDescent="0.3">
      <c r="C24" s="90">
        <v>493.5</v>
      </c>
      <c r="D24" s="82">
        <f t="shared" ref="D24:D43" si="0">(C24-$C$46)/$C$46</f>
        <v>6.517378486226728E-3</v>
      </c>
      <c r="E24" s="48"/>
    </row>
    <row r="25" spans="1:5" ht="15.75" customHeight="1" x14ac:dyDescent="0.3">
      <c r="C25" s="90">
        <v>496.58</v>
      </c>
      <c r="D25" s="83">
        <f t="shared" si="0"/>
        <v>1.2799189075360594E-2</v>
      </c>
      <c r="E25" s="48"/>
    </row>
    <row r="26" spans="1:5" ht="15.75" customHeight="1" x14ac:dyDescent="0.3">
      <c r="C26" s="90">
        <v>462.29</v>
      </c>
      <c r="D26" s="83">
        <f t="shared" si="0"/>
        <v>-5.7136942451068339E-2</v>
      </c>
      <c r="E26" s="48"/>
    </row>
    <row r="27" spans="1:5" ht="15.75" customHeight="1" x14ac:dyDescent="0.3">
      <c r="C27" s="90">
        <v>478.46</v>
      </c>
      <c r="D27" s="83">
        <f t="shared" si="0"/>
        <v>-2.4157436858115462E-2</v>
      </c>
      <c r="E27" s="48"/>
    </row>
    <row r="28" spans="1:5" ht="15.75" customHeight="1" x14ac:dyDescent="0.3">
      <c r="C28" s="90">
        <v>486.85</v>
      </c>
      <c r="D28" s="83">
        <f t="shared" si="0"/>
        <v>-7.045621649403231E-3</v>
      </c>
      <c r="E28" s="48"/>
    </row>
    <row r="29" spans="1:5" ht="15.75" customHeight="1" x14ac:dyDescent="0.3">
      <c r="C29" s="90">
        <v>495.62</v>
      </c>
      <c r="D29" s="83">
        <f t="shared" si="0"/>
        <v>1.0841222138487731E-2</v>
      </c>
      <c r="E29" s="48"/>
    </row>
    <row r="30" spans="1:5" ht="15.75" customHeight="1" x14ac:dyDescent="0.3">
      <c r="C30" s="90">
        <v>486.43</v>
      </c>
      <c r="D30" s="83">
        <f t="shared" si="0"/>
        <v>-7.9022321842851587E-3</v>
      </c>
      <c r="E30" s="48"/>
    </row>
    <row r="31" spans="1:5" ht="15.75" customHeight="1" x14ac:dyDescent="0.3">
      <c r="C31" s="90">
        <v>500.58</v>
      </c>
      <c r="D31" s="83">
        <f t="shared" si="0"/>
        <v>2.0957384645664354E-2</v>
      </c>
      <c r="E31" s="48"/>
    </row>
    <row r="32" spans="1:5" ht="15.75" customHeight="1" x14ac:dyDescent="0.3">
      <c r="C32" s="90">
        <v>494.98</v>
      </c>
      <c r="D32" s="83">
        <f t="shared" si="0"/>
        <v>9.5359108472391572E-3</v>
      </c>
      <c r="E32" s="48"/>
    </row>
    <row r="33" spans="1:7" ht="15.75" customHeight="1" x14ac:dyDescent="0.3">
      <c r="C33" s="90">
        <v>496.11</v>
      </c>
      <c r="D33" s="83">
        <f t="shared" si="0"/>
        <v>1.1840601095849961E-2</v>
      </c>
      <c r="E33" s="48"/>
    </row>
    <row r="34" spans="1:7" ht="15.75" customHeight="1" x14ac:dyDescent="0.3">
      <c r="C34" s="90">
        <v>490.78</v>
      </c>
      <c r="D34" s="83">
        <f t="shared" si="0"/>
        <v>9.698054984201139E-4</v>
      </c>
      <c r="E34" s="48"/>
    </row>
    <row r="35" spans="1:7" ht="15.75" customHeight="1" x14ac:dyDescent="0.3">
      <c r="C35" s="90">
        <v>495.11</v>
      </c>
      <c r="D35" s="83">
        <f t="shared" si="0"/>
        <v>9.8010522032740202E-3</v>
      </c>
      <c r="E35" s="48"/>
    </row>
    <row r="36" spans="1:7" ht="15.75" customHeight="1" x14ac:dyDescent="0.3">
      <c r="C36" s="90">
        <v>491.9</v>
      </c>
      <c r="D36" s="83">
        <f t="shared" si="0"/>
        <v>3.2541002581051768E-3</v>
      </c>
      <c r="E36" s="48"/>
    </row>
    <row r="37" spans="1:7" ht="15.75" customHeight="1" x14ac:dyDescent="0.3">
      <c r="C37" s="90">
        <v>492.63</v>
      </c>
      <c r="D37" s="83">
        <f t="shared" si="0"/>
        <v>4.7429709496856504E-3</v>
      </c>
      <c r="E37" s="48"/>
    </row>
    <row r="38" spans="1:7" ht="15.75" customHeight="1" x14ac:dyDescent="0.3">
      <c r="C38" s="90">
        <v>492.14</v>
      </c>
      <c r="D38" s="83">
        <f t="shared" si="0"/>
        <v>3.743591992323421E-3</v>
      </c>
      <c r="E38" s="48"/>
    </row>
    <row r="39" spans="1:7" ht="15.75" customHeight="1" x14ac:dyDescent="0.3">
      <c r="C39" s="90">
        <v>484.24</v>
      </c>
      <c r="D39" s="83">
        <f t="shared" si="0"/>
        <v>-1.2368844259026464E-2</v>
      </c>
      <c r="E39" s="48"/>
    </row>
    <row r="40" spans="1:7" ht="15.75" customHeight="1" x14ac:dyDescent="0.3">
      <c r="C40" s="90">
        <v>495.3</v>
      </c>
      <c r="D40" s="83">
        <f t="shared" si="0"/>
        <v>1.0188566492863444E-2</v>
      </c>
      <c r="E40" s="48"/>
    </row>
    <row r="41" spans="1:7" ht="15.75" customHeight="1" x14ac:dyDescent="0.3">
      <c r="C41" s="90">
        <v>500.24</v>
      </c>
      <c r="D41" s="83">
        <f t="shared" si="0"/>
        <v>2.0263938022188586E-2</v>
      </c>
      <c r="E41" s="48"/>
    </row>
    <row r="42" spans="1:7" ht="15.75" customHeight="1" x14ac:dyDescent="0.3">
      <c r="C42" s="90">
        <v>483.96</v>
      </c>
      <c r="D42" s="83">
        <f t="shared" si="0"/>
        <v>-1.2939917948947787E-2</v>
      </c>
      <c r="E42" s="48"/>
    </row>
    <row r="43" spans="1:7" ht="16.5" customHeight="1" x14ac:dyDescent="0.3">
      <c r="C43" s="91">
        <v>488.39</v>
      </c>
      <c r="D43" s="84">
        <f t="shared" si="0"/>
        <v>-3.9047163548363564E-3</v>
      </c>
      <c r="E43" s="48"/>
    </row>
    <row r="44" spans="1:7" ht="16.5" customHeight="1" x14ac:dyDescent="0.3">
      <c r="C44" s="49"/>
      <c r="D44" s="48"/>
      <c r="E44" s="50"/>
    </row>
    <row r="45" spans="1:7" ht="16.5" customHeight="1" x14ac:dyDescent="0.3">
      <c r="B45" s="77" t="s">
        <v>101</v>
      </c>
      <c r="C45" s="78">
        <f>SUM(C24:C44)</f>
        <v>9806.0899999999965</v>
      </c>
      <c r="D45" s="73"/>
      <c r="E45" s="49"/>
    </row>
    <row r="46" spans="1:7" ht="17.25" customHeight="1" x14ac:dyDescent="0.3">
      <c r="B46" s="77" t="s">
        <v>96</v>
      </c>
      <c r="C46" s="79">
        <f>AVERAGE(C24:C44)</f>
        <v>490.30449999999985</v>
      </c>
      <c r="E46" s="51"/>
    </row>
    <row r="47" spans="1:7" ht="17.25" customHeight="1" x14ac:dyDescent="0.3">
      <c r="A47" s="55"/>
      <c r="B47" s="74"/>
      <c r="D47" s="53"/>
      <c r="E47" s="51"/>
    </row>
    <row r="48" spans="1:7" ht="33.75" customHeight="1" x14ac:dyDescent="0.3">
      <c r="B48" s="87" t="s">
        <v>96</v>
      </c>
      <c r="C48" s="80" t="s">
        <v>102</v>
      </c>
      <c r="D48" s="75"/>
      <c r="G48" s="53"/>
    </row>
    <row r="49" spans="1:6" ht="17.25" customHeight="1" x14ac:dyDescent="0.3">
      <c r="B49" s="211">
        <f>C46</f>
        <v>490.30449999999985</v>
      </c>
      <c r="C49" s="88">
        <f>-IF(C46&lt;=80,10%,IF(C46&lt;250,7.5%,5%))</f>
        <v>-0.05</v>
      </c>
      <c r="D49" s="76">
        <f>IF(C46&lt;=80,C46*0.9,IF(C46&lt;250,C46*0.925,C46*0.95))</f>
        <v>465.78927499999986</v>
      </c>
    </row>
    <row r="50" spans="1:6" ht="17.25" customHeight="1" x14ac:dyDescent="0.3">
      <c r="B50" s="212"/>
      <c r="C50" s="89">
        <f>IF(C46&lt;=80, 10%, IF(C46&lt;250, 7.5%, 5%))</f>
        <v>0.05</v>
      </c>
      <c r="D50" s="76">
        <f>IF(C46&lt;=80, C46*1.1, IF(C46&lt;250, C46*1.075, C46*1.05))</f>
        <v>514.81972499999983</v>
      </c>
    </row>
    <row r="51" spans="1:6" ht="16.5" customHeight="1" x14ac:dyDescent="0.3">
      <c r="A51" s="58"/>
      <c r="B51" s="59"/>
      <c r="C51" s="55"/>
      <c r="D51" s="60"/>
      <c r="E51" s="55"/>
      <c r="F51" s="61"/>
    </row>
    <row r="52" spans="1:6" ht="16.5" customHeight="1" x14ac:dyDescent="0.3">
      <c r="A52" s="55"/>
      <c r="B52" s="62" t="s">
        <v>25</v>
      </c>
      <c r="C52" s="62"/>
      <c r="D52" s="63" t="s">
        <v>26</v>
      </c>
      <c r="E52" s="64"/>
      <c r="F52" s="63" t="s">
        <v>27</v>
      </c>
    </row>
    <row r="53" spans="1:6" ht="34.5" customHeight="1" x14ac:dyDescent="0.3">
      <c r="A53" s="65" t="s">
        <v>28</v>
      </c>
      <c r="B53" s="66"/>
      <c r="C53" s="67"/>
      <c r="D53" s="66"/>
      <c r="E53" s="56"/>
      <c r="F53" s="68"/>
    </row>
    <row r="54" spans="1:6" ht="34.5" customHeight="1" x14ac:dyDescent="0.3">
      <c r="A54" s="65" t="s">
        <v>29</v>
      </c>
      <c r="B54" s="69"/>
      <c r="C54" s="70"/>
      <c r="D54" s="69"/>
      <c r="E54" s="56"/>
      <c r="F54" s="7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view="pageBreakPreview" zoomScale="110" zoomScaleSheetLayoutView="110" workbookViewId="0">
      <selection activeCell="B37" sqref="B37"/>
    </sheetView>
  </sheetViews>
  <sheetFormatPr defaultRowHeight="13.8" x14ac:dyDescent="0.3"/>
  <cols>
    <col min="1" max="1" width="33.77734375" style="3" bestFit="1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</cols>
  <sheetData>
    <row r="1" spans="1:10" ht="18.75" customHeight="1" x14ac:dyDescent="0.35">
      <c r="A1" s="219" t="s">
        <v>0</v>
      </c>
      <c r="B1" s="219"/>
      <c r="C1" s="219"/>
      <c r="D1" s="219"/>
      <c r="E1" s="219"/>
    </row>
    <row r="2" spans="1:10" ht="16.5" customHeight="1" x14ac:dyDescent="0.3">
      <c r="A2" s="4" t="s">
        <v>1</v>
      </c>
      <c r="B2" s="5" t="s">
        <v>2</v>
      </c>
    </row>
    <row r="3" spans="1:10" ht="16.5" customHeight="1" x14ac:dyDescent="0.3">
      <c r="A3" s="6" t="s">
        <v>3</v>
      </c>
      <c r="B3" s="7" t="s">
        <v>5</v>
      </c>
      <c r="D3" s="8"/>
      <c r="E3" s="9"/>
    </row>
    <row r="4" spans="1:10" ht="16.5" customHeight="1" x14ac:dyDescent="0.3">
      <c r="A4" s="10" t="s">
        <v>4</v>
      </c>
      <c r="B4" s="7" t="s">
        <v>118</v>
      </c>
      <c r="C4" s="9"/>
      <c r="D4" s="9"/>
      <c r="E4" s="9"/>
    </row>
    <row r="5" spans="1:10" ht="16.5" customHeight="1" x14ac:dyDescent="0.3">
      <c r="A5" s="10" t="s">
        <v>114</v>
      </c>
      <c r="B5" s="11">
        <v>99.9</v>
      </c>
      <c r="C5" s="9"/>
      <c r="D5" s="9"/>
      <c r="E5" s="9"/>
    </row>
    <row r="6" spans="1:10" ht="16.5" customHeight="1" x14ac:dyDescent="0.3">
      <c r="A6" s="6" t="s">
        <v>8</v>
      </c>
      <c r="B6" s="11">
        <v>7.37</v>
      </c>
      <c r="C6" s="9"/>
      <c r="D6" s="9"/>
      <c r="E6" s="9"/>
    </row>
    <row r="7" spans="1:10" ht="16.5" customHeight="1" x14ac:dyDescent="0.3">
      <c r="A7" s="6" t="s">
        <v>10</v>
      </c>
      <c r="B7" s="12">
        <f>B6/50</f>
        <v>0.1474</v>
      </c>
      <c r="C7" s="9"/>
      <c r="D7" s="9"/>
      <c r="E7" s="9"/>
    </row>
    <row r="8" spans="1:10" ht="15.75" customHeight="1" x14ac:dyDescent="0.3">
      <c r="A8" s="9"/>
      <c r="B8" s="9"/>
      <c r="C8" s="9"/>
      <c r="D8" s="9"/>
      <c r="E8" s="9"/>
    </row>
    <row r="9" spans="1:10" ht="16.5" customHeight="1" x14ac:dyDescent="0.3">
      <c r="A9" s="13" t="s">
        <v>13</v>
      </c>
      <c r="B9" s="14" t="s">
        <v>14</v>
      </c>
      <c r="C9" s="13" t="s">
        <v>15</v>
      </c>
      <c r="D9" s="15" t="s">
        <v>16</v>
      </c>
      <c r="E9" s="15" t="s">
        <v>17</v>
      </c>
      <c r="F9" s="15" t="s">
        <v>104</v>
      </c>
      <c r="J9" s="3"/>
    </row>
    <row r="10" spans="1:10" ht="16.5" customHeight="1" x14ac:dyDescent="0.3">
      <c r="A10" s="16">
        <v>1</v>
      </c>
      <c r="B10" s="17">
        <v>8333665</v>
      </c>
      <c r="C10" s="17">
        <v>5819.8</v>
      </c>
      <c r="D10" s="17">
        <v>1.4</v>
      </c>
      <c r="E10" s="256">
        <v>5.6</v>
      </c>
      <c r="F10" s="258">
        <v>3.1</v>
      </c>
      <c r="J10" s="3"/>
    </row>
    <row r="11" spans="1:10" ht="16.5" customHeight="1" x14ac:dyDescent="0.3">
      <c r="A11" s="16">
        <v>2</v>
      </c>
      <c r="B11" s="17">
        <v>8339179</v>
      </c>
      <c r="C11" s="17">
        <v>5789.2</v>
      </c>
      <c r="D11" s="17">
        <v>1.5</v>
      </c>
      <c r="E11" s="256">
        <v>5.6</v>
      </c>
      <c r="F11" s="256">
        <v>3.1</v>
      </c>
      <c r="J11" s="3"/>
    </row>
    <row r="12" spans="1:10" ht="16.5" customHeight="1" x14ac:dyDescent="0.3">
      <c r="A12" s="16">
        <v>3</v>
      </c>
      <c r="B12" s="17">
        <v>8339862</v>
      </c>
      <c r="C12" s="17">
        <v>5794.1</v>
      </c>
      <c r="D12" s="17">
        <v>1.4</v>
      </c>
      <c r="E12" s="256">
        <v>5.6</v>
      </c>
      <c r="F12" s="256">
        <v>3.1</v>
      </c>
      <c r="J12" s="3"/>
    </row>
    <row r="13" spans="1:10" ht="16.5" customHeight="1" x14ac:dyDescent="0.3">
      <c r="A13" s="16">
        <v>4</v>
      </c>
      <c r="B13" s="17">
        <v>8340767</v>
      </c>
      <c r="C13" s="17">
        <v>5763.7</v>
      </c>
      <c r="D13" s="17">
        <v>1.4</v>
      </c>
      <c r="E13" s="256">
        <v>5.6</v>
      </c>
      <c r="F13" s="256">
        <v>3.1</v>
      </c>
      <c r="J13" s="3"/>
    </row>
    <row r="14" spans="1:10" ht="16.5" customHeight="1" x14ac:dyDescent="0.3">
      <c r="A14" s="16">
        <v>5</v>
      </c>
      <c r="B14" s="17">
        <v>8341439</v>
      </c>
      <c r="C14" s="17">
        <v>5759.2</v>
      </c>
      <c r="D14" s="17">
        <v>1.4</v>
      </c>
      <c r="E14" s="256">
        <v>5.6</v>
      </c>
      <c r="F14" s="256">
        <v>3.1</v>
      </c>
      <c r="J14" s="3"/>
    </row>
    <row r="15" spans="1:10" ht="16.5" customHeight="1" x14ac:dyDescent="0.3">
      <c r="A15" s="16">
        <v>6</v>
      </c>
      <c r="B15" s="18">
        <v>8344778</v>
      </c>
      <c r="C15" s="18">
        <v>5734.7</v>
      </c>
      <c r="D15" s="18">
        <v>1.4</v>
      </c>
      <c r="E15" s="257">
        <v>5.6</v>
      </c>
      <c r="F15" s="257">
        <v>3.1</v>
      </c>
      <c r="J15" s="3"/>
    </row>
    <row r="16" spans="1:10" ht="16.5" customHeight="1" x14ac:dyDescent="0.3">
      <c r="A16" s="19" t="s">
        <v>18</v>
      </c>
      <c r="B16" s="20">
        <f>AVERAGE(B10:B15)</f>
        <v>8339948.333333333</v>
      </c>
      <c r="C16" s="21">
        <f>AVERAGE(C10:C15)</f>
        <v>5776.7833333333328</v>
      </c>
      <c r="D16" s="21">
        <f>AVERAGE(D10:D15)</f>
        <v>1.4166666666666667</v>
      </c>
      <c r="E16" s="21">
        <f>AVERAGE(E10:E15)</f>
        <v>5.6000000000000005</v>
      </c>
      <c r="F16" s="21">
        <f>AVERAGE(F10:F15)</f>
        <v>3.1</v>
      </c>
      <c r="J16" s="3"/>
    </row>
    <row r="17" spans="1:10" ht="16.5" customHeight="1" x14ac:dyDescent="0.3">
      <c r="A17" s="22" t="s">
        <v>19</v>
      </c>
      <c r="B17" s="23">
        <f>(STDEV(B10:B15)/B16)</f>
        <v>4.3661685768444508E-4</v>
      </c>
      <c r="C17" s="24"/>
      <c r="D17" s="24"/>
      <c r="E17" s="24"/>
      <c r="F17" s="25"/>
      <c r="G17" s="2"/>
      <c r="J17" s="3"/>
    </row>
    <row r="18" spans="1:10" s="2" customFormat="1" ht="16.5" customHeight="1" x14ac:dyDescent="0.3">
      <c r="A18" s="26" t="s">
        <v>20</v>
      </c>
      <c r="B18" s="27">
        <f>COUNT(B10:B15)</f>
        <v>6</v>
      </c>
      <c r="C18" s="28"/>
      <c r="D18" s="28"/>
      <c r="E18" s="29"/>
      <c r="F18" s="30"/>
    </row>
    <row r="19" spans="1:10" s="2" customFormat="1" ht="15.75" customHeight="1" x14ac:dyDescent="0.3">
      <c r="A19" s="9"/>
      <c r="B19" s="9"/>
      <c r="C19" s="9"/>
      <c r="D19" s="9"/>
      <c r="E19" s="31"/>
    </row>
    <row r="20" spans="1:10" s="2" customFormat="1" ht="16.5" customHeight="1" x14ac:dyDescent="0.3">
      <c r="A20" s="10" t="s">
        <v>21</v>
      </c>
      <c r="B20" s="32" t="s">
        <v>22</v>
      </c>
      <c r="C20" s="33"/>
      <c r="D20" s="33"/>
      <c r="E20" s="34"/>
    </row>
    <row r="21" spans="1:10" ht="16.5" customHeight="1" x14ac:dyDescent="0.3">
      <c r="A21" s="10"/>
      <c r="B21" s="32" t="s">
        <v>23</v>
      </c>
      <c r="C21" s="33"/>
      <c r="D21" s="33"/>
      <c r="E21" s="34"/>
      <c r="F21" s="2"/>
    </row>
    <row r="22" spans="1:10" ht="16.5" customHeight="1" x14ac:dyDescent="0.3">
      <c r="A22" s="10"/>
      <c r="B22" s="35" t="s">
        <v>24</v>
      </c>
      <c r="C22" s="33"/>
      <c r="D22" s="33"/>
      <c r="E22" s="33"/>
    </row>
    <row r="23" spans="1:10" ht="15.75" customHeight="1" x14ac:dyDescent="0.3">
      <c r="A23" s="9"/>
      <c r="B23" s="9"/>
      <c r="C23" s="9"/>
      <c r="D23" s="9"/>
      <c r="E23" s="9"/>
    </row>
    <row r="24" spans="1:10" ht="16.5" customHeight="1" x14ac:dyDescent="0.3">
      <c r="A24" s="4" t="s">
        <v>1</v>
      </c>
      <c r="B24" s="54" t="s">
        <v>2</v>
      </c>
    </row>
    <row r="25" spans="1:10" ht="16.5" customHeight="1" x14ac:dyDescent="0.3">
      <c r="A25" s="10" t="s">
        <v>4</v>
      </c>
      <c r="B25" s="7" t="s">
        <v>117</v>
      </c>
      <c r="C25" s="9"/>
      <c r="D25" s="9"/>
      <c r="E25" s="9"/>
    </row>
    <row r="26" spans="1:10" ht="16.5" customHeight="1" x14ac:dyDescent="0.3">
      <c r="A26" s="10" t="s">
        <v>6</v>
      </c>
      <c r="B26" s="11">
        <v>99.7</v>
      </c>
      <c r="C26" s="9"/>
      <c r="D26" s="9"/>
      <c r="E26" s="9"/>
    </row>
    <row r="27" spans="1:10" ht="16.5" customHeight="1" x14ac:dyDescent="0.3">
      <c r="A27" s="6" t="s">
        <v>8</v>
      </c>
      <c r="B27" s="11">
        <f>8.89</f>
        <v>8.89</v>
      </c>
      <c r="C27" s="9"/>
      <c r="D27" s="9"/>
      <c r="E27" s="9"/>
    </row>
    <row r="28" spans="1:10" ht="16.5" customHeight="1" x14ac:dyDescent="0.3">
      <c r="A28" s="6" t="s">
        <v>10</v>
      </c>
      <c r="B28" s="12">
        <f>B27/50</f>
        <v>0.17780000000000001</v>
      </c>
      <c r="C28" s="9"/>
      <c r="D28" s="9"/>
      <c r="E28" s="9"/>
    </row>
    <row r="29" spans="1:10" ht="15.75" customHeight="1" x14ac:dyDescent="0.3">
      <c r="A29" s="9"/>
      <c r="B29" s="9"/>
      <c r="C29" s="9"/>
      <c r="D29" s="9"/>
      <c r="E29" s="9"/>
    </row>
    <row r="30" spans="1:10" ht="16.5" customHeight="1" x14ac:dyDescent="0.3">
      <c r="A30" s="13" t="s">
        <v>13</v>
      </c>
      <c r="B30" s="14" t="s">
        <v>14</v>
      </c>
      <c r="C30" s="13" t="s">
        <v>15</v>
      </c>
      <c r="D30" s="13" t="s">
        <v>16</v>
      </c>
      <c r="E30" s="15" t="s">
        <v>17</v>
      </c>
    </row>
    <row r="31" spans="1:10" ht="16.5" customHeight="1" x14ac:dyDescent="0.3">
      <c r="A31" s="16">
        <v>1</v>
      </c>
      <c r="B31" s="17">
        <v>6348484</v>
      </c>
      <c r="C31" s="17">
        <v>6113.4</v>
      </c>
      <c r="D31" s="256">
        <v>1.4</v>
      </c>
      <c r="E31" s="258">
        <v>4.8</v>
      </c>
    </row>
    <row r="32" spans="1:10" ht="16.5" customHeight="1" x14ac:dyDescent="0.3">
      <c r="A32" s="16">
        <v>2</v>
      </c>
      <c r="B32" s="17">
        <v>6355837</v>
      </c>
      <c r="C32" s="17">
        <v>6094.2</v>
      </c>
      <c r="D32" s="256">
        <v>1.5</v>
      </c>
      <c r="E32" s="256">
        <v>4.8</v>
      </c>
    </row>
    <row r="33" spans="1:7" ht="16.5" customHeight="1" x14ac:dyDescent="0.3">
      <c r="A33" s="16">
        <v>3</v>
      </c>
      <c r="B33" s="17">
        <v>6354943</v>
      </c>
      <c r="C33" s="256">
        <v>6094</v>
      </c>
      <c r="D33" s="256">
        <v>1.4</v>
      </c>
      <c r="E33" s="256">
        <v>4.8</v>
      </c>
    </row>
    <row r="34" spans="1:7" ht="16.5" customHeight="1" x14ac:dyDescent="0.3">
      <c r="A34" s="16">
        <v>4</v>
      </c>
      <c r="B34" s="17">
        <v>6358100</v>
      </c>
      <c r="C34" s="17">
        <v>6067.5</v>
      </c>
      <c r="D34" s="256">
        <v>1.4</v>
      </c>
      <c r="E34" s="256">
        <v>4.8</v>
      </c>
    </row>
    <row r="35" spans="1:7" ht="16.5" customHeight="1" x14ac:dyDescent="0.3">
      <c r="A35" s="16">
        <v>5</v>
      </c>
      <c r="B35" s="17">
        <v>6360533</v>
      </c>
      <c r="C35" s="17">
        <v>6054.3</v>
      </c>
      <c r="D35" s="256">
        <v>1.5</v>
      </c>
      <c r="E35" s="256">
        <v>4.8</v>
      </c>
    </row>
    <row r="36" spans="1:7" ht="16.5" customHeight="1" x14ac:dyDescent="0.3">
      <c r="A36" s="16">
        <v>6</v>
      </c>
      <c r="B36" s="18">
        <v>6364704</v>
      </c>
      <c r="C36" s="257">
        <v>6038</v>
      </c>
      <c r="D36" s="257">
        <v>1.4</v>
      </c>
      <c r="E36" s="257">
        <v>4.8</v>
      </c>
    </row>
    <row r="37" spans="1:7" ht="16.5" customHeight="1" x14ac:dyDescent="0.3">
      <c r="A37" s="19" t="s">
        <v>18</v>
      </c>
      <c r="B37" s="20">
        <f>AVERAGE(B31:B36)</f>
        <v>6357100.166666667</v>
      </c>
      <c r="C37" s="255">
        <f>AVERAGE(C31:C36)</f>
        <v>6076.8999999999987</v>
      </c>
      <c r="D37" s="21">
        <f>AVERAGE(D31:D36)</f>
        <v>1.4333333333333333</v>
      </c>
      <c r="E37" s="21">
        <f>AVERAGE(E31:E36)</f>
        <v>4.8</v>
      </c>
    </row>
    <row r="38" spans="1:7" ht="16.5" customHeight="1" x14ac:dyDescent="0.3">
      <c r="A38" s="22" t="s">
        <v>19</v>
      </c>
      <c r="B38" s="23">
        <f>(STDEV(B31:B36)/B37)</f>
        <v>8.6471541010579042E-4</v>
      </c>
      <c r="C38" s="24"/>
      <c r="D38" s="24"/>
      <c r="E38" s="25"/>
      <c r="F38" s="2"/>
    </row>
    <row r="39" spans="1:7" s="2" customFormat="1" ht="16.5" customHeight="1" x14ac:dyDescent="0.3">
      <c r="A39" s="26" t="s">
        <v>20</v>
      </c>
      <c r="B39" s="27">
        <f>COUNT(B31:B36)</f>
        <v>6</v>
      </c>
      <c r="C39" s="28"/>
      <c r="D39" s="29"/>
      <c r="E39" s="30"/>
    </row>
    <row r="40" spans="1:7" s="2" customFormat="1" ht="15.75" customHeight="1" x14ac:dyDescent="0.3">
      <c r="A40" s="9"/>
      <c r="B40" s="9"/>
      <c r="C40" s="9"/>
      <c r="D40" s="9"/>
      <c r="E40" s="31"/>
    </row>
    <row r="41" spans="1:7" s="2" customFormat="1" ht="16.5" customHeight="1" x14ac:dyDescent="0.3">
      <c r="A41" s="10" t="s">
        <v>21</v>
      </c>
      <c r="B41" s="32" t="s">
        <v>22</v>
      </c>
      <c r="C41" s="33"/>
      <c r="D41" s="33"/>
      <c r="E41" s="34"/>
    </row>
    <row r="42" spans="1:7" ht="16.5" customHeight="1" x14ac:dyDescent="0.3">
      <c r="A42" s="10"/>
      <c r="B42" s="32" t="s">
        <v>23</v>
      </c>
      <c r="C42" s="33"/>
      <c r="D42" s="33"/>
      <c r="E42" s="34"/>
      <c r="F42" s="2"/>
    </row>
    <row r="43" spans="1:7" ht="16.5" customHeight="1" x14ac:dyDescent="0.3">
      <c r="A43" s="10"/>
      <c r="B43" s="35" t="s">
        <v>24</v>
      </c>
      <c r="C43" s="33"/>
      <c r="D43" s="34"/>
      <c r="E43" s="33"/>
    </row>
    <row r="44" spans="1:7" ht="14.25" customHeight="1" thickBot="1" x14ac:dyDescent="0.35">
      <c r="A44" s="36"/>
      <c r="B44" s="37"/>
      <c r="D44" s="38"/>
      <c r="F44" s="39"/>
      <c r="G44" s="39"/>
    </row>
    <row r="45" spans="1:7" ht="15" customHeight="1" x14ac:dyDescent="0.3">
      <c r="B45" s="220" t="s">
        <v>25</v>
      </c>
      <c r="C45" s="220"/>
      <c r="D45" s="40" t="s">
        <v>26</v>
      </c>
      <c r="E45" s="40" t="s">
        <v>27</v>
      </c>
      <c r="F45" s="41"/>
    </row>
    <row r="46" spans="1:7" ht="24.6" customHeight="1" x14ac:dyDescent="0.3">
      <c r="A46" s="42" t="s">
        <v>28</v>
      </c>
      <c r="B46" s="43"/>
      <c r="C46" s="43"/>
      <c r="D46" s="43"/>
      <c r="E46" s="44"/>
      <c r="F46" s="2"/>
    </row>
    <row r="47" spans="1:7" ht="30" customHeight="1" x14ac:dyDescent="0.3">
      <c r="A47" s="42" t="s">
        <v>29</v>
      </c>
      <c r="B47" s="45"/>
      <c r="C47" s="45"/>
      <c r="D47" s="45"/>
      <c r="E47" s="46"/>
      <c r="F47" s="2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7"/>
  <sheetViews>
    <sheetView tabSelected="1" view="pageBreakPreview" topLeftCell="E69" zoomScale="80" zoomScaleNormal="60" zoomScaleSheetLayoutView="80" zoomScalePageLayoutView="55" workbookViewId="0">
      <selection activeCell="K65" sqref="K6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21" t="s">
        <v>30</v>
      </c>
      <c r="B1" s="221"/>
      <c r="C1" s="221"/>
      <c r="D1" s="221"/>
      <c r="E1" s="221"/>
      <c r="F1" s="221"/>
      <c r="G1" s="221"/>
      <c r="H1" s="221"/>
      <c r="I1" s="221"/>
    </row>
    <row r="2" spans="1:9" ht="18.75" customHeight="1" x14ac:dyDescent="0.3">
      <c r="A2" s="221"/>
      <c r="B2" s="221"/>
      <c r="C2" s="221"/>
      <c r="D2" s="221"/>
      <c r="E2" s="221"/>
      <c r="F2" s="221"/>
      <c r="G2" s="221"/>
      <c r="H2" s="221"/>
      <c r="I2" s="221"/>
    </row>
    <row r="3" spans="1:9" ht="18.75" customHeight="1" x14ac:dyDescent="0.3">
      <c r="A3" s="221"/>
      <c r="B3" s="221"/>
      <c r="C3" s="221"/>
      <c r="D3" s="221"/>
      <c r="E3" s="221"/>
      <c r="F3" s="221"/>
      <c r="G3" s="221"/>
      <c r="H3" s="221"/>
      <c r="I3" s="221"/>
    </row>
    <row r="4" spans="1:9" ht="18.75" customHeight="1" x14ac:dyDescent="0.3">
      <c r="A4" s="221"/>
      <c r="B4" s="221"/>
      <c r="C4" s="221"/>
      <c r="D4" s="221"/>
      <c r="E4" s="221"/>
      <c r="F4" s="221"/>
      <c r="G4" s="221"/>
      <c r="H4" s="221"/>
      <c r="I4" s="221"/>
    </row>
    <row r="5" spans="1:9" ht="18.75" customHeight="1" x14ac:dyDescent="0.3">
      <c r="A5" s="221"/>
      <c r="B5" s="221"/>
      <c r="C5" s="221"/>
      <c r="D5" s="221"/>
      <c r="E5" s="221"/>
      <c r="F5" s="221"/>
      <c r="G5" s="221"/>
      <c r="H5" s="221"/>
      <c r="I5" s="221"/>
    </row>
    <row r="6" spans="1:9" ht="18.75" customHeight="1" x14ac:dyDescent="0.3">
      <c r="A6" s="221"/>
      <c r="B6" s="221"/>
      <c r="C6" s="221"/>
      <c r="D6" s="221"/>
      <c r="E6" s="221"/>
      <c r="F6" s="221"/>
      <c r="G6" s="221"/>
      <c r="H6" s="221"/>
      <c r="I6" s="221"/>
    </row>
    <row r="7" spans="1:9" ht="18.75" customHeight="1" x14ac:dyDescent="0.3">
      <c r="A7" s="221"/>
      <c r="B7" s="221"/>
      <c r="C7" s="221"/>
      <c r="D7" s="221"/>
      <c r="E7" s="221"/>
      <c r="F7" s="221"/>
      <c r="G7" s="221"/>
      <c r="H7" s="221"/>
      <c r="I7" s="221"/>
    </row>
    <row r="8" spans="1:9" x14ac:dyDescent="0.3">
      <c r="A8" s="222" t="s">
        <v>31</v>
      </c>
      <c r="B8" s="222"/>
      <c r="C8" s="222"/>
      <c r="D8" s="222"/>
      <c r="E8" s="222"/>
      <c r="F8" s="222"/>
      <c r="G8" s="222"/>
      <c r="H8" s="222"/>
      <c r="I8" s="222"/>
    </row>
    <row r="9" spans="1:9" x14ac:dyDescent="0.3">
      <c r="A9" s="222"/>
      <c r="B9" s="222"/>
      <c r="C9" s="222"/>
      <c r="D9" s="222"/>
      <c r="E9" s="222"/>
      <c r="F9" s="222"/>
      <c r="G9" s="222"/>
      <c r="H9" s="222"/>
      <c r="I9" s="222"/>
    </row>
    <row r="10" spans="1:9" x14ac:dyDescent="0.3">
      <c r="A10" s="222"/>
      <c r="B10" s="222"/>
      <c r="C10" s="222"/>
      <c r="D10" s="222"/>
      <c r="E10" s="222"/>
      <c r="F10" s="222"/>
      <c r="G10" s="222"/>
      <c r="H10" s="222"/>
      <c r="I10" s="222"/>
    </row>
    <row r="11" spans="1:9" x14ac:dyDescent="0.3">
      <c r="A11" s="222"/>
      <c r="B11" s="222"/>
      <c r="C11" s="222"/>
      <c r="D11" s="222"/>
      <c r="E11" s="222"/>
      <c r="F11" s="222"/>
      <c r="G11" s="222"/>
      <c r="H11" s="222"/>
      <c r="I11" s="222"/>
    </row>
    <row r="12" spans="1:9" x14ac:dyDescent="0.3">
      <c r="A12" s="222"/>
      <c r="B12" s="222"/>
      <c r="C12" s="222"/>
      <c r="D12" s="222"/>
      <c r="E12" s="222"/>
      <c r="F12" s="222"/>
      <c r="G12" s="222"/>
      <c r="H12" s="222"/>
      <c r="I12" s="222"/>
    </row>
    <row r="13" spans="1:9" x14ac:dyDescent="0.3">
      <c r="A13" s="222"/>
      <c r="B13" s="222"/>
      <c r="C13" s="222"/>
      <c r="D13" s="222"/>
      <c r="E13" s="222"/>
      <c r="F13" s="222"/>
      <c r="G13" s="222"/>
      <c r="H13" s="222"/>
      <c r="I13" s="222"/>
    </row>
    <row r="14" spans="1:9" x14ac:dyDescent="0.3">
      <c r="A14" s="222"/>
      <c r="B14" s="222"/>
      <c r="C14" s="222"/>
      <c r="D14" s="222"/>
      <c r="E14" s="222"/>
      <c r="F14" s="222"/>
      <c r="G14" s="222"/>
      <c r="H14" s="222"/>
      <c r="I14" s="222"/>
    </row>
    <row r="15" spans="1:9" ht="19.5" customHeight="1" x14ac:dyDescent="0.35">
      <c r="A15" s="93"/>
    </row>
    <row r="16" spans="1:9" ht="19.5" customHeight="1" x14ac:dyDescent="0.35">
      <c r="A16" s="250" t="s">
        <v>32</v>
      </c>
      <c r="B16" s="251"/>
      <c r="C16" s="251"/>
      <c r="D16" s="251"/>
      <c r="E16" s="251"/>
      <c r="F16" s="251"/>
      <c r="G16" s="251"/>
      <c r="H16" s="252"/>
    </row>
    <row r="17" spans="1:14" ht="20.25" customHeight="1" x14ac:dyDescent="0.3">
      <c r="A17" s="253" t="s">
        <v>33</v>
      </c>
      <c r="B17" s="253"/>
      <c r="C17" s="253"/>
      <c r="D17" s="253"/>
      <c r="E17" s="253"/>
      <c r="F17" s="253"/>
      <c r="G17" s="253"/>
      <c r="H17" s="253"/>
    </row>
    <row r="18" spans="1:14" ht="26.25" customHeight="1" x14ac:dyDescent="0.5">
      <c r="A18" s="95" t="s">
        <v>34</v>
      </c>
      <c r="B18" s="249" t="s">
        <v>105</v>
      </c>
      <c r="C18" s="249"/>
      <c r="D18" s="205"/>
      <c r="E18" s="96"/>
      <c r="F18" s="97"/>
      <c r="G18" s="97"/>
      <c r="H18" s="97"/>
    </row>
    <row r="19" spans="1:14" ht="26.25" customHeight="1" x14ac:dyDescent="0.5">
      <c r="A19" s="95" t="s">
        <v>35</v>
      </c>
      <c r="B19" s="208" t="s">
        <v>106</v>
      </c>
      <c r="C19" s="210">
        <v>29</v>
      </c>
      <c r="D19" s="97"/>
      <c r="E19" s="97"/>
      <c r="F19" s="97"/>
      <c r="G19" s="97"/>
      <c r="H19" s="97"/>
    </row>
    <row r="20" spans="1:14" ht="26.25" customHeight="1" x14ac:dyDescent="0.5">
      <c r="A20" s="95" t="s">
        <v>36</v>
      </c>
      <c r="B20" s="254" t="s">
        <v>107</v>
      </c>
      <c r="C20" s="254"/>
      <c r="D20" s="97"/>
      <c r="E20" s="97"/>
      <c r="F20" s="97"/>
      <c r="G20" s="97"/>
      <c r="H20" s="97"/>
    </row>
    <row r="21" spans="1:14" ht="26.25" customHeight="1" x14ac:dyDescent="0.5">
      <c r="A21" s="95" t="s">
        <v>37</v>
      </c>
      <c r="B21" s="254" t="s">
        <v>108</v>
      </c>
      <c r="C21" s="254"/>
      <c r="D21" s="254"/>
      <c r="E21" s="254"/>
      <c r="F21" s="254"/>
      <c r="G21" s="254"/>
      <c r="H21" s="254"/>
      <c r="I21" s="98"/>
    </row>
    <row r="22" spans="1:14" ht="26.25" customHeight="1" x14ac:dyDescent="0.5">
      <c r="A22" s="95" t="s">
        <v>38</v>
      </c>
      <c r="B22" s="99">
        <v>42570</v>
      </c>
      <c r="C22" s="97"/>
      <c r="D22" s="97"/>
      <c r="E22" s="97"/>
      <c r="F22" s="97"/>
      <c r="G22" s="97"/>
      <c r="H22" s="97"/>
    </row>
    <row r="23" spans="1:14" ht="26.25" customHeight="1" x14ac:dyDescent="0.5">
      <c r="A23" s="95" t="s">
        <v>39</v>
      </c>
      <c r="B23" s="99">
        <v>42573</v>
      </c>
      <c r="C23" s="97"/>
      <c r="D23" s="97"/>
      <c r="E23" s="97"/>
      <c r="F23" s="97"/>
      <c r="G23" s="97"/>
      <c r="H23" s="97"/>
    </row>
    <row r="24" spans="1:14" ht="18" x14ac:dyDescent="0.35">
      <c r="A24" s="95"/>
      <c r="B24" s="100"/>
    </row>
    <row r="25" spans="1:14" ht="18" x14ac:dyDescent="0.35">
      <c r="A25" s="101" t="s">
        <v>1</v>
      </c>
      <c r="B25" s="100"/>
    </row>
    <row r="26" spans="1:14" ht="26.25" customHeight="1" x14ac:dyDescent="0.45">
      <c r="A26" s="102" t="s">
        <v>4</v>
      </c>
      <c r="B26" s="249" t="s">
        <v>109</v>
      </c>
      <c r="C26" s="249"/>
      <c r="E26" s="199"/>
    </row>
    <row r="27" spans="1:14" ht="26.25" customHeight="1" x14ac:dyDescent="0.5">
      <c r="A27" s="103" t="s">
        <v>40</v>
      </c>
      <c r="B27" s="241" t="s">
        <v>110</v>
      </c>
      <c r="C27" s="241"/>
      <c r="E27" s="199"/>
    </row>
    <row r="28" spans="1:14" ht="27" customHeight="1" thickBot="1" x14ac:dyDescent="0.5">
      <c r="A28" s="103" t="s">
        <v>6</v>
      </c>
      <c r="B28" s="104">
        <v>99.9</v>
      </c>
      <c r="H28" s="199"/>
    </row>
    <row r="29" spans="1:14" s="13" customFormat="1" ht="27" customHeight="1" x14ac:dyDescent="0.5">
      <c r="A29" s="103" t="s">
        <v>41</v>
      </c>
      <c r="B29" s="105">
        <v>8.2200000000000006</v>
      </c>
      <c r="C29" s="242" t="s">
        <v>42</v>
      </c>
      <c r="D29" s="243"/>
      <c r="E29" s="243"/>
      <c r="F29" s="243"/>
      <c r="G29" s="244"/>
      <c r="H29" s="199"/>
      <c r="I29" s="106"/>
      <c r="J29" s="106"/>
      <c r="K29" s="106"/>
      <c r="L29" s="106"/>
    </row>
    <row r="30" spans="1:14" s="13" customFormat="1" ht="19.5" customHeight="1" x14ac:dyDescent="0.35">
      <c r="A30" s="103" t="s">
        <v>43</v>
      </c>
      <c r="B30" s="107">
        <f>B28-B29</f>
        <v>91.68</v>
      </c>
      <c r="C30" s="108"/>
      <c r="D30" s="108"/>
      <c r="E30" s="108"/>
      <c r="F30" s="108"/>
      <c r="G30" s="109"/>
      <c r="H30" s="199"/>
      <c r="I30" s="106"/>
      <c r="J30" s="106"/>
      <c r="K30" s="106"/>
      <c r="L30" s="106"/>
    </row>
    <row r="31" spans="1:14" s="13" customFormat="1" ht="27" customHeight="1" x14ac:dyDescent="0.45">
      <c r="A31" s="103" t="s">
        <v>44</v>
      </c>
      <c r="B31" s="110">
        <v>355.86</v>
      </c>
      <c r="C31" s="245" t="s">
        <v>45</v>
      </c>
      <c r="D31" s="246"/>
      <c r="E31" s="246"/>
      <c r="F31" s="246"/>
      <c r="G31" s="246"/>
      <c r="H31" s="247"/>
      <c r="I31" s="106"/>
      <c r="J31" s="106"/>
      <c r="K31" s="106"/>
      <c r="L31" s="106"/>
    </row>
    <row r="32" spans="1:14" s="13" customFormat="1" ht="27" customHeight="1" x14ac:dyDescent="0.45">
      <c r="A32" s="103" t="s">
        <v>112</v>
      </c>
      <c r="B32" s="110">
        <v>428.78</v>
      </c>
      <c r="C32" s="245" t="s">
        <v>113</v>
      </c>
      <c r="D32" s="246"/>
      <c r="E32" s="246"/>
      <c r="F32" s="246"/>
      <c r="G32" s="246"/>
      <c r="H32" s="247"/>
      <c r="I32" s="106"/>
      <c r="J32" s="106"/>
      <c r="K32" s="106"/>
      <c r="L32" s="111"/>
      <c r="M32" s="111"/>
      <c r="N32" s="112"/>
    </row>
    <row r="33" spans="1:14" s="13" customFormat="1" ht="17.25" customHeight="1" x14ac:dyDescent="0.35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13" customFormat="1" ht="18" x14ac:dyDescent="0.35">
      <c r="A34" s="103" t="s">
        <v>111</v>
      </c>
      <c r="B34" s="115">
        <f>B31/B32</f>
        <v>0.82993609776575406</v>
      </c>
      <c r="C34" s="94" t="s">
        <v>46</v>
      </c>
      <c r="D34" s="94"/>
      <c r="E34" s="94"/>
      <c r="F34" s="94"/>
      <c r="G34" s="94"/>
      <c r="H34" s="198"/>
      <c r="I34" s="106"/>
      <c r="J34" s="106"/>
      <c r="K34" s="106"/>
      <c r="L34" s="111"/>
      <c r="M34" s="111"/>
      <c r="N34" s="112"/>
    </row>
    <row r="35" spans="1:14" s="13" customFormat="1" ht="19.5" customHeight="1" x14ac:dyDescent="0.35">
      <c r="A35" s="103"/>
      <c r="B35" s="107"/>
      <c r="G35" s="94"/>
      <c r="H35" s="198"/>
      <c r="I35" s="106"/>
      <c r="J35" s="106"/>
      <c r="K35" s="106"/>
      <c r="L35" s="111"/>
      <c r="M35" s="111"/>
      <c r="N35" s="112"/>
    </row>
    <row r="36" spans="1:14" s="13" customFormat="1" ht="27" customHeight="1" x14ac:dyDescent="0.45">
      <c r="A36" s="116" t="s">
        <v>47</v>
      </c>
      <c r="B36" s="117">
        <v>50</v>
      </c>
      <c r="C36" s="94"/>
      <c r="D36" s="227" t="s">
        <v>48</v>
      </c>
      <c r="E36" s="248"/>
      <c r="F36" s="227" t="s">
        <v>49</v>
      </c>
      <c r="G36" s="228"/>
      <c r="H36" s="198"/>
      <c r="J36" s="106"/>
      <c r="K36" s="106"/>
      <c r="L36" s="111"/>
      <c r="M36" s="111"/>
      <c r="N36" s="112"/>
    </row>
    <row r="37" spans="1:14" s="13" customFormat="1" ht="27" customHeight="1" x14ac:dyDescent="0.45">
      <c r="A37" s="118" t="s">
        <v>50</v>
      </c>
      <c r="B37" s="119">
        <v>1</v>
      </c>
      <c r="C37" s="120" t="s">
        <v>51</v>
      </c>
      <c r="D37" s="121" t="s">
        <v>52</v>
      </c>
      <c r="E37" s="122" t="s">
        <v>53</v>
      </c>
      <c r="F37" s="121" t="s">
        <v>52</v>
      </c>
      <c r="G37" s="123" t="s">
        <v>53</v>
      </c>
      <c r="H37" s="198"/>
      <c r="I37" s="124" t="s">
        <v>54</v>
      </c>
      <c r="J37" s="106"/>
      <c r="K37" s="106"/>
      <c r="L37" s="111"/>
      <c r="M37" s="111"/>
      <c r="N37" s="112"/>
    </row>
    <row r="38" spans="1:14" s="13" customFormat="1" ht="26.25" customHeight="1" x14ac:dyDescent="0.45">
      <c r="A38" s="118" t="s">
        <v>55</v>
      </c>
      <c r="B38" s="119">
        <v>1</v>
      </c>
      <c r="C38" s="125">
        <v>1</v>
      </c>
      <c r="D38" s="126">
        <v>8332907</v>
      </c>
      <c r="E38" s="127">
        <f>IF(ISBLANK(D38),"-",$D$48/$D$45*D38)</f>
        <v>11144768.489719283</v>
      </c>
      <c r="F38" s="126">
        <v>10803020</v>
      </c>
      <c r="G38" s="128">
        <f>IF(ISBLANK(F38),"-",$D$48/$F$45*F38)</f>
        <v>11561855.951167777</v>
      </c>
      <c r="H38" s="198"/>
      <c r="I38" s="129"/>
      <c r="J38" s="106"/>
      <c r="K38" s="106"/>
      <c r="L38" s="111"/>
      <c r="M38" s="111"/>
      <c r="N38" s="112"/>
    </row>
    <row r="39" spans="1:14" s="13" customFormat="1" ht="26.25" customHeight="1" x14ac:dyDescent="0.45">
      <c r="A39" s="118" t="s">
        <v>56</v>
      </c>
      <c r="B39" s="119">
        <v>1</v>
      </c>
      <c r="C39" s="130">
        <v>2</v>
      </c>
      <c r="D39" s="131">
        <v>8337674</v>
      </c>
      <c r="E39" s="132">
        <f>IF(ISBLANK(D39),"-",$D$48/$D$45*D39)</f>
        <v>11151144.069260791</v>
      </c>
      <c r="F39" s="131">
        <v>10798024</v>
      </c>
      <c r="G39" s="133">
        <f>IF(ISBLANK(F39),"-",$D$48/$F$45*F39)</f>
        <v>11556509.01740925</v>
      </c>
      <c r="H39" s="198"/>
      <c r="I39" s="229">
        <f>ABS((F43/D43*D42)-F42)/D42</f>
        <v>4.6434366842389593E-2</v>
      </c>
      <c r="J39" s="106"/>
      <c r="K39" s="106"/>
      <c r="L39" s="111"/>
      <c r="M39" s="111"/>
      <c r="N39" s="112"/>
    </row>
    <row r="40" spans="1:14" ht="26.25" customHeight="1" x14ac:dyDescent="0.45">
      <c r="A40" s="118" t="s">
        <v>57</v>
      </c>
      <c r="B40" s="119">
        <v>1</v>
      </c>
      <c r="C40" s="130">
        <v>3</v>
      </c>
      <c r="D40" s="131">
        <v>8334911</v>
      </c>
      <c r="E40" s="132">
        <f>IF(ISBLANK(D40),"-",$D$48/$D$45*D40)</f>
        <v>11147448.720766312</v>
      </c>
      <c r="F40" s="131">
        <v>10808453</v>
      </c>
      <c r="G40" s="133">
        <f>IF(ISBLANK(F40),"-",$D$48/$F$45*F40)</f>
        <v>11567670.581093732</v>
      </c>
      <c r="H40" s="198"/>
      <c r="I40" s="229"/>
      <c r="L40" s="111"/>
      <c r="M40" s="111"/>
      <c r="N40" s="134"/>
    </row>
    <row r="41" spans="1:14" ht="27" customHeight="1" x14ac:dyDescent="0.45">
      <c r="A41" s="118" t="s">
        <v>58</v>
      </c>
      <c r="B41" s="119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1"/>
      <c r="M41" s="111"/>
      <c r="N41" s="134"/>
    </row>
    <row r="42" spans="1:14" ht="27" customHeight="1" x14ac:dyDescent="0.45">
      <c r="A42" s="118" t="s">
        <v>59</v>
      </c>
      <c r="B42" s="119">
        <v>1</v>
      </c>
      <c r="C42" s="140" t="s">
        <v>60</v>
      </c>
      <c r="D42" s="141">
        <f>AVERAGE(D38:D41)</f>
        <v>8335164</v>
      </c>
      <c r="E42" s="142">
        <f>AVERAGE(E38:E41)</f>
        <v>11147787.093248794</v>
      </c>
      <c r="F42" s="141">
        <f>AVERAGE(F38:F41)</f>
        <v>10803165.666666666</v>
      </c>
      <c r="G42" s="143">
        <f>AVERAGE(G38:G41)</f>
        <v>11562011.849890253</v>
      </c>
      <c r="H42" s="144"/>
    </row>
    <row r="43" spans="1:14" ht="26.25" customHeight="1" x14ac:dyDescent="0.45">
      <c r="A43" s="118" t="s">
        <v>61</v>
      </c>
      <c r="B43" s="119">
        <v>1</v>
      </c>
      <c r="C43" s="145" t="s">
        <v>62</v>
      </c>
      <c r="D43" s="146">
        <v>7.37</v>
      </c>
      <c r="E43" s="134"/>
      <c r="F43" s="146">
        <v>9.2100000000000009</v>
      </c>
      <c r="H43" s="144"/>
    </row>
    <row r="44" spans="1:14" ht="26.25" customHeight="1" x14ac:dyDescent="0.45">
      <c r="A44" s="118" t="s">
        <v>63</v>
      </c>
      <c r="B44" s="119">
        <v>1</v>
      </c>
      <c r="C44" s="147" t="s">
        <v>64</v>
      </c>
      <c r="D44" s="148">
        <f>D43*$B$34</f>
        <v>6.1166290405336072</v>
      </c>
      <c r="E44" s="149"/>
      <c r="F44" s="148">
        <f>F43*$B$34</f>
        <v>7.6437114604225957</v>
      </c>
      <c r="H44" s="144"/>
    </row>
    <row r="45" spans="1:14" ht="19.5" customHeight="1" x14ac:dyDescent="0.35">
      <c r="A45" s="118" t="s">
        <v>65</v>
      </c>
      <c r="B45" s="150">
        <f>(B44/B43)*(B42/B41)*(B40/B39)*(B38/B37)*B36</f>
        <v>50</v>
      </c>
      <c r="C45" s="147" t="s">
        <v>66</v>
      </c>
      <c r="D45" s="151">
        <f>D44*$B$30/100</f>
        <v>5.6077255043612118</v>
      </c>
      <c r="E45" s="152"/>
      <c r="F45" s="151">
        <f>F44*$B$30/100</f>
        <v>7.0077546669154369</v>
      </c>
      <c r="H45" s="144"/>
    </row>
    <row r="46" spans="1:14" ht="19.5" customHeight="1" x14ac:dyDescent="0.35">
      <c r="A46" s="223" t="s">
        <v>67</v>
      </c>
      <c r="B46" s="224"/>
      <c r="C46" s="147" t="s">
        <v>68</v>
      </c>
      <c r="D46" s="153">
        <f>D45/$B$45</f>
        <v>0.11215451008722424</v>
      </c>
      <c r="E46" s="154"/>
      <c r="F46" s="155">
        <f>F45/$B$45</f>
        <v>0.14015509333830875</v>
      </c>
      <c r="H46" s="144"/>
    </row>
    <row r="47" spans="1:14" ht="27" customHeight="1" x14ac:dyDescent="0.45">
      <c r="A47" s="225"/>
      <c r="B47" s="226"/>
      <c r="C47" s="156" t="s">
        <v>69</v>
      </c>
      <c r="D47" s="157">
        <v>0.15</v>
      </c>
      <c r="E47" s="158"/>
      <c r="F47" s="154"/>
      <c r="H47" s="144"/>
    </row>
    <row r="48" spans="1:14" ht="18" x14ac:dyDescent="0.35">
      <c r="C48" s="159" t="s">
        <v>70</v>
      </c>
      <c r="D48" s="151">
        <f>D47*$B$45</f>
        <v>7.5</v>
      </c>
      <c r="F48" s="160"/>
      <c r="H48" s="144"/>
    </row>
    <row r="49" spans="1:12" ht="19.5" customHeight="1" x14ac:dyDescent="0.35">
      <c r="C49" s="161" t="s">
        <v>71</v>
      </c>
      <c r="D49" s="162">
        <f>D48/B34</f>
        <v>9.0368403304670366</v>
      </c>
      <c r="F49" s="160"/>
      <c r="H49" s="144"/>
    </row>
    <row r="50" spans="1:12" ht="18" x14ac:dyDescent="0.35">
      <c r="C50" s="116" t="s">
        <v>72</v>
      </c>
      <c r="D50" s="163">
        <f>AVERAGE(E38:E41,G38:G41)</f>
        <v>11354899.471569523</v>
      </c>
      <c r="F50" s="164"/>
      <c r="H50" s="144"/>
    </row>
    <row r="51" spans="1:12" ht="18" x14ac:dyDescent="0.35">
      <c r="C51" s="118" t="s">
        <v>73</v>
      </c>
      <c r="D51" s="165">
        <f>STDEV(E38:E41,G38:G41)/D50</f>
        <v>1.9984038224659318E-2</v>
      </c>
      <c r="F51" s="164"/>
      <c r="H51" s="144"/>
    </row>
    <row r="52" spans="1:12" ht="19.5" customHeight="1" x14ac:dyDescent="0.35">
      <c r="C52" s="166" t="s">
        <v>20</v>
      </c>
      <c r="D52" s="167">
        <f>COUNT(E38:E41,G38:G41)</f>
        <v>6</v>
      </c>
      <c r="F52" s="164"/>
    </row>
    <row r="54" spans="1:12" ht="18" x14ac:dyDescent="0.35">
      <c r="A54" s="168" t="s">
        <v>1</v>
      </c>
      <c r="B54" s="169" t="s">
        <v>74</v>
      </c>
    </row>
    <row r="55" spans="1:12" ht="18" x14ac:dyDescent="0.35">
      <c r="A55" s="94" t="s">
        <v>75</v>
      </c>
      <c r="B55" s="170" t="str">
        <f>B21</f>
        <v>Each tablet contains 300 mg Amodiaquine &amp; 100 mg Artesunate</v>
      </c>
    </row>
    <row r="56" spans="1:12" ht="26.25" customHeight="1" x14ac:dyDescent="0.45">
      <c r="A56" s="171" t="s">
        <v>103</v>
      </c>
      <c r="B56" s="172">
        <v>300</v>
      </c>
      <c r="C56" s="94" t="s">
        <v>115</v>
      </c>
      <c r="H56" s="173"/>
    </row>
    <row r="57" spans="1:12" ht="24" customHeight="1" x14ac:dyDescent="0.35">
      <c r="A57" s="170" t="s">
        <v>116</v>
      </c>
      <c r="B57" s="206">
        <f>Uniformity!C46</f>
        <v>490.30449999999985</v>
      </c>
      <c r="H57" s="264"/>
    </row>
    <row r="58" spans="1:12" ht="19.5" customHeight="1" x14ac:dyDescent="0.35">
      <c r="H58" s="173"/>
      <c r="J58" s="199"/>
      <c r="K58" s="199"/>
    </row>
    <row r="59" spans="1:12" s="13" customFormat="1" ht="27" customHeight="1" x14ac:dyDescent="0.45">
      <c r="A59" s="116" t="s">
        <v>76</v>
      </c>
      <c r="B59" s="117">
        <v>50</v>
      </c>
      <c r="C59" s="94"/>
      <c r="D59" s="174" t="s">
        <v>77</v>
      </c>
      <c r="E59" s="175" t="s">
        <v>51</v>
      </c>
      <c r="F59" s="175" t="s">
        <v>52</v>
      </c>
      <c r="G59" s="175" t="s">
        <v>78</v>
      </c>
      <c r="H59" s="120" t="s">
        <v>79</v>
      </c>
      <c r="J59" s="199"/>
      <c r="K59" s="199"/>
      <c r="L59" s="106"/>
    </row>
    <row r="60" spans="1:12" s="13" customFormat="1" ht="26.25" customHeight="1" x14ac:dyDescent="0.45">
      <c r="A60" s="118" t="s">
        <v>80</v>
      </c>
      <c r="B60" s="119">
        <v>1</v>
      </c>
      <c r="C60" s="230" t="s">
        <v>81</v>
      </c>
      <c r="D60" s="233">
        <v>8.34</v>
      </c>
      <c r="E60" s="176">
        <v>1</v>
      </c>
      <c r="F60" s="177">
        <v>7467932</v>
      </c>
      <c r="G60" s="259">
        <f>IF(ISBLANK(F60),"-",(F60/$D$50*$D$47*$B$68)*($B$57/$D$60))</f>
        <v>289.98674895388496</v>
      </c>
      <c r="H60" s="178">
        <f t="shared" ref="H60:H71" si="0">IF(ISBLANK(F60),"-",G60/$B$56)</f>
        <v>0.96662249651294985</v>
      </c>
      <c r="J60" s="199"/>
      <c r="K60" s="199"/>
      <c r="L60" s="106"/>
    </row>
    <row r="61" spans="1:12" s="13" customFormat="1" ht="26.25" customHeight="1" x14ac:dyDescent="0.45">
      <c r="A61" s="118" t="s">
        <v>82</v>
      </c>
      <c r="B61" s="119">
        <v>1</v>
      </c>
      <c r="C61" s="231"/>
      <c r="D61" s="234"/>
      <c r="E61" s="179">
        <v>2</v>
      </c>
      <c r="F61" s="131">
        <v>7470563</v>
      </c>
      <c r="G61" s="260">
        <f>IF(ISBLANK(F61),"-",(F61/$D$50*$D$47*$B$68)*($B$57/$D$60))</f>
        <v>290.08891313220062</v>
      </c>
      <c r="H61" s="180">
        <f t="shared" si="0"/>
        <v>0.96696304377400211</v>
      </c>
      <c r="J61" s="199"/>
      <c r="K61" s="199"/>
      <c r="L61" s="106"/>
    </row>
    <row r="62" spans="1:12" s="13" customFormat="1" ht="26.25" customHeight="1" x14ac:dyDescent="0.45">
      <c r="A62" s="118" t="s">
        <v>83</v>
      </c>
      <c r="B62" s="119">
        <v>1</v>
      </c>
      <c r="C62" s="231"/>
      <c r="D62" s="234"/>
      <c r="E62" s="179">
        <v>3</v>
      </c>
      <c r="F62" s="181">
        <v>7468787</v>
      </c>
      <c r="G62" s="260">
        <f>IF(ISBLANK(F62),"-",(F62/$D$50*$D$47*$B$68)*($B$57/$D$60))</f>
        <v>290.01994939951777</v>
      </c>
      <c r="H62" s="180">
        <f t="shared" si="0"/>
        <v>0.96673316466505921</v>
      </c>
      <c r="J62" s="199"/>
      <c r="K62" s="199"/>
      <c r="L62" s="106"/>
    </row>
    <row r="63" spans="1:12" ht="27" customHeight="1" x14ac:dyDescent="0.45">
      <c r="A63" s="118" t="s">
        <v>84</v>
      </c>
      <c r="B63" s="119">
        <v>1</v>
      </c>
      <c r="C63" s="240"/>
      <c r="D63" s="235"/>
      <c r="E63" s="182">
        <v>4</v>
      </c>
      <c r="F63" s="183"/>
      <c r="G63" s="260" t="str">
        <f>IF(ISBLANK(F63),"-",(F63/$D$50*$D$47*$B$68)*($B$57/$D$60))</f>
        <v>-</v>
      </c>
      <c r="H63" s="180" t="str">
        <f t="shared" si="0"/>
        <v>-</v>
      </c>
      <c r="J63" s="199"/>
      <c r="K63" s="199"/>
    </row>
    <row r="64" spans="1:12" ht="26.25" customHeight="1" x14ac:dyDescent="0.45">
      <c r="A64" s="118" t="s">
        <v>85</v>
      </c>
      <c r="B64" s="119">
        <v>1</v>
      </c>
      <c r="C64" s="230" t="s">
        <v>86</v>
      </c>
      <c r="D64" s="233">
        <v>11.44</v>
      </c>
      <c r="E64" s="176">
        <v>1</v>
      </c>
      <c r="F64" s="177">
        <v>10443350</v>
      </c>
      <c r="G64" s="261">
        <f>IF(ISBLANK(F64),"-",(F64/$D$50*$D$47*$B$68)*($B$57/$D$64))</f>
        <v>295.63623157911371</v>
      </c>
      <c r="H64" s="184">
        <f t="shared" si="0"/>
        <v>0.98545410526371235</v>
      </c>
    </row>
    <row r="65" spans="1:12" ht="26.25" customHeight="1" x14ac:dyDescent="0.45">
      <c r="A65" s="118" t="s">
        <v>87</v>
      </c>
      <c r="B65" s="119">
        <v>1</v>
      </c>
      <c r="C65" s="231"/>
      <c r="D65" s="234"/>
      <c r="E65" s="179">
        <v>2</v>
      </c>
      <c r="F65" s="131">
        <v>10431755</v>
      </c>
      <c r="G65" s="262">
        <f>IF(ISBLANK(F65),"-",(F65/$D$50*$D$47*$B$68)*($B$57/$D$64))</f>
        <v>295.30799379093656</v>
      </c>
      <c r="H65" s="185">
        <f t="shared" si="0"/>
        <v>0.98435997930312191</v>
      </c>
    </row>
    <row r="66" spans="1:12" ht="26.25" customHeight="1" x14ac:dyDescent="0.45">
      <c r="A66" s="118" t="s">
        <v>88</v>
      </c>
      <c r="B66" s="119">
        <v>1</v>
      </c>
      <c r="C66" s="231"/>
      <c r="D66" s="234"/>
      <c r="E66" s="179">
        <v>3</v>
      </c>
      <c r="F66" s="131">
        <v>10424858</v>
      </c>
      <c r="G66" s="262">
        <f>IF(ISBLANK(F66),"-",(F66/$D$50*$D$47*$B$68)*($B$57/$D$64))</f>
        <v>295.11274963181125</v>
      </c>
      <c r="H66" s="185">
        <f t="shared" si="0"/>
        <v>0.98370916543937081</v>
      </c>
    </row>
    <row r="67" spans="1:12" ht="27" customHeight="1" x14ac:dyDescent="0.45">
      <c r="A67" s="118" t="s">
        <v>89</v>
      </c>
      <c r="B67" s="119">
        <v>1</v>
      </c>
      <c r="C67" s="240"/>
      <c r="D67" s="235"/>
      <c r="E67" s="182">
        <v>4</v>
      </c>
      <c r="F67" s="183"/>
      <c r="G67" s="263" t="str">
        <f>IF(ISBLANK(F67),"-",(F67/$D$50*$D$47*$B$68)*($B$57/$D$64))</f>
        <v>-</v>
      </c>
      <c r="H67" s="186" t="str">
        <f t="shared" si="0"/>
        <v>-</v>
      </c>
    </row>
    <row r="68" spans="1:12" ht="26.25" customHeight="1" x14ac:dyDescent="0.5">
      <c r="A68" s="118" t="s">
        <v>90</v>
      </c>
      <c r="B68" s="187">
        <f>(B67/B66)*(B65/B64)*(B63/B62)*(B61/B60)*B59</f>
        <v>50</v>
      </c>
      <c r="C68" s="230" t="s">
        <v>91</v>
      </c>
      <c r="D68" s="233">
        <v>10.16</v>
      </c>
      <c r="E68" s="176">
        <v>1</v>
      </c>
      <c r="F68" s="177">
        <v>9306811</v>
      </c>
      <c r="G68" s="261">
        <f>IF(ISBLANK(F68),"-",(F68/$D$50*$D$47*$B$68)*($B$57/$D$68))</f>
        <v>296.6545648172094</v>
      </c>
      <c r="H68" s="180">
        <f t="shared" si="0"/>
        <v>0.988848549390698</v>
      </c>
    </row>
    <row r="69" spans="1:12" ht="27" customHeight="1" x14ac:dyDescent="0.5">
      <c r="A69" s="166" t="s">
        <v>92</v>
      </c>
      <c r="B69" s="188">
        <f>(D47*B68)/B56*B57</f>
        <v>12.257612499999997</v>
      </c>
      <c r="C69" s="231"/>
      <c r="D69" s="234"/>
      <c r="E69" s="179">
        <v>2</v>
      </c>
      <c r="F69" s="131">
        <v>9297869</v>
      </c>
      <c r="G69" s="262">
        <f>IF(ISBLANK(F69),"-",(F69/$D$50*$D$47*$B$68)*($B$57/$D$68))</f>
        <v>296.36953860161356</v>
      </c>
      <c r="H69" s="180">
        <f t="shared" si="0"/>
        <v>0.98789846200537856</v>
      </c>
    </row>
    <row r="70" spans="1:12" ht="26.25" customHeight="1" x14ac:dyDescent="0.45">
      <c r="A70" s="236" t="s">
        <v>67</v>
      </c>
      <c r="B70" s="237"/>
      <c r="C70" s="231"/>
      <c r="D70" s="234"/>
      <c r="E70" s="179">
        <v>3</v>
      </c>
      <c r="F70" s="131">
        <v>9299972</v>
      </c>
      <c r="G70" s="262">
        <f>IF(ISBLANK(F70),"-",(F70/$D$50*$D$47*$B$68)*($B$57/$D$68))</f>
        <v>296.43657171852232</v>
      </c>
      <c r="H70" s="180">
        <f t="shared" si="0"/>
        <v>0.98812190572840775</v>
      </c>
    </row>
    <row r="71" spans="1:12" ht="27" customHeight="1" x14ac:dyDescent="0.45">
      <c r="A71" s="238"/>
      <c r="B71" s="239"/>
      <c r="C71" s="232"/>
      <c r="D71" s="235"/>
      <c r="E71" s="182">
        <v>4</v>
      </c>
      <c r="F71" s="183"/>
      <c r="G71" s="263" t="str">
        <f>IF(ISBLANK(F71),"-",(F71/$D$50*$D$47*$B$68)*($B$57/$D$68))</f>
        <v>-</v>
      </c>
      <c r="H71" s="189" t="str">
        <f t="shared" si="0"/>
        <v>-</v>
      </c>
    </row>
    <row r="72" spans="1:12" ht="26.25" customHeight="1" x14ac:dyDescent="0.45">
      <c r="A72" s="190"/>
      <c r="B72" s="190"/>
      <c r="C72" s="190"/>
      <c r="D72" s="190"/>
      <c r="E72" s="190"/>
      <c r="F72" s="192" t="s">
        <v>60</v>
      </c>
      <c r="G72" s="209">
        <f>AVERAGE(G60:G71)</f>
        <v>293.95702906942336</v>
      </c>
      <c r="H72" s="193">
        <f>AVERAGE(H60:H71)</f>
        <v>0.97985676356474449</v>
      </c>
    </row>
    <row r="73" spans="1:12" ht="26.25" customHeight="1" x14ac:dyDescent="0.45">
      <c r="C73" s="190"/>
      <c r="D73" s="190"/>
      <c r="E73" s="190"/>
      <c r="F73" s="194" t="s">
        <v>73</v>
      </c>
      <c r="G73" s="207">
        <f>STDEV(G60:G71)/G72</f>
        <v>1.0166632140260787E-2</v>
      </c>
      <c r="H73" s="207">
        <f>STDEV(H60:H71)/H72</f>
        <v>1.0166632140260789E-2</v>
      </c>
    </row>
    <row r="74" spans="1:12" ht="27" customHeight="1" x14ac:dyDescent="0.45">
      <c r="A74" s="190"/>
      <c r="B74" s="190"/>
      <c r="C74" s="191"/>
      <c r="D74" s="191"/>
      <c r="E74" s="195"/>
      <c r="F74" s="196" t="s">
        <v>20</v>
      </c>
      <c r="G74" s="197">
        <f>COUNT(G60:G71)</f>
        <v>9</v>
      </c>
      <c r="H74" s="197">
        <f>COUNT(H60:H71)</f>
        <v>9</v>
      </c>
    </row>
    <row r="76" spans="1:12" s="273" customFormat="1" ht="26.25" customHeight="1" x14ac:dyDescent="0.45">
      <c r="A76" s="268" t="s">
        <v>93</v>
      </c>
      <c r="B76" s="269" t="s">
        <v>94</v>
      </c>
      <c r="C76" s="265" t="str">
        <f>B20</f>
        <v>Amodiaquine &amp; Artesunate</v>
      </c>
      <c r="D76" s="265"/>
      <c r="E76" s="270" t="s">
        <v>95</v>
      </c>
      <c r="F76" s="270"/>
      <c r="G76" s="271">
        <f>H72</f>
        <v>0.97985676356474449</v>
      </c>
      <c r="H76" s="266"/>
      <c r="I76" s="272"/>
      <c r="J76" s="272"/>
      <c r="K76" s="272"/>
      <c r="L76" s="272"/>
    </row>
    <row r="77" spans="1:12" s="273" customFormat="1" ht="26.25" customHeight="1" x14ac:dyDescent="0.45">
      <c r="A77" s="268"/>
      <c r="B77" s="269"/>
      <c r="C77" s="266"/>
      <c r="D77" s="266"/>
      <c r="E77" s="270"/>
      <c r="F77" s="270"/>
      <c r="G77" s="271"/>
      <c r="H77" s="266"/>
      <c r="I77" s="272"/>
      <c r="J77" s="272"/>
      <c r="K77" s="272"/>
      <c r="L77" s="272"/>
    </row>
    <row r="78" spans="1:12" s="273" customFormat="1" ht="26.25" customHeight="1" x14ac:dyDescent="0.45">
      <c r="A78" s="268"/>
      <c r="B78" s="269"/>
      <c r="C78" s="266"/>
      <c r="D78" s="266"/>
      <c r="E78" s="270"/>
      <c r="F78" s="270"/>
      <c r="G78" s="271"/>
      <c r="H78" s="266"/>
      <c r="I78" s="272"/>
      <c r="J78" s="272"/>
      <c r="K78" s="272"/>
      <c r="L78" s="272"/>
    </row>
    <row r="79" spans="1:12" ht="18" x14ac:dyDescent="0.35">
      <c r="B79" s="265" t="s">
        <v>25</v>
      </c>
      <c r="C79" s="265"/>
      <c r="E79" s="266" t="s">
        <v>26</v>
      </c>
      <c r="F79" s="267"/>
      <c r="G79" s="265" t="s">
        <v>27</v>
      </c>
      <c r="H79" s="265"/>
    </row>
    <row r="80" spans="1:12" ht="69.900000000000006" customHeight="1" x14ac:dyDescent="0.35">
      <c r="A80" s="200" t="s">
        <v>28</v>
      </c>
      <c r="B80" s="201"/>
      <c r="C80" s="201"/>
      <c r="E80" s="201"/>
      <c r="F80" s="93"/>
      <c r="G80" s="202"/>
      <c r="H80" s="202"/>
    </row>
    <row r="81" spans="1:9" ht="69.900000000000006" customHeight="1" x14ac:dyDescent="0.35">
      <c r="A81" s="200" t="s">
        <v>29</v>
      </c>
      <c r="B81" s="203"/>
      <c r="C81" s="203"/>
      <c r="E81" s="203"/>
      <c r="F81" s="93"/>
      <c r="G81" s="204"/>
      <c r="H81" s="204"/>
    </row>
    <row r="82" spans="1:9" ht="18" x14ac:dyDescent="0.35">
      <c r="A82" s="190"/>
      <c r="B82" s="190"/>
      <c r="C82" s="191"/>
      <c r="D82" s="191"/>
      <c r="E82" s="191"/>
      <c r="F82" s="195"/>
      <c r="G82" s="191"/>
      <c r="H82" s="191"/>
      <c r="I82" s="93"/>
    </row>
    <row r="83" spans="1:9" ht="18" x14ac:dyDescent="0.35">
      <c r="A83" s="190"/>
      <c r="B83" s="190"/>
      <c r="C83" s="191"/>
      <c r="D83" s="191"/>
      <c r="E83" s="191"/>
      <c r="F83" s="195"/>
      <c r="G83" s="191"/>
      <c r="H83" s="191"/>
      <c r="I83" s="93"/>
    </row>
    <row r="84" spans="1:9" ht="18" x14ac:dyDescent="0.35">
      <c r="A84" s="190"/>
      <c r="B84" s="190"/>
      <c r="C84" s="191"/>
      <c r="D84" s="191"/>
      <c r="E84" s="191"/>
      <c r="F84" s="195"/>
      <c r="G84" s="191"/>
      <c r="H84" s="191"/>
      <c r="I84" s="93"/>
    </row>
    <row r="85" spans="1:9" ht="18" x14ac:dyDescent="0.35">
      <c r="A85" s="190"/>
      <c r="B85" s="190"/>
      <c r="C85" s="191"/>
      <c r="D85" s="191"/>
      <c r="E85" s="191"/>
      <c r="F85" s="195"/>
      <c r="G85" s="191"/>
      <c r="H85" s="191"/>
      <c r="I85" s="93"/>
    </row>
    <row r="86" spans="1:9" ht="18" x14ac:dyDescent="0.35">
      <c r="A86" s="190"/>
      <c r="B86" s="190"/>
      <c r="C86" s="191"/>
      <c r="D86" s="191"/>
      <c r="E86" s="191"/>
      <c r="F86" s="195"/>
      <c r="G86" s="191"/>
      <c r="H86" s="191"/>
      <c r="I86" s="93"/>
    </row>
    <row r="87" spans="1:9" ht="18" x14ac:dyDescent="0.35">
      <c r="A87" s="190"/>
      <c r="B87" s="190"/>
      <c r="C87" s="191"/>
      <c r="D87" s="191"/>
      <c r="E87" s="191"/>
      <c r="F87" s="195"/>
      <c r="G87" s="191"/>
      <c r="H87" s="191"/>
      <c r="I87" s="93"/>
    </row>
    <row r="88" spans="1:9" ht="18" x14ac:dyDescent="0.35">
      <c r="A88" s="190"/>
      <c r="B88" s="190"/>
      <c r="C88" s="191"/>
      <c r="D88" s="191"/>
      <c r="E88" s="191"/>
      <c r="F88" s="195"/>
      <c r="G88" s="191"/>
      <c r="H88" s="191"/>
      <c r="I88" s="93"/>
    </row>
    <row r="89" spans="1:9" ht="18" x14ac:dyDescent="0.35">
      <c r="A89" s="190"/>
      <c r="B89" s="190"/>
      <c r="C89" s="191"/>
      <c r="D89" s="191"/>
      <c r="E89" s="191"/>
      <c r="F89" s="195"/>
      <c r="G89" s="191"/>
      <c r="H89" s="191"/>
      <c r="I89" s="93"/>
    </row>
    <row r="90" spans="1:9" ht="18" x14ac:dyDescent="0.35">
      <c r="A90" s="190"/>
      <c r="B90" s="190"/>
      <c r="C90" s="191"/>
      <c r="D90" s="191"/>
      <c r="E90" s="191"/>
      <c r="F90" s="195"/>
      <c r="G90" s="191"/>
      <c r="H90" s="191"/>
      <c r="I90" s="93"/>
    </row>
    <row r="207" spans="1:1" x14ac:dyDescent="0.3">
      <c r="A207" s="2">
        <v>5</v>
      </c>
    </row>
  </sheetData>
  <sheetProtection formatColumns="0" formatRows="0" insertColumns="0" insertHyperlinks="0" deleteColumns="0" deleteRows="0" autoFilter="0" pivotTables="0"/>
  <mergeCells count="26">
    <mergeCell ref="B26:C26"/>
    <mergeCell ref="A16:H16"/>
    <mergeCell ref="A17:H17"/>
    <mergeCell ref="B18:C18"/>
    <mergeCell ref="B20:C20"/>
    <mergeCell ref="B21:H21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A1:I7"/>
    <mergeCell ref="A8:I14"/>
    <mergeCell ref="B79:C79"/>
    <mergeCell ref="G79:H79"/>
    <mergeCell ref="C68:C71"/>
    <mergeCell ref="D68:D71"/>
    <mergeCell ref="A70:B71"/>
    <mergeCell ref="C76:D76"/>
    <mergeCell ref="I39:I40"/>
    <mergeCell ref="A46:B47"/>
    <mergeCell ref="C60:C63"/>
  </mergeCells>
  <conditionalFormatting sqref="E51">
    <cfRule type="cellIs" dxfId="5" priority="1" operator="greaterThan">
      <formula>0.02</formula>
    </cfRule>
  </conditionalFormatting>
  <conditionalFormatting sqref="D51">
    <cfRule type="cellIs" dxfId="4" priority="2" operator="greaterThan">
      <formula>0.02</formula>
    </cfRule>
  </conditionalFormatting>
  <conditionalFormatting sqref="G73">
    <cfRule type="cellIs" dxfId="3" priority="3" operator="greaterThan">
      <formula>0.02</formula>
    </cfRule>
  </conditionalFormatting>
  <conditionalFormatting sqref="H73">
    <cfRule type="cellIs" dxfId="2" priority="4" operator="greaterThan">
      <formula>0.02</formula>
    </cfRule>
  </conditionalFormatting>
  <conditionalFormatting sqref="I39">
    <cfRule type="cellIs" dxfId="1" priority="6" operator="lessThanOrEqual">
      <formula>0.02</formula>
    </cfRule>
  </conditionalFormatting>
  <conditionalFormatting sqref="I39">
    <cfRule type="cellIs" dxfId="0" priority="7" operator="greaterThan">
      <formula>0.02</formula>
    </cfRule>
  </conditionalFormatting>
  <pageMargins left="0.7" right="0.7" top="0.75" bottom="0.75" header="0.3" footer="0.3"/>
  <pageSetup scale="3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SST</vt:lpstr>
      <vt:lpstr>Amodiaquine </vt:lpstr>
      <vt:lpstr>'Amodiaquine 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2016-08-01T13:47:18Z</cp:lastPrinted>
  <dcterms:created xsi:type="dcterms:W3CDTF">2005-07-05T10:19:27Z</dcterms:created>
  <dcterms:modified xsi:type="dcterms:W3CDTF">2016-08-01T13:49:54Z</dcterms:modified>
</cp:coreProperties>
</file>