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88" windowWidth="20772" windowHeight="11388" activeTab="3"/>
  </bookViews>
  <sheets>
    <sheet name="SST SULFAMETHOXAZOLE" sheetId="4" r:id="rId1"/>
    <sheet name="SST TRIMETHOPRIM" sheetId="1" r:id="rId2"/>
    <sheet name="SULFAMETHOXAZOLE" sheetId="2" r:id="rId3"/>
    <sheet name="TRIMETHOPRIM" sheetId="3" r:id="rId4"/>
  </sheets>
  <externalReferences>
    <externalReference r:id="rId5"/>
  </externalReferences>
  <definedNames>
    <definedName name="_xlnm.Print_Area" localSheetId="0">'SST SULFAMETHOXAZOLE'!$A$15:$H$61</definedName>
    <definedName name="_xlnm.Print_Area" localSheetId="1">'SST TRIMETHOPRIM'!$A$15:$G$61</definedName>
    <definedName name="_xlnm.Print_Area" localSheetId="2">SULFAMETHOXAZOLE!$A$1:$I$129</definedName>
    <definedName name="_xlnm.Print_Area" localSheetId="3">TRIMETHOPRIM!$A$1:$I$129</definedName>
  </definedNames>
  <calcPr calcId="145621"/>
</workbook>
</file>

<file path=xl/calcChain.xml><?xml version="1.0" encoding="utf-8"?>
<calcChain xmlns="http://schemas.openxmlformats.org/spreadsheetml/2006/main">
  <c r="D113" i="3" l="1"/>
  <c r="D112" i="3"/>
  <c r="D111" i="3"/>
  <c r="D110" i="3"/>
  <c r="D109" i="3"/>
  <c r="D108" i="3"/>
  <c r="D113" i="2"/>
  <c r="D112" i="2"/>
  <c r="D111" i="2"/>
  <c r="D110" i="2"/>
  <c r="D109" i="2"/>
  <c r="D108" i="2"/>
  <c r="C51" i="4"/>
  <c r="B52" i="4"/>
  <c r="B51" i="4"/>
  <c r="B42" i="4"/>
  <c r="B42" i="1"/>
  <c r="E51" i="4" l="1"/>
  <c r="B53" i="4" l="1"/>
  <c r="F51" i="4"/>
  <c r="D51" i="4"/>
  <c r="B32" i="4"/>
  <c r="F30" i="4"/>
  <c r="D30" i="4"/>
  <c r="C30" i="4"/>
  <c r="B30" i="4"/>
  <c r="B31" i="4" s="1"/>
  <c r="C124" i="3"/>
  <c r="B116" i="3"/>
  <c r="D100" i="3"/>
  <c r="B98" i="3"/>
  <c r="F95" i="3"/>
  <c r="D95" i="3"/>
  <c r="B87" i="3"/>
  <c r="F97" i="3" s="1"/>
  <c r="B83" i="3"/>
  <c r="C76" i="3"/>
  <c r="B68" i="3"/>
  <c r="B69" i="3" s="1"/>
  <c r="C56" i="3"/>
  <c r="B55" i="3"/>
  <c r="B45" i="3"/>
  <c r="D48" i="3" s="1"/>
  <c r="F42" i="3"/>
  <c r="D42" i="3"/>
  <c r="I39" i="3" s="1"/>
  <c r="B34" i="3"/>
  <c r="B30" i="3"/>
  <c r="C124" i="2"/>
  <c r="B116" i="2"/>
  <c r="D100" i="2" s="1"/>
  <c r="B98" i="2"/>
  <c r="F95" i="2"/>
  <c r="D95" i="2"/>
  <c r="B87" i="2"/>
  <c r="F97" i="2" s="1"/>
  <c r="B83" i="2"/>
  <c r="C76" i="2"/>
  <c r="B68" i="2"/>
  <c r="B69" i="2" s="1"/>
  <c r="C56" i="2"/>
  <c r="B55" i="2"/>
  <c r="B45" i="2"/>
  <c r="D48" i="2" s="1"/>
  <c r="D44" i="2"/>
  <c r="D45" i="2" s="1"/>
  <c r="E39" i="2" s="1"/>
  <c r="F42" i="2"/>
  <c r="D42" i="2"/>
  <c r="I39" i="2" s="1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2" l="1"/>
  <c r="I92" i="3"/>
  <c r="D101" i="3"/>
  <c r="G92" i="3" s="1"/>
  <c r="F98" i="3"/>
  <c r="F99" i="3" s="1"/>
  <c r="D49" i="3"/>
  <c r="D44" i="3"/>
  <c r="D45" i="3" s="1"/>
  <c r="E41" i="3" s="1"/>
  <c r="F44" i="3"/>
  <c r="F45" i="3" s="1"/>
  <c r="G39" i="3" s="1"/>
  <c r="D101" i="2"/>
  <c r="D102" i="2" s="1"/>
  <c r="F98" i="2"/>
  <c r="F99" i="2" s="1"/>
  <c r="F45" i="2"/>
  <c r="G38" i="2" s="1"/>
  <c r="D49" i="2"/>
  <c r="F46" i="2"/>
  <c r="D46" i="2"/>
  <c r="G93" i="3"/>
  <c r="G91" i="3"/>
  <c r="G41" i="2"/>
  <c r="E38" i="2"/>
  <c r="E41" i="2"/>
  <c r="G39" i="2"/>
  <c r="E40" i="2"/>
  <c r="D97" i="2"/>
  <c r="D98" i="2" s="1"/>
  <c r="D97" i="3"/>
  <c r="D98" i="3" s="1"/>
  <c r="D99" i="3" s="1"/>
  <c r="D102" i="3" l="1"/>
  <c r="G94" i="3"/>
  <c r="G95" i="3"/>
  <c r="F46" i="3"/>
  <c r="D46" i="3"/>
  <c r="E38" i="3"/>
  <c r="E39" i="3"/>
  <c r="E40" i="3"/>
  <c r="G41" i="3"/>
  <c r="G38" i="3"/>
  <c r="G40" i="3"/>
  <c r="E94" i="2"/>
  <c r="G93" i="2"/>
  <c r="G91" i="2"/>
  <c r="G92" i="2"/>
  <c r="G94" i="2"/>
  <c r="E92" i="2"/>
  <c r="G40" i="2"/>
  <c r="D52" i="2" s="1"/>
  <c r="D99" i="2"/>
  <c r="E91" i="2"/>
  <c r="E91" i="3"/>
  <c r="E92" i="3"/>
  <c r="E94" i="3"/>
  <c r="E93" i="2"/>
  <c r="E42" i="2"/>
  <c r="E93" i="3"/>
  <c r="G42" i="3" l="1"/>
  <c r="D50" i="3"/>
  <c r="G63" i="3" s="1"/>
  <c r="H63" i="3" s="1"/>
  <c r="D52" i="3"/>
  <c r="E42" i="3"/>
  <c r="G95" i="2"/>
  <c r="G42" i="2"/>
  <c r="D50" i="2"/>
  <c r="G66" i="2" s="1"/>
  <c r="H66" i="2" s="1"/>
  <c r="G69" i="2"/>
  <c r="H69" i="2" s="1"/>
  <c r="D51" i="2"/>
  <c r="G67" i="2"/>
  <c r="H67" i="2" s="1"/>
  <c r="D103" i="3"/>
  <c r="E95" i="3"/>
  <c r="D105" i="3"/>
  <c r="G68" i="3"/>
  <c r="H68" i="3" s="1"/>
  <c r="D103" i="2"/>
  <c r="E95" i="2"/>
  <c r="D105" i="2"/>
  <c r="G62" i="3" l="1"/>
  <c r="H62" i="3" s="1"/>
  <c r="G70" i="3"/>
  <c r="H70" i="3" s="1"/>
  <c r="G64" i="3"/>
  <c r="H64" i="3" s="1"/>
  <c r="G61" i="3"/>
  <c r="H61" i="3" s="1"/>
  <c r="G66" i="3"/>
  <c r="H66" i="3" s="1"/>
  <c r="G65" i="3"/>
  <c r="H65" i="3" s="1"/>
  <c r="D51" i="3"/>
  <c r="G71" i="3"/>
  <c r="H71" i="3" s="1"/>
  <c r="G67" i="3"/>
  <c r="H67" i="3" s="1"/>
  <c r="G60" i="3"/>
  <c r="H60" i="3" s="1"/>
  <c r="G69" i="3"/>
  <c r="H69" i="3" s="1"/>
  <c r="G70" i="2"/>
  <c r="H70" i="2" s="1"/>
  <c r="G68" i="2"/>
  <c r="H68" i="2" s="1"/>
  <c r="G61" i="2"/>
  <c r="H61" i="2" s="1"/>
  <c r="G60" i="2"/>
  <c r="G74" i="2" s="1"/>
  <c r="G65" i="2"/>
  <c r="H65" i="2" s="1"/>
  <c r="G62" i="2"/>
  <c r="H62" i="2" s="1"/>
  <c r="G64" i="2"/>
  <c r="H64" i="2" s="1"/>
  <c r="G63" i="2"/>
  <c r="H63" i="2" s="1"/>
  <c r="G71" i="2"/>
  <c r="H71" i="2" s="1"/>
  <c r="H60" i="2"/>
  <c r="G72" i="2"/>
  <c r="G73" i="2" s="1"/>
  <c r="E113" i="2"/>
  <c r="F113" i="2" s="1"/>
  <c r="E109" i="2"/>
  <c r="F109" i="2" s="1"/>
  <c r="E112" i="2"/>
  <c r="F112" i="2" s="1"/>
  <c r="E110" i="2"/>
  <c r="F110" i="2" s="1"/>
  <c r="E108" i="2"/>
  <c r="E111" i="2"/>
  <c r="F111" i="2" s="1"/>
  <c r="D104" i="2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9" i="2"/>
  <c r="E120" i="2"/>
  <c r="E117" i="2"/>
  <c r="F108" i="2"/>
  <c r="E115" i="2"/>
  <c r="E116" i="2" s="1"/>
  <c r="H72" i="3"/>
  <c r="H74" i="3"/>
  <c r="E120" i="3"/>
  <c r="E117" i="3"/>
  <c r="F108" i="3"/>
  <c r="E115" i="3"/>
  <c r="E116" i="3" s="1"/>
  <c r="E119" i="3"/>
  <c r="H72" i="2"/>
  <c r="H74" i="2"/>
  <c r="F125" i="3" l="1"/>
  <c r="F120" i="3"/>
  <c r="F117" i="3"/>
  <c r="D125" i="3"/>
  <c r="F115" i="3"/>
  <c r="F119" i="3"/>
  <c r="G76" i="3"/>
  <c r="H73" i="3"/>
  <c r="G76" i="2"/>
  <c r="H73" i="2"/>
  <c r="F117" i="2"/>
  <c r="D125" i="2"/>
  <c r="F115" i="2"/>
  <c r="F119" i="2"/>
  <c r="F125" i="2"/>
  <c r="F120" i="2"/>
  <c r="G124" i="2" l="1"/>
  <c r="F116" i="2"/>
  <c r="G124" i="3"/>
  <c r="F116" i="3"/>
</calcChain>
</file>

<file path=xl/sharedStrings.xml><?xml version="1.0" encoding="utf-8"?>
<sst xmlns="http://schemas.openxmlformats.org/spreadsheetml/2006/main" count="424" uniqueCount="130">
  <si>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</si>
  <si>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</si>
  <si>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</si>
  <si>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</si>
  <si>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</si>
  <si>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</si>
  <si>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NDQE201709124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</si>
  <si>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</si>
  <si>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</si>
  <si>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</si>
  <si>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</si>
  <si>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</si>
  <si>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</si>
  <si>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</si>
  <si>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</si>
  <si>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</si>
  <si>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</si>
  <si>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</si>
  <si>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</si>
  <si>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</si>
  <si>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</si>
  <si>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</si>
  <si>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</si>
  <si>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</si>
  <si>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</si>
  <si>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</si>
  <si>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</si>
  <si>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</si>
  <si>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</si>
  <si>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</si>
  <si>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</si>
  <si>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</si>
  <si>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</si>
  <si>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</si>
  <si>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</si>
  <si>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</si>
  <si>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</si>
  <si>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</si>
  <si>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</si>
  <si>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</si>
  <si>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</si>
  <si>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</si>
  <si>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</si>
  <si>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</si>
  <si>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</si>
  <si>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</si>
  <si>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</si>
  <si>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</si>
  <si>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</si>
  <si>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</si>
  <si>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</si>
  <si>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</si>
  <si>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</si>
  <si>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</si>
  <si>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</si>
  <si>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</si>
  <si>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</si>
  <si>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</si>
  <si>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</si>
  <si>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</si>
  <si>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</si>
  <si>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</si>
  <si>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</si>
  <si>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</si>
  <si>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</si>
  <si>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</si>
  <si>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</si>
  <si>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</si>
  <si>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</si>
  <si>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</si>
  <si>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</si>
  <si>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</si>
  <si>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</si>
  <si>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</si>
  <si>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</si>
  <si>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</si>
  <si>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</si>
  <si>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</si>
  <si>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</si>
  <si>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</si>
  <si>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</si>
  <si>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</si>
  <si>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</si>
  <si>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</si>
  <si>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</si>
  <si>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</si>
  <si>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</si>
  <si>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</si>
  <si>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</si>
  <si>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</si>
  <si>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</si>
  <si>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</si>
  <si>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</si>
  <si>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</si>
  <si>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</si>
  <si>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</si>
  <si>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</si>
  <si>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</si>
  <si>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</si>
  <si>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</si>
  <si>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</si>
  <si>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</si>
  <si>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</si>
  <si>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</si>
  <si>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</si>
  <si>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</si>
  <si>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</si>
  <si>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</si>
  <si>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</si>
  <si>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</si>
  <si>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</si>
  <si>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</si>
  <si>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</si>
  <si>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</si>
  <si>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</si>
  <si>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</si>
  <si>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</si>
  <si>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</si>
  <si>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</si>
  <si>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</si>
  <si>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</si>
  <si>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SULFAMETHOXAZOLE</t>
  </si>
  <si>
    <r>
      <t xml:space="preserve">The Resolution between Trimethoprim and Sulfamethoxazole peaks should </t>
    </r>
    <r>
      <rPr>
        <b/>
        <sz val="12"/>
        <color rgb="FF000000"/>
        <rFont val="Book Antiqua"/>
        <family val="1"/>
      </rPr>
      <t>not be less than 5.0</t>
    </r>
    <r>
      <rPr>
        <sz val="12"/>
        <color rgb="FF000000"/>
        <rFont val="Book Antiqua"/>
        <family val="1"/>
      </rPr>
      <t xml:space="preserve"> </t>
    </r>
  </si>
  <si>
    <t>Resolution(USP)</t>
  </si>
  <si>
    <t>Sulfamethoxazole</t>
  </si>
  <si>
    <t>Sulfamethoxazole 400 mg, Trimethoprim 80 mg</t>
  </si>
  <si>
    <t xml:space="preserve">Trimethoprim </t>
  </si>
  <si>
    <t>NESTRIM TABLETS</t>
  </si>
  <si>
    <t>PRS-T7-6 (USP Lot No.: L0M053)</t>
  </si>
  <si>
    <t>PRS-S12-7 (USP Lot No.: J1F148)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</si>
</sst>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3" fillId="2" borderId="0"/>
  </cellStyleXfs>
  <cellXfs count="47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22" fillId="2" borderId="0" xfId="0" applyFont="1" applyFill="1"/>
    <xf numFmtId="0" fontId="22" fillId="2" borderId="0" xfId="0" applyFont="1" applyFill="1" applyAlignment="1">
      <alignment horizontal="center"/>
    </xf>
    <xf numFmtId="0" fontId="25" fillId="2" borderId="7" xfId="0" applyFont="1" applyFill="1" applyBorder="1"/>
    <xf numFmtId="0" fontId="26" fillId="2" borderId="0" xfId="1" applyFont="1" applyFill="1"/>
    <xf numFmtId="10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175" fontId="5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+mn-lt"/>
              </a:defRPr>
            </a:pPr>
            <a:r>
              <a:rPr lang="en-US" sz="1200">
                <a:latin typeface="+mn-lt"/>
              </a:rPr>
              <a:t>SST: Theoretical Plates</a:t>
            </a:r>
          </a:p>
        </c:rich>
      </c:tx>
      <c:layout>
        <c:manualLayout>
          <c:xMode val="edge"/>
          <c:yMode val="edge"/>
          <c:x val="0.35293744531933507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'SST TRIMETHOPRIM'!$A$44</c:f>
              <c:strCache>
                <c:ptCount val="1"/>
                <c:pt idx="0">
                  <c:v>Injection Number</c:v>
                </c:pt>
              </c:strCache>
            </c:strRef>
          </c:tx>
          <c:invertIfNegative val="0"/>
          <c:val>
            <c:numRef>
              <c:f>'SST TRIMETHOPRIM'!$A$45:$A$50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'SST TRIMETHOPRIM'!$C$44</c:f>
              <c:strCache>
                <c:ptCount val="1"/>
                <c:pt idx="0">
                  <c:v>Theoretical Plates (USP) </c:v>
                </c:pt>
              </c:strCache>
            </c:strRef>
          </c:tx>
          <c:invertIfNegative val="0"/>
          <c:val>
            <c:numRef>
              <c:f>'SST TRIMETHOPRIM'!$C$45:$C$50</c:f>
              <c:numCache>
                <c:formatCode>General</c:formatCode>
                <c:ptCount val="6"/>
                <c:pt idx="0">
                  <c:v>5627.67</c:v>
                </c:pt>
                <c:pt idx="1">
                  <c:v>5586.23</c:v>
                </c:pt>
                <c:pt idx="2">
                  <c:v>5568.08</c:v>
                </c:pt>
                <c:pt idx="3">
                  <c:v>5582.64</c:v>
                </c:pt>
                <c:pt idx="4">
                  <c:v>5648.77</c:v>
                </c:pt>
                <c:pt idx="5">
                  <c:v>5646.33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69600"/>
        <c:axId val="182171136"/>
      </c:barChart>
      <c:catAx>
        <c:axId val="18216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71136"/>
        <c:crosses val="autoZero"/>
        <c:auto val="1"/>
        <c:lblAlgn val="ctr"/>
        <c:lblOffset val="100"/>
        <c:noMultiLvlLbl val="0"/>
      </c:catAx>
      <c:valAx>
        <c:axId val="182171136"/>
        <c:scaling>
          <c:orientation val="minMax"/>
          <c:min val="5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6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+mn-lt"/>
              </a:defRPr>
            </a:pPr>
            <a:r>
              <a:rPr lang="en-US" sz="1200">
                <a:latin typeface="+mn-lt"/>
              </a:rPr>
              <a:t>SST: Peak</a:t>
            </a:r>
            <a:r>
              <a:rPr lang="en-US" sz="1200" baseline="0">
                <a:latin typeface="+mn-lt"/>
              </a:rPr>
              <a:t> Areas</a:t>
            </a:r>
            <a:endParaRPr lang="en-US" sz="1200">
              <a:latin typeface="+mn-lt"/>
            </a:endParaRPr>
          </a:p>
        </c:rich>
      </c:tx>
      <c:layout>
        <c:manualLayout>
          <c:xMode val="edge"/>
          <c:yMode val="edge"/>
          <c:x val="0.35293744531933507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'SST TRIMETHOPRIM'!$A$45:$A$50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'SST TRIMETHOPRIM'!$B$45:$B$50</c:f>
              <c:numCache>
                <c:formatCode>General</c:formatCode>
                <c:ptCount val="6"/>
                <c:pt idx="0">
                  <c:v>6007588</c:v>
                </c:pt>
                <c:pt idx="1">
                  <c:v>6012495</c:v>
                </c:pt>
                <c:pt idx="2">
                  <c:v>6041137</c:v>
                </c:pt>
                <c:pt idx="3">
                  <c:v>6071062</c:v>
                </c:pt>
                <c:pt idx="4">
                  <c:v>6068451</c:v>
                </c:pt>
                <c:pt idx="5">
                  <c:v>6024197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17344"/>
        <c:axId val="182349184"/>
      </c:barChart>
      <c:catAx>
        <c:axId val="1822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49184"/>
        <c:crosses val="autoZero"/>
        <c:auto val="1"/>
        <c:lblAlgn val="ctr"/>
        <c:lblOffset val="100"/>
        <c:noMultiLvlLbl val="0"/>
      </c:catAx>
      <c:valAx>
        <c:axId val="182349184"/>
        <c:scaling>
          <c:orientation val="minMax"/>
          <c:min val="55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1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1554480</xdr:colOff>
      <xdr:row>41</xdr:row>
      <xdr:rowOff>30480</xdr:rowOff>
    </xdr:from>
    <xdr:to>
      <xdr:col>9</xdr:col>
      <xdr:colOff>487680</xdr:colOff>
      <xdr:row>54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9</xdr:col>
      <xdr:colOff>518160</xdr:colOff>
      <xdr:row>39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7102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SULFAMETHOXAZOLE"/>
      <sheetName val="SST TRIMETHOPRIM"/>
      <sheetName val="Uniformity"/>
      <sheetName val="SULFAMETHOXAZOLE"/>
      <sheetName val="TRIMETHOPRIM"/>
    </sheetNames>
    <sheetDataSet>
      <sheetData sheetId="0"/>
      <sheetData sheetId="1">
        <row r="23">
          <cell r="A23" t="str">
            <v>Injection Number</v>
          </cell>
          <cell r="C23" t="str">
            <v xml:space="preserve">Theoretical Plates (USP) </v>
          </cell>
        </row>
        <row r="24">
          <cell r="A24">
            <v>1</v>
          </cell>
          <cell r="C24">
            <v>6656.8</v>
          </cell>
        </row>
        <row r="25">
          <cell r="A25">
            <v>2</v>
          </cell>
          <cell r="C25">
            <v>6518</v>
          </cell>
        </row>
        <row r="26">
          <cell r="A26">
            <v>3</v>
          </cell>
          <cell r="C26">
            <v>6310.3</v>
          </cell>
        </row>
        <row r="27">
          <cell r="A27">
            <v>4</v>
          </cell>
          <cell r="C27">
            <v>6165.9</v>
          </cell>
        </row>
        <row r="28">
          <cell r="A28">
            <v>5</v>
          </cell>
          <cell r="C28">
            <v>6110.9</v>
          </cell>
        </row>
        <row r="29">
          <cell r="A29">
            <v>6</v>
          </cell>
          <cell r="C29">
            <v>6074.2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7" workbookViewId="0">
      <selection activeCell="E56" sqref="E56"/>
    </sheetView>
  </sheetViews>
  <sheetFormatPr defaultColWidth="9.109375" defaultRowHeight="13.8" x14ac:dyDescent="0.3"/>
  <cols>
    <col min="1" max="1" width="27.5546875" style="361" customWidth="1"/>
    <col min="2" max="2" width="20.44140625" style="361" customWidth="1"/>
    <col min="3" max="3" width="31.88671875" style="361" customWidth="1"/>
    <col min="4" max="5" width="25.88671875" style="361" customWidth="1"/>
    <col min="6" max="6" width="25.6640625" style="361" customWidth="1"/>
    <col min="7" max="7" width="23.109375" style="361" customWidth="1"/>
    <col min="8" max="8" width="28.44140625" style="361" customWidth="1"/>
    <col min="9" max="9" width="21.5546875" style="361" customWidth="1"/>
    <col min="10" max="10" width="9.109375" style="361" customWidth="1"/>
    <col min="11" max="16384" width="9.109375" style="44"/>
  </cols>
  <sheetData>
    <row r="14" spans="1:7" ht="15" customHeight="1" x14ac:dyDescent="0.3">
      <c r="A14" s="1"/>
      <c r="C14" s="3"/>
      <c r="G14" s="3"/>
    </row>
    <row r="15" spans="1:7" ht="18.75" customHeight="1" x14ac:dyDescent="0.35">
      <c r="A15" s="432" t="s">
        <v>0</v>
      </c>
      <c r="B15" s="432"/>
      <c r="C15" s="432"/>
      <c r="D15" s="432"/>
      <c r="E15" s="432"/>
      <c r="F15" s="432"/>
    </row>
    <row r="16" spans="1:7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127</v>
      </c>
      <c r="D17" s="9"/>
      <c r="E17" s="9"/>
      <c r="F17" s="36"/>
    </row>
    <row r="18" spans="1:6" ht="16.5" customHeight="1" x14ac:dyDescent="0.3">
      <c r="A18" s="11" t="s">
        <v>4</v>
      </c>
      <c r="B18" s="427"/>
      <c r="C18" s="36"/>
      <c r="D18" s="36"/>
      <c r="E18" s="36"/>
      <c r="F18" s="36"/>
    </row>
    <row r="19" spans="1:6" ht="16.5" customHeight="1" x14ac:dyDescent="0.3">
      <c r="A19" s="11" t="s">
        <v>5</v>
      </c>
      <c r="B19" s="12"/>
      <c r="C19" s="36"/>
      <c r="D19" s="36"/>
      <c r="E19" s="36"/>
      <c r="F19" s="36"/>
    </row>
    <row r="20" spans="1:6" ht="16.5" customHeight="1" x14ac:dyDescent="0.3">
      <c r="A20" s="8" t="s">
        <v>7</v>
      </c>
      <c r="B20" s="12"/>
      <c r="C20" s="36"/>
      <c r="D20" s="36"/>
      <c r="E20" s="36"/>
      <c r="F20" s="36"/>
    </row>
    <row r="21" spans="1:6" ht="16.5" customHeight="1" x14ac:dyDescent="0.3">
      <c r="A21" s="8" t="s">
        <v>8</v>
      </c>
      <c r="B21" s="13"/>
      <c r="C21" s="36"/>
      <c r="D21" s="36"/>
      <c r="E21" s="36"/>
      <c r="F21" s="36"/>
    </row>
    <row r="22" spans="1:6" ht="15.75" customHeight="1" x14ac:dyDescent="0.3">
      <c r="A22" s="36"/>
      <c r="B22" s="36"/>
      <c r="C22" s="36"/>
      <c r="D22" s="36"/>
      <c r="E22" s="36"/>
      <c r="F22" s="36"/>
    </row>
    <row r="23" spans="1:6" ht="16.5" customHeight="1" x14ac:dyDescent="0.3">
      <c r="A23" s="16" t="s">
        <v>9</v>
      </c>
      <c r="B23" s="15" t="s">
        <v>10</v>
      </c>
      <c r="C23" s="16" t="s">
        <v>11</v>
      </c>
      <c r="D23" s="16" t="s">
        <v>12</v>
      </c>
      <c r="E23" s="16"/>
      <c r="F23" s="16" t="s">
        <v>13</v>
      </c>
    </row>
    <row r="24" spans="1:6" ht="16.5" customHeight="1" x14ac:dyDescent="0.3">
      <c r="A24" s="17">
        <v>1</v>
      </c>
      <c r="B24" s="18"/>
      <c r="C24" s="18"/>
      <c r="D24" s="19"/>
      <c r="E24" s="19"/>
      <c r="F24" s="20"/>
    </row>
    <row r="25" spans="1:6" ht="16.5" customHeight="1" x14ac:dyDescent="0.3">
      <c r="A25" s="17">
        <v>2</v>
      </c>
      <c r="B25" s="18"/>
      <c r="C25" s="18"/>
      <c r="D25" s="19"/>
      <c r="E25" s="19"/>
      <c r="F25" s="19"/>
    </row>
    <row r="26" spans="1:6" ht="16.5" customHeight="1" x14ac:dyDescent="0.3">
      <c r="A26" s="17">
        <v>3</v>
      </c>
      <c r="B26" s="18"/>
      <c r="C26" s="18"/>
      <c r="D26" s="19"/>
      <c r="E26" s="19"/>
      <c r="F26" s="19"/>
    </row>
    <row r="27" spans="1:6" ht="16.5" customHeight="1" x14ac:dyDescent="0.3">
      <c r="A27" s="17">
        <v>4</v>
      </c>
      <c r="B27" s="18"/>
      <c r="C27" s="18"/>
      <c r="D27" s="19"/>
      <c r="E27" s="19"/>
      <c r="F27" s="19"/>
    </row>
    <row r="28" spans="1:6" ht="16.5" customHeight="1" x14ac:dyDescent="0.3">
      <c r="A28" s="17">
        <v>5</v>
      </c>
      <c r="B28" s="18"/>
      <c r="C28" s="18"/>
      <c r="D28" s="19"/>
      <c r="E28" s="19"/>
      <c r="F28" s="19"/>
    </row>
    <row r="29" spans="1:6" ht="16.5" customHeight="1" x14ac:dyDescent="0.3">
      <c r="A29" s="17">
        <v>6</v>
      </c>
      <c r="B29" s="21"/>
      <c r="C29" s="21"/>
      <c r="D29" s="22"/>
      <c r="E29" s="22"/>
      <c r="F29" s="22"/>
    </row>
    <row r="30" spans="1:6" ht="16.5" customHeight="1" x14ac:dyDescent="0.3">
      <c r="A30" s="23" t="s">
        <v>14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/>
      <c r="F30" s="26" t="e">
        <f>AVERAGE(F24:F29)</f>
        <v>#DIV/0!</v>
      </c>
    </row>
    <row r="31" spans="1:6" ht="16.5" customHeight="1" x14ac:dyDescent="0.3">
      <c r="A31" s="27" t="s">
        <v>15</v>
      </c>
      <c r="B31" s="28" t="e">
        <f>(STDEV(B24:B29)/B30)</f>
        <v>#DIV/0!</v>
      </c>
      <c r="C31" s="29"/>
      <c r="D31" s="29"/>
      <c r="E31" s="29"/>
      <c r="F31" s="30"/>
    </row>
    <row r="32" spans="1:6" s="361" customFormat="1" ht="16.5" customHeight="1" x14ac:dyDescent="0.3">
      <c r="A32" s="31" t="s">
        <v>16</v>
      </c>
      <c r="B32" s="32">
        <f>COUNT(B24:B29)</f>
        <v>0</v>
      </c>
      <c r="C32" s="33"/>
      <c r="D32" s="34"/>
      <c r="E32" s="34"/>
      <c r="F32" s="35"/>
    </row>
    <row r="33" spans="1:7" s="361" customFormat="1" ht="15.75" customHeight="1" x14ac:dyDescent="0.3">
      <c r="A33" s="36"/>
      <c r="B33" s="36"/>
      <c r="C33" s="36"/>
      <c r="D33" s="36"/>
      <c r="E33" s="36"/>
      <c r="F33" s="36"/>
    </row>
    <row r="34" spans="1:7" s="361" customFormat="1" ht="16.5" customHeight="1" x14ac:dyDescent="0.3">
      <c r="A34" s="11" t="s">
        <v>17</v>
      </c>
      <c r="B34" s="40" t="s">
        <v>18</v>
      </c>
      <c r="C34" s="39"/>
      <c r="D34" s="39"/>
      <c r="E34" s="39"/>
      <c r="F34" s="39"/>
    </row>
    <row r="35" spans="1:7" ht="16.5" customHeight="1" x14ac:dyDescent="0.3">
      <c r="A35" s="11"/>
      <c r="B35" s="40" t="s">
        <v>19</v>
      </c>
      <c r="C35" s="39"/>
      <c r="D35" s="39"/>
      <c r="E35" s="39"/>
      <c r="F35" s="39"/>
    </row>
    <row r="36" spans="1:7" ht="16.5" customHeight="1" x14ac:dyDescent="0.3">
      <c r="A36" s="11"/>
      <c r="B36" s="40" t="s">
        <v>20</v>
      </c>
      <c r="C36" s="39"/>
      <c r="D36" s="39"/>
      <c r="E36" s="39"/>
      <c r="F36" s="39"/>
    </row>
    <row r="37" spans="1:7" ht="15.75" customHeight="1" x14ac:dyDescent="0.3">
      <c r="A37" s="36"/>
      <c r="B37" s="36"/>
      <c r="C37" s="36"/>
      <c r="D37" s="36"/>
      <c r="E37" s="36"/>
      <c r="F37" s="36"/>
    </row>
    <row r="38" spans="1:7" ht="16.5" customHeight="1" x14ac:dyDescent="0.3">
      <c r="A38" s="5" t="s">
        <v>1</v>
      </c>
      <c r="B38" s="6" t="s">
        <v>21</v>
      </c>
    </row>
    <row r="39" spans="1:7" ht="16.5" customHeight="1" x14ac:dyDescent="0.3">
      <c r="A39" s="11" t="s">
        <v>4</v>
      </c>
      <c r="B39" s="427" t="s">
        <v>121</v>
      </c>
      <c r="C39" s="36"/>
      <c r="D39" s="36"/>
      <c r="E39" s="36"/>
      <c r="F39" s="36"/>
    </row>
    <row r="40" spans="1:7" ht="16.5" customHeight="1" x14ac:dyDescent="0.3">
      <c r="A40" s="11" t="s">
        <v>5</v>
      </c>
      <c r="B40" s="12">
        <v>100</v>
      </c>
      <c r="C40" s="36"/>
      <c r="D40" s="36"/>
      <c r="E40" s="36"/>
      <c r="F40" s="36"/>
    </row>
    <row r="41" spans="1:7" ht="16.5" customHeight="1" x14ac:dyDescent="0.3">
      <c r="A41" s="8" t="s">
        <v>7</v>
      </c>
      <c r="B41" s="12">
        <v>15.81</v>
      </c>
      <c r="C41" s="36"/>
      <c r="D41" s="36"/>
      <c r="E41" s="36"/>
      <c r="F41" s="36"/>
    </row>
    <row r="42" spans="1:7" ht="16.5" customHeight="1" x14ac:dyDescent="0.3">
      <c r="A42" s="8" t="s">
        <v>8</v>
      </c>
      <c r="B42" s="13">
        <f>B41/100</f>
        <v>0.15810000000000002</v>
      </c>
      <c r="C42" s="36"/>
      <c r="D42" s="36"/>
      <c r="E42" s="36"/>
      <c r="F42" s="36"/>
    </row>
    <row r="43" spans="1:7" ht="15.75" customHeight="1" x14ac:dyDescent="0.3">
      <c r="A43" s="36"/>
      <c r="B43" s="36"/>
      <c r="C43" s="36"/>
      <c r="D43" s="36"/>
      <c r="E43" s="36"/>
      <c r="F43" s="36"/>
    </row>
    <row r="44" spans="1:7" ht="16.5" customHeight="1" x14ac:dyDescent="0.3">
      <c r="A44" s="16" t="s">
        <v>9</v>
      </c>
      <c r="B44" s="15" t="s">
        <v>10</v>
      </c>
      <c r="C44" s="16" t="s">
        <v>11</v>
      </c>
      <c r="D44" s="16" t="s">
        <v>12</v>
      </c>
      <c r="E44" s="16" t="s">
        <v>123</v>
      </c>
      <c r="F44" s="16" t="s">
        <v>13</v>
      </c>
      <c r="G44" s="428"/>
    </row>
    <row r="45" spans="1:7" ht="16.5" customHeight="1" x14ac:dyDescent="0.3">
      <c r="A45" s="17">
        <v>1</v>
      </c>
      <c r="B45" s="18">
        <v>72542394</v>
      </c>
      <c r="C45" s="18">
        <v>7674.77</v>
      </c>
      <c r="D45" s="19">
        <v>1.36</v>
      </c>
      <c r="E45" s="19">
        <v>15.03</v>
      </c>
      <c r="F45" s="20">
        <v>10.46</v>
      </c>
    </row>
    <row r="46" spans="1:7" ht="16.5" customHeight="1" x14ac:dyDescent="0.3">
      <c r="A46" s="17">
        <v>2</v>
      </c>
      <c r="B46" s="18">
        <v>72614955</v>
      </c>
      <c r="C46" s="18">
        <v>7638.45</v>
      </c>
      <c r="D46" s="19">
        <v>1.36</v>
      </c>
      <c r="E46" s="19">
        <v>14.98</v>
      </c>
      <c r="F46" s="19">
        <v>10.46</v>
      </c>
    </row>
    <row r="47" spans="1:7" ht="16.5" customHeight="1" x14ac:dyDescent="0.3">
      <c r="A47" s="17">
        <v>3</v>
      </c>
      <c r="B47" s="18">
        <v>72971335</v>
      </c>
      <c r="C47" s="18">
        <v>7606.21</v>
      </c>
      <c r="D47" s="19">
        <v>1.35</v>
      </c>
      <c r="E47" s="19">
        <v>14.96</v>
      </c>
      <c r="F47" s="19">
        <v>10.46</v>
      </c>
    </row>
    <row r="48" spans="1:7" ht="16.5" customHeight="1" x14ac:dyDescent="0.3">
      <c r="A48" s="17">
        <v>4</v>
      </c>
      <c r="B48" s="18">
        <v>73348540</v>
      </c>
      <c r="C48" s="18">
        <v>7605.28</v>
      </c>
      <c r="D48" s="19">
        <v>1.35</v>
      </c>
      <c r="E48" s="19">
        <v>14.97</v>
      </c>
      <c r="F48" s="19">
        <v>10.46</v>
      </c>
    </row>
    <row r="49" spans="1:8" ht="16.5" customHeight="1" x14ac:dyDescent="0.3">
      <c r="A49" s="17">
        <v>5</v>
      </c>
      <c r="B49" s="18">
        <v>73322737</v>
      </c>
      <c r="C49" s="18">
        <v>7613.96</v>
      </c>
      <c r="D49" s="19">
        <v>1.35</v>
      </c>
      <c r="E49" s="19">
        <v>14.98</v>
      </c>
      <c r="F49" s="19">
        <v>10.46</v>
      </c>
    </row>
    <row r="50" spans="1:8" ht="16.5" customHeight="1" x14ac:dyDescent="0.3">
      <c r="A50" s="17">
        <v>6</v>
      </c>
      <c r="B50" s="21">
        <v>72840924</v>
      </c>
      <c r="C50" s="21">
        <v>7612.67</v>
      </c>
      <c r="D50" s="22">
        <v>1.35</v>
      </c>
      <c r="E50" s="22">
        <v>14.98</v>
      </c>
      <c r="F50" s="22">
        <v>10.46</v>
      </c>
    </row>
    <row r="51" spans="1:8" ht="16.5" customHeight="1" x14ac:dyDescent="0.3">
      <c r="A51" s="23" t="s">
        <v>14</v>
      </c>
      <c r="B51" s="24">
        <f>AVERAGE(B45:B50)</f>
        <v>72940147.5</v>
      </c>
      <c r="C51" s="476">
        <f>AVERAGE(C45:C50)</f>
        <v>7625.2233333333324</v>
      </c>
      <c r="D51" s="26">
        <f>AVERAGE(D45:D50)</f>
        <v>1.3533333333333333</v>
      </c>
      <c r="E51" s="26">
        <f>AVERAGE(E45:E50)</f>
        <v>14.983333333333334</v>
      </c>
      <c r="F51" s="26">
        <f>AVERAGE(F45:F50)</f>
        <v>10.46</v>
      </c>
    </row>
    <row r="52" spans="1:8" ht="16.5" customHeight="1" x14ac:dyDescent="0.3">
      <c r="A52" s="27" t="s">
        <v>15</v>
      </c>
      <c r="B52" s="28">
        <f>(STDEV(B45:B50)/B51)</f>
        <v>4.7012469700212466E-3</v>
      </c>
      <c r="C52" s="29"/>
      <c r="D52" s="29"/>
      <c r="E52" s="29"/>
      <c r="F52" s="30"/>
    </row>
    <row r="53" spans="1:8" s="361" customFormat="1" ht="16.5" customHeight="1" x14ac:dyDescent="0.3">
      <c r="A53" s="31" t="s">
        <v>16</v>
      </c>
      <c r="B53" s="32">
        <f>COUNT(B45:B50)</f>
        <v>6</v>
      </c>
      <c r="C53" s="33"/>
      <c r="D53" s="34"/>
      <c r="E53" s="34"/>
      <c r="F53" s="35"/>
    </row>
    <row r="54" spans="1:8" s="361" customFormat="1" ht="15.75" customHeight="1" x14ac:dyDescent="0.3">
      <c r="A54" s="36"/>
      <c r="B54" s="36"/>
      <c r="C54" s="36"/>
      <c r="D54" s="36"/>
      <c r="E54" s="36"/>
      <c r="F54" s="36"/>
    </row>
    <row r="55" spans="1:8" s="361" customFormat="1" ht="16.5" customHeight="1" x14ac:dyDescent="0.3">
      <c r="A55" s="11" t="s">
        <v>17</v>
      </c>
      <c r="B55" s="40" t="s">
        <v>18</v>
      </c>
      <c r="C55" s="39"/>
      <c r="D55" s="39"/>
      <c r="E55" s="39"/>
      <c r="F55" s="39"/>
    </row>
    <row r="56" spans="1:8" ht="16.5" customHeight="1" x14ac:dyDescent="0.3">
      <c r="A56" s="11"/>
      <c r="B56" s="40" t="s">
        <v>19</v>
      </c>
      <c r="C56" s="39"/>
      <c r="D56" s="39"/>
      <c r="E56" s="39"/>
      <c r="F56" s="39"/>
    </row>
    <row r="57" spans="1:8" ht="16.5" customHeight="1" x14ac:dyDescent="0.3">
      <c r="A57" s="11"/>
      <c r="B57" s="40" t="s">
        <v>20</v>
      </c>
      <c r="C57" s="39"/>
      <c r="D57" s="39"/>
      <c r="E57" s="39"/>
      <c r="F57" s="39"/>
    </row>
    <row r="58" spans="1:8" ht="14.25" customHeight="1" thickBot="1" x14ac:dyDescent="0.35">
      <c r="A58" s="41"/>
      <c r="B58" s="430" t="s">
        <v>122</v>
      </c>
      <c r="D58" s="43"/>
      <c r="E58" s="431"/>
      <c r="G58" s="44"/>
      <c r="H58" s="44"/>
    </row>
    <row r="59" spans="1:8" ht="15" customHeight="1" x14ac:dyDescent="0.3">
      <c r="B59" s="433" t="s">
        <v>22</v>
      </c>
      <c r="C59" s="433"/>
      <c r="F59" s="45" t="s">
        <v>23</v>
      </c>
      <c r="G59" s="46"/>
      <c r="H59" s="45" t="s">
        <v>24</v>
      </c>
    </row>
    <row r="60" spans="1:8" ht="15" customHeight="1" x14ac:dyDescent="0.3">
      <c r="A60" s="47" t="s">
        <v>25</v>
      </c>
      <c r="B60" s="429"/>
      <c r="C60" s="429"/>
      <c r="F60" s="429"/>
      <c r="H60" s="48"/>
    </row>
    <row r="61" spans="1:8" ht="15" customHeight="1" x14ac:dyDescent="0.3">
      <c r="A61" s="47" t="s">
        <v>26</v>
      </c>
      <c r="B61" s="49"/>
      <c r="C61" s="49"/>
      <c r="F61" s="49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C28" workbookViewId="0">
      <selection activeCell="E38" sqref="E3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32" t="s">
        <v>0</v>
      </c>
      <c r="B15" s="432"/>
      <c r="C15" s="432"/>
      <c r="D15" s="432"/>
      <c r="E15" s="43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127</v>
      </c>
      <c r="D17" s="9"/>
      <c r="E17" s="10"/>
    </row>
    <row r="18" spans="1:6" ht="16.5" customHeight="1" x14ac:dyDescent="0.3">
      <c r="A18" s="11" t="s">
        <v>4</v>
      </c>
      <c r="C18" s="10"/>
      <c r="D18" s="10"/>
      <c r="E18" s="10"/>
    </row>
    <row r="19" spans="1:6" ht="16.5" customHeight="1" x14ac:dyDescent="0.3">
      <c r="A19" s="11" t="s">
        <v>5</v>
      </c>
      <c r="B19" s="12"/>
      <c r="C19" s="10"/>
      <c r="D19" s="10"/>
      <c r="E19" s="10"/>
    </row>
    <row r="20" spans="1:6" ht="16.5" customHeight="1" x14ac:dyDescent="0.3">
      <c r="A20" s="7" t="s">
        <v>7</v>
      </c>
      <c r="C20" s="10"/>
      <c r="D20" s="10"/>
      <c r="E20" s="10"/>
    </row>
    <row r="21" spans="1:6" ht="16.5" customHeight="1" x14ac:dyDescent="0.3">
      <c r="A21" s="7" t="s">
        <v>8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9</v>
      </c>
      <c r="B23" s="15" t="s">
        <v>10</v>
      </c>
      <c r="C23" s="14" t="s">
        <v>11</v>
      </c>
      <c r="D23" s="14" t="s">
        <v>12</v>
      </c>
      <c r="E23" s="16" t="s">
        <v>13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14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15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16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17</v>
      </c>
      <c r="B34" s="37" t="s">
        <v>18</v>
      </c>
      <c r="C34" s="38"/>
      <c r="D34" s="38"/>
      <c r="E34" s="39"/>
    </row>
    <row r="35" spans="1:6" ht="16.5" customHeight="1" x14ac:dyDescent="0.3">
      <c r="A35" s="11"/>
      <c r="B35" s="37" t="s">
        <v>19</v>
      </c>
      <c r="C35" s="38"/>
      <c r="D35" s="38"/>
      <c r="E35" s="39"/>
      <c r="F35" s="2"/>
    </row>
    <row r="36" spans="1:6" ht="16.5" customHeight="1" x14ac:dyDescent="0.3">
      <c r="A36" s="11"/>
      <c r="B36" s="40" t="s">
        <v>20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21</v>
      </c>
    </row>
    <row r="39" spans="1:6" ht="16.5" customHeight="1" x14ac:dyDescent="0.3">
      <c r="A39" s="11" t="s">
        <v>4</v>
      </c>
      <c r="B39" s="8" t="s">
        <v>120</v>
      </c>
      <c r="C39" s="10"/>
      <c r="D39" s="10"/>
      <c r="E39" s="10"/>
    </row>
    <row r="40" spans="1:6" ht="16.5" customHeight="1" x14ac:dyDescent="0.3">
      <c r="A40" s="11" t="s">
        <v>5</v>
      </c>
      <c r="B40" s="12">
        <v>100</v>
      </c>
      <c r="C40" s="10"/>
      <c r="D40" s="10"/>
      <c r="E40" s="10"/>
    </row>
    <row r="41" spans="1:6" ht="16.5" customHeight="1" x14ac:dyDescent="0.3">
      <c r="A41" s="7" t="s">
        <v>7</v>
      </c>
      <c r="B41" s="12">
        <v>20.97</v>
      </c>
      <c r="C41" s="10"/>
      <c r="D41" s="10"/>
      <c r="E41" s="10"/>
    </row>
    <row r="42" spans="1:6" ht="16.5" customHeight="1" x14ac:dyDescent="0.3">
      <c r="A42" s="7" t="s">
        <v>8</v>
      </c>
      <c r="B42" s="13">
        <f>B41/25*4/100</f>
        <v>3.3551999999999998E-2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9</v>
      </c>
      <c r="B44" s="15" t="s">
        <v>10</v>
      </c>
      <c r="C44" s="14" t="s">
        <v>11</v>
      </c>
      <c r="D44" s="14" t="s">
        <v>12</v>
      </c>
      <c r="E44" s="16" t="s">
        <v>13</v>
      </c>
    </row>
    <row r="45" spans="1:6" ht="16.5" customHeight="1" x14ac:dyDescent="0.3">
      <c r="A45" s="17">
        <v>1</v>
      </c>
      <c r="B45" s="18">
        <v>6007588</v>
      </c>
      <c r="C45" s="18">
        <v>5627.67</v>
      </c>
      <c r="D45" s="19">
        <v>1.37</v>
      </c>
      <c r="E45" s="20">
        <v>4.91</v>
      </c>
    </row>
    <row r="46" spans="1:6" ht="16.5" customHeight="1" x14ac:dyDescent="0.3">
      <c r="A46" s="17">
        <v>2</v>
      </c>
      <c r="B46" s="18">
        <v>6012495</v>
      </c>
      <c r="C46" s="18">
        <v>5586.23</v>
      </c>
      <c r="D46" s="19">
        <v>1.37</v>
      </c>
      <c r="E46" s="19">
        <v>4.91</v>
      </c>
    </row>
    <row r="47" spans="1:6" ht="16.5" customHeight="1" x14ac:dyDescent="0.3">
      <c r="A47" s="17">
        <v>3</v>
      </c>
      <c r="B47" s="18">
        <v>6041137</v>
      </c>
      <c r="C47" s="18">
        <v>5568.08</v>
      </c>
      <c r="D47" s="19">
        <v>1.37</v>
      </c>
      <c r="E47" s="19">
        <v>4.91</v>
      </c>
    </row>
    <row r="48" spans="1:6" ht="16.5" customHeight="1" x14ac:dyDescent="0.3">
      <c r="A48" s="17">
        <v>4</v>
      </c>
      <c r="B48" s="18">
        <v>6071062</v>
      </c>
      <c r="C48" s="18">
        <v>5582.64</v>
      </c>
      <c r="D48" s="19">
        <v>1.36</v>
      </c>
      <c r="E48" s="19">
        <v>4.91</v>
      </c>
    </row>
    <row r="49" spans="1:7" ht="16.5" customHeight="1" x14ac:dyDescent="0.3">
      <c r="A49" s="17">
        <v>5</v>
      </c>
      <c r="B49" s="18">
        <v>6068451</v>
      </c>
      <c r="C49" s="18">
        <v>5648.77</v>
      </c>
      <c r="D49" s="19">
        <v>1.34</v>
      </c>
      <c r="E49" s="19">
        <v>4.91</v>
      </c>
    </row>
    <row r="50" spans="1:7" ht="16.5" customHeight="1" x14ac:dyDescent="0.3">
      <c r="A50" s="17">
        <v>6</v>
      </c>
      <c r="B50" s="21">
        <v>6024197</v>
      </c>
      <c r="C50" s="21">
        <v>5646.33</v>
      </c>
      <c r="D50" s="22">
        <v>1.33</v>
      </c>
      <c r="E50" s="22">
        <v>4.91</v>
      </c>
    </row>
    <row r="51" spans="1:7" ht="16.5" customHeight="1" x14ac:dyDescent="0.3">
      <c r="A51" s="23" t="s">
        <v>14</v>
      </c>
      <c r="B51" s="24">
        <f>AVERAGE(B45:B50)</f>
        <v>6037488.333333333</v>
      </c>
      <c r="C51" s="476">
        <f>AVERAGE(C45:C50)</f>
        <v>5609.9533333333338</v>
      </c>
      <c r="D51" s="26">
        <f>AVERAGE(D45:D50)</f>
        <v>1.3566666666666667</v>
      </c>
      <c r="E51" s="26">
        <f>AVERAGE(E45:E50)</f>
        <v>4.91</v>
      </c>
    </row>
    <row r="52" spans="1:7" ht="16.5" customHeight="1" x14ac:dyDescent="0.3">
      <c r="A52" s="27" t="s">
        <v>15</v>
      </c>
      <c r="B52" s="28">
        <f>(STDEV(B45:B50)/B51)</f>
        <v>4.5628758113498676E-3</v>
      </c>
      <c r="C52" s="29"/>
      <c r="D52" s="29"/>
      <c r="E52" s="30"/>
      <c r="F52" s="2"/>
    </row>
    <row r="53" spans="1:7" s="2" customFormat="1" ht="16.5" customHeight="1" x14ac:dyDescent="0.3">
      <c r="A53" s="31" t="s">
        <v>16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17</v>
      </c>
      <c r="B55" s="37" t="s">
        <v>18</v>
      </c>
      <c r="C55" s="38"/>
      <c r="D55" s="38"/>
      <c r="E55" s="39"/>
    </row>
    <row r="56" spans="1:7" ht="16.5" customHeight="1" x14ac:dyDescent="0.3">
      <c r="A56" s="11"/>
      <c r="B56" s="37" t="s">
        <v>19</v>
      </c>
      <c r="C56" s="38"/>
      <c r="D56" s="38"/>
      <c r="E56" s="39"/>
      <c r="F56" s="2"/>
    </row>
    <row r="57" spans="1:7" ht="16.5" customHeight="1" x14ac:dyDescent="0.3">
      <c r="A57" s="11"/>
      <c r="B57" s="40" t="s">
        <v>20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33" t="s">
        <v>22</v>
      </c>
      <c r="C59" s="433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29"/>
      <c r="C60" s="429"/>
      <c r="E60" s="429"/>
      <c r="F60" s="2"/>
      <c r="G60" s="48"/>
    </row>
    <row r="61" spans="1:7" ht="15" customHeight="1" x14ac:dyDescent="0.3">
      <c r="A61" s="47" t="s">
        <v>26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40" zoomScalePageLayoutView="50" workbookViewId="0">
      <selection activeCell="G105" sqref="G10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65" t="s">
        <v>27</v>
      </c>
      <c r="B1" s="465"/>
      <c r="C1" s="465"/>
      <c r="D1" s="465"/>
      <c r="E1" s="465"/>
      <c r="F1" s="465"/>
      <c r="G1" s="465"/>
      <c r="H1" s="465"/>
      <c r="I1" s="465"/>
    </row>
    <row r="2" spans="1:9" ht="18.75" customHeight="1" x14ac:dyDescent="0.3">
      <c r="A2" s="465"/>
      <c r="B2" s="465"/>
      <c r="C2" s="465"/>
      <c r="D2" s="465"/>
      <c r="E2" s="465"/>
      <c r="F2" s="465"/>
      <c r="G2" s="465"/>
      <c r="H2" s="465"/>
      <c r="I2" s="465"/>
    </row>
    <row r="3" spans="1:9" ht="18.75" customHeight="1" x14ac:dyDescent="0.3">
      <c r="A3" s="465"/>
      <c r="B3" s="465"/>
      <c r="C3" s="465"/>
      <c r="D3" s="465"/>
      <c r="E3" s="465"/>
      <c r="F3" s="465"/>
      <c r="G3" s="465"/>
      <c r="H3" s="465"/>
      <c r="I3" s="465"/>
    </row>
    <row r="4" spans="1:9" ht="18.75" customHeight="1" x14ac:dyDescent="0.3">
      <c r="A4" s="465"/>
      <c r="B4" s="465"/>
      <c r="C4" s="465"/>
      <c r="D4" s="465"/>
      <c r="E4" s="465"/>
      <c r="F4" s="465"/>
      <c r="G4" s="465"/>
      <c r="H4" s="465"/>
      <c r="I4" s="465"/>
    </row>
    <row r="5" spans="1:9" ht="18.75" customHeight="1" x14ac:dyDescent="0.3">
      <c r="A5" s="465"/>
      <c r="B5" s="465"/>
      <c r="C5" s="465"/>
      <c r="D5" s="465"/>
      <c r="E5" s="465"/>
      <c r="F5" s="465"/>
      <c r="G5" s="465"/>
      <c r="H5" s="465"/>
      <c r="I5" s="465"/>
    </row>
    <row r="6" spans="1:9" ht="18.75" customHeight="1" x14ac:dyDescent="0.3">
      <c r="A6" s="465"/>
      <c r="B6" s="465"/>
      <c r="C6" s="465"/>
      <c r="D6" s="465"/>
      <c r="E6" s="465"/>
      <c r="F6" s="465"/>
      <c r="G6" s="465"/>
      <c r="H6" s="465"/>
      <c r="I6" s="465"/>
    </row>
    <row r="7" spans="1:9" ht="18.75" customHeight="1" x14ac:dyDescent="0.3">
      <c r="A7" s="465"/>
      <c r="B7" s="465"/>
      <c r="C7" s="465"/>
      <c r="D7" s="465"/>
      <c r="E7" s="465"/>
      <c r="F7" s="465"/>
      <c r="G7" s="465"/>
      <c r="H7" s="465"/>
      <c r="I7" s="465"/>
    </row>
    <row r="8" spans="1:9" x14ac:dyDescent="0.3">
      <c r="A8" s="466" t="s">
        <v>28</v>
      </c>
      <c r="B8" s="466"/>
      <c r="C8" s="466"/>
      <c r="D8" s="466"/>
      <c r="E8" s="466"/>
      <c r="F8" s="466"/>
      <c r="G8" s="466"/>
      <c r="H8" s="466"/>
      <c r="I8" s="466"/>
    </row>
    <row r="9" spans="1:9" x14ac:dyDescent="0.3">
      <c r="A9" s="466"/>
      <c r="B9" s="466"/>
      <c r="C9" s="466"/>
      <c r="D9" s="466"/>
      <c r="E9" s="466"/>
      <c r="F9" s="466"/>
      <c r="G9" s="466"/>
      <c r="H9" s="466"/>
      <c r="I9" s="466"/>
    </row>
    <row r="10" spans="1:9" x14ac:dyDescent="0.3">
      <c r="A10" s="466"/>
      <c r="B10" s="466"/>
      <c r="C10" s="466"/>
      <c r="D10" s="466"/>
      <c r="E10" s="466"/>
      <c r="F10" s="466"/>
      <c r="G10" s="466"/>
      <c r="H10" s="466"/>
      <c r="I10" s="466"/>
    </row>
    <row r="11" spans="1:9" x14ac:dyDescent="0.3">
      <c r="A11" s="466"/>
      <c r="B11" s="466"/>
      <c r="C11" s="466"/>
      <c r="D11" s="466"/>
      <c r="E11" s="466"/>
      <c r="F11" s="466"/>
      <c r="G11" s="466"/>
      <c r="H11" s="466"/>
      <c r="I11" s="466"/>
    </row>
    <row r="12" spans="1:9" x14ac:dyDescent="0.3">
      <c r="A12" s="466"/>
      <c r="B12" s="466"/>
      <c r="C12" s="466"/>
      <c r="D12" s="466"/>
      <c r="E12" s="466"/>
      <c r="F12" s="466"/>
      <c r="G12" s="466"/>
      <c r="H12" s="466"/>
      <c r="I12" s="466"/>
    </row>
    <row r="13" spans="1:9" x14ac:dyDescent="0.3">
      <c r="A13" s="466"/>
      <c r="B13" s="466"/>
      <c r="C13" s="466"/>
      <c r="D13" s="466"/>
      <c r="E13" s="466"/>
      <c r="F13" s="466"/>
      <c r="G13" s="466"/>
      <c r="H13" s="466"/>
      <c r="I13" s="466"/>
    </row>
    <row r="14" spans="1:9" x14ac:dyDescent="0.3">
      <c r="A14" s="466"/>
      <c r="B14" s="466"/>
      <c r="C14" s="466"/>
      <c r="D14" s="466"/>
      <c r="E14" s="466"/>
      <c r="F14" s="466"/>
      <c r="G14" s="466"/>
      <c r="H14" s="466"/>
      <c r="I14" s="466"/>
    </row>
    <row r="15" spans="1:9" ht="19.5" customHeight="1" x14ac:dyDescent="0.35">
      <c r="A15" s="51"/>
    </row>
    <row r="16" spans="1:9" ht="19.5" customHeight="1" x14ac:dyDescent="0.35">
      <c r="A16" s="437" t="s">
        <v>29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3">
      <c r="A17" s="440" t="s">
        <v>30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5">
      <c r="A18" s="53" t="s">
        <v>31</v>
      </c>
      <c r="B18" s="436" t="s">
        <v>127</v>
      </c>
      <c r="C18" s="436"/>
      <c r="D18" s="199"/>
      <c r="E18" s="54"/>
      <c r="F18" s="55"/>
      <c r="G18" s="55"/>
      <c r="H18" s="55"/>
    </row>
    <row r="19" spans="1:14" ht="26.25" customHeight="1" x14ac:dyDescent="0.5">
      <c r="A19" s="53" t="s">
        <v>32</v>
      </c>
      <c r="B19" s="56" t="s">
        <v>6</v>
      </c>
      <c r="C19" s="208">
        <v>1</v>
      </c>
      <c r="D19" s="55"/>
      <c r="E19" s="55"/>
      <c r="F19" s="55"/>
      <c r="G19" s="55"/>
      <c r="H19" s="55"/>
    </row>
    <row r="20" spans="1:14" ht="26.25" customHeight="1" x14ac:dyDescent="0.5">
      <c r="A20" s="53" t="s">
        <v>33</v>
      </c>
      <c r="B20" s="441" t="s">
        <v>124</v>
      </c>
      <c r="C20" s="441"/>
      <c r="D20" s="55"/>
      <c r="E20" s="55"/>
      <c r="F20" s="55"/>
      <c r="G20" s="55"/>
      <c r="H20" s="55"/>
    </row>
    <row r="21" spans="1:14" ht="26.25" customHeight="1" x14ac:dyDescent="0.5">
      <c r="A21" s="53" t="s">
        <v>34</v>
      </c>
      <c r="B21" s="441" t="s">
        <v>125</v>
      </c>
      <c r="C21" s="441"/>
      <c r="D21" s="441"/>
      <c r="E21" s="441"/>
      <c r="F21" s="441"/>
      <c r="G21" s="441"/>
      <c r="H21" s="441"/>
      <c r="I21" s="57"/>
    </row>
    <row r="22" spans="1:14" ht="26.25" customHeight="1" x14ac:dyDescent="0.5">
      <c r="A22" s="53" t="s">
        <v>35</v>
      </c>
      <c r="B22" s="58">
        <v>43056</v>
      </c>
      <c r="C22" s="55"/>
      <c r="D22" s="55"/>
      <c r="E22" s="55"/>
      <c r="F22" s="55"/>
      <c r="G22" s="55"/>
      <c r="H22" s="55"/>
    </row>
    <row r="23" spans="1:14" ht="26.25" customHeight="1" x14ac:dyDescent="0.5">
      <c r="A23" s="53" t="s">
        <v>36</v>
      </c>
      <c r="B23" s="246">
        <v>43059</v>
      </c>
      <c r="C23" s="55"/>
      <c r="D23" s="55"/>
      <c r="E23" s="55"/>
      <c r="F23" s="55"/>
      <c r="G23" s="55"/>
      <c r="H23" s="55"/>
    </row>
    <row r="24" spans="1:14" ht="18" x14ac:dyDescent="0.35">
      <c r="A24" s="53"/>
      <c r="B24" s="59"/>
    </row>
    <row r="25" spans="1:14" ht="18" x14ac:dyDescent="0.35">
      <c r="A25" s="60" t="s">
        <v>1</v>
      </c>
      <c r="B25" s="59"/>
    </row>
    <row r="26" spans="1:14" ht="26.25" customHeight="1" x14ac:dyDescent="0.45">
      <c r="A26" s="61" t="s">
        <v>4</v>
      </c>
      <c r="B26" s="436"/>
      <c r="C26" s="436"/>
    </row>
    <row r="27" spans="1:14" ht="26.25" customHeight="1" x14ac:dyDescent="0.5">
      <c r="A27" s="62" t="s">
        <v>37</v>
      </c>
      <c r="B27" s="442"/>
      <c r="C27" s="442"/>
    </row>
    <row r="28" spans="1:14" ht="27" customHeight="1" x14ac:dyDescent="0.45">
      <c r="A28" s="62" t="s">
        <v>5</v>
      </c>
      <c r="B28" s="63"/>
    </row>
    <row r="29" spans="1:14" s="14" customFormat="1" ht="27" customHeight="1" x14ac:dyDescent="0.5">
      <c r="A29" s="62" t="s">
        <v>38</v>
      </c>
      <c r="B29" s="64"/>
      <c r="C29" s="443" t="s">
        <v>39</v>
      </c>
      <c r="D29" s="444"/>
      <c r="E29" s="444"/>
      <c r="F29" s="444"/>
      <c r="G29" s="445"/>
      <c r="I29" s="65"/>
      <c r="J29" s="65"/>
      <c r="K29" s="65"/>
      <c r="L29" s="65"/>
    </row>
    <row r="30" spans="1:14" s="14" customFormat="1" ht="19.5" customHeight="1" x14ac:dyDescent="0.35">
      <c r="A30" s="62" t="s">
        <v>40</v>
      </c>
      <c r="B30" s="66">
        <f>B28-B29</f>
        <v>0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14" customFormat="1" ht="27" customHeight="1" x14ac:dyDescent="0.45">
      <c r="A31" s="62" t="s">
        <v>41</v>
      </c>
      <c r="B31" s="69">
        <v>1</v>
      </c>
      <c r="C31" s="446" t="s">
        <v>42</v>
      </c>
      <c r="D31" s="447"/>
      <c r="E31" s="447"/>
      <c r="F31" s="447"/>
      <c r="G31" s="447"/>
      <c r="H31" s="448"/>
      <c r="I31" s="65"/>
      <c r="J31" s="65"/>
      <c r="K31" s="65"/>
      <c r="L31" s="65"/>
    </row>
    <row r="32" spans="1:14" s="14" customFormat="1" ht="27" customHeight="1" x14ac:dyDescent="0.45">
      <c r="A32" s="62" t="s">
        <v>43</v>
      </c>
      <c r="B32" s="69">
        <v>1</v>
      </c>
      <c r="C32" s="446" t="s">
        <v>44</v>
      </c>
      <c r="D32" s="447"/>
      <c r="E32" s="447"/>
      <c r="F32" s="447"/>
      <c r="G32" s="447"/>
      <c r="H32" s="448"/>
      <c r="I32" s="65"/>
      <c r="J32" s="65"/>
      <c r="K32" s="65"/>
      <c r="L32" s="70"/>
      <c r="M32" s="70"/>
      <c r="N32" s="71"/>
    </row>
    <row r="33" spans="1:14" s="14" customFormat="1" ht="17.25" customHeight="1" x14ac:dyDescent="0.35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14" customFormat="1" ht="18" x14ac:dyDescent="0.35">
      <c r="A34" s="62" t="s">
        <v>45</v>
      </c>
      <c r="B34" s="74">
        <f>B31/B32</f>
        <v>1</v>
      </c>
      <c r="C34" s="52" t="s">
        <v>46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14" customFormat="1" ht="19.5" customHeight="1" x14ac:dyDescent="0.35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14" customFormat="1" ht="27" customHeight="1" x14ac:dyDescent="0.45">
      <c r="A36" s="75" t="s">
        <v>47</v>
      </c>
      <c r="B36" s="76">
        <v>1</v>
      </c>
      <c r="C36" s="52"/>
      <c r="D36" s="449" t="s">
        <v>48</v>
      </c>
      <c r="E36" s="450"/>
      <c r="F36" s="449" t="s">
        <v>49</v>
      </c>
      <c r="G36" s="451"/>
      <c r="J36" s="65"/>
      <c r="K36" s="65"/>
      <c r="L36" s="70"/>
      <c r="M36" s="70"/>
      <c r="N36" s="71"/>
    </row>
    <row r="37" spans="1:14" s="14" customFormat="1" ht="27" customHeight="1" x14ac:dyDescent="0.45">
      <c r="A37" s="77" t="s">
        <v>50</v>
      </c>
      <c r="B37" s="78">
        <v>1</v>
      </c>
      <c r="C37" s="79" t="s">
        <v>51</v>
      </c>
      <c r="D37" s="80" t="s">
        <v>52</v>
      </c>
      <c r="E37" s="81" t="s">
        <v>53</v>
      </c>
      <c r="F37" s="80" t="s">
        <v>52</v>
      </c>
      <c r="G37" s="82" t="s">
        <v>53</v>
      </c>
      <c r="I37" s="83" t="s">
        <v>54</v>
      </c>
      <c r="J37" s="65"/>
      <c r="K37" s="65"/>
      <c r="L37" s="70"/>
      <c r="M37" s="70"/>
      <c r="N37" s="71"/>
    </row>
    <row r="38" spans="1:14" s="14" customFormat="1" ht="26.25" customHeight="1" x14ac:dyDescent="0.45">
      <c r="A38" s="77" t="s">
        <v>55</v>
      </c>
      <c r="B38" s="78">
        <v>1</v>
      </c>
      <c r="C38" s="84">
        <v>1</v>
      </c>
      <c r="D38" s="85"/>
      <c r="E38" s="86" t="str">
        <f>IF(ISBLANK(D38),"-",$D$48/$D$45*D38)</f>
        <v>-</v>
      </c>
      <c r="F38" s="85"/>
      <c r="G38" s="87" t="str">
        <f>IF(ISBLANK(F38),"-",$D$48/$F$45*F38)</f>
        <v>-</v>
      </c>
      <c r="I38" s="88"/>
      <c r="J38" s="65"/>
      <c r="K38" s="65"/>
      <c r="L38" s="70"/>
      <c r="M38" s="70"/>
      <c r="N38" s="71"/>
    </row>
    <row r="39" spans="1:14" s="14" customFormat="1" ht="26.25" customHeight="1" x14ac:dyDescent="0.45">
      <c r="A39" s="77" t="s">
        <v>56</v>
      </c>
      <c r="B39" s="78">
        <v>1</v>
      </c>
      <c r="C39" s="89">
        <v>2</v>
      </c>
      <c r="D39" s="90"/>
      <c r="E39" s="91" t="str">
        <f>IF(ISBLANK(D39),"-",$D$48/$D$45*D39)</f>
        <v>-</v>
      </c>
      <c r="F39" s="90"/>
      <c r="G39" s="92" t="str">
        <f>IF(ISBLANK(F39),"-",$D$48/$F$45*F39)</f>
        <v>-</v>
      </c>
      <c r="I39" s="454" t="e">
        <f>ABS((F43/D43*D42)-F42)/D42</f>
        <v>#DIV/0!</v>
      </c>
      <c r="J39" s="65"/>
      <c r="K39" s="65"/>
      <c r="L39" s="70"/>
      <c r="M39" s="70"/>
      <c r="N39" s="71"/>
    </row>
    <row r="40" spans="1:14" ht="26.25" customHeight="1" x14ac:dyDescent="0.45">
      <c r="A40" s="77" t="s">
        <v>57</v>
      </c>
      <c r="B40" s="78">
        <v>1</v>
      </c>
      <c r="C40" s="89">
        <v>3</v>
      </c>
      <c r="D40" s="90"/>
      <c r="E40" s="91" t="str">
        <f>IF(ISBLANK(D40),"-",$D$48/$D$45*D40)</f>
        <v>-</v>
      </c>
      <c r="F40" s="90"/>
      <c r="G40" s="92" t="str">
        <f>IF(ISBLANK(F40),"-",$D$48/$F$45*F40)</f>
        <v>-</v>
      </c>
      <c r="I40" s="454"/>
      <c r="L40" s="70"/>
      <c r="M40" s="70"/>
      <c r="N40" s="93"/>
    </row>
    <row r="41" spans="1:14" ht="27" customHeight="1" x14ac:dyDescent="0.45">
      <c r="A41" s="77" t="s">
        <v>58</v>
      </c>
      <c r="B41" s="78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0"/>
      <c r="M41" s="70"/>
      <c r="N41" s="93"/>
    </row>
    <row r="42" spans="1:14" ht="27" customHeight="1" x14ac:dyDescent="0.45">
      <c r="A42" s="77" t="s">
        <v>59</v>
      </c>
      <c r="B42" s="78">
        <v>1</v>
      </c>
      <c r="C42" s="99" t="s">
        <v>60</v>
      </c>
      <c r="D42" s="100" t="e">
        <f>AVERAGE(D38:D41)</f>
        <v>#DIV/0!</v>
      </c>
      <c r="E42" s="101" t="e">
        <f>AVERAGE(E38:E41)</f>
        <v>#DIV/0!</v>
      </c>
      <c r="F42" s="100" t="e">
        <f>AVERAGE(F38:F41)</f>
        <v>#DIV/0!</v>
      </c>
      <c r="G42" s="102" t="e">
        <f>AVERAGE(G38:G41)</f>
        <v>#DIV/0!</v>
      </c>
      <c r="H42" s="103"/>
    </row>
    <row r="43" spans="1:14" ht="26.25" customHeight="1" x14ac:dyDescent="0.45">
      <c r="A43" s="77" t="s">
        <v>61</v>
      </c>
      <c r="B43" s="78">
        <v>1</v>
      </c>
      <c r="C43" s="104" t="s">
        <v>62</v>
      </c>
      <c r="D43" s="105"/>
      <c r="E43" s="93"/>
      <c r="F43" s="105"/>
      <c r="H43" s="103"/>
    </row>
    <row r="44" spans="1:14" ht="26.25" customHeight="1" x14ac:dyDescent="0.45">
      <c r="A44" s="77" t="s">
        <v>63</v>
      </c>
      <c r="B44" s="78">
        <v>1</v>
      </c>
      <c r="C44" s="106" t="s">
        <v>64</v>
      </c>
      <c r="D44" s="107">
        <f>D43*$B$34</f>
        <v>0</v>
      </c>
      <c r="E44" s="108"/>
      <c r="F44" s="107">
        <f>F43*$B$34</f>
        <v>0</v>
      </c>
      <c r="H44" s="103"/>
    </row>
    <row r="45" spans="1:14" ht="19.5" customHeight="1" x14ac:dyDescent="0.35">
      <c r="A45" s="77" t="s">
        <v>65</v>
      </c>
      <c r="B45" s="109">
        <f>(B44/B43)*(B42/B41)*(B40/B39)*(B38/B37)*B36</f>
        <v>1</v>
      </c>
      <c r="C45" s="106" t="s">
        <v>66</v>
      </c>
      <c r="D45" s="110">
        <f>D44*$B$30/100</f>
        <v>0</v>
      </c>
      <c r="E45" s="111"/>
      <c r="F45" s="110">
        <f>F44*$B$30/100</f>
        <v>0</v>
      </c>
      <c r="H45" s="103"/>
    </row>
    <row r="46" spans="1:14" ht="19.5" customHeight="1" x14ac:dyDescent="0.35">
      <c r="A46" s="455" t="s">
        <v>67</v>
      </c>
      <c r="B46" s="456"/>
      <c r="C46" s="106" t="s">
        <v>68</v>
      </c>
      <c r="D46" s="112">
        <f>D45/$B$45</f>
        <v>0</v>
      </c>
      <c r="E46" s="113"/>
      <c r="F46" s="114">
        <f>F45/$B$45</f>
        <v>0</v>
      </c>
      <c r="H46" s="103"/>
    </row>
    <row r="47" spans="1:14" ht="27" customHeight="1" x14ac:dyDescent="0.45">
      <c r="A47" s="457"/>
      <c r="B47" s="458"/>
      <c r="C47" s="115" t="s">
        <v>69</v>
      </c>
      <c r="D47" s="116"/>
      <c r="E47" s="117"/>
      <c r="F47" s="113"/>
      <c r="H47" s="103"/>
    </row>
    <row r="48" spans="1:14" ht="18" x14ac:dyDescent="0.35">
      <c r="C48" s="118" t="s">
        <v>70</v>
      </c>
      <c r="D48" s="110">
        <f>D47*$B$45</f>
        <v>0</v>
      </c>
      <c r="F48" s="119"/>
      <c r="H48" s="103"/>
    </row>
    <row r="49" spans="1:12" ht="19.5" customHeight="1" x14ac:dyDescent="0.35">
      <c r="C49" s="120" t="s">
        <v>71</v>
      </c>
      <c r="D49" s="121">
        <f>D48/B34</f>
        <v>0</v>
      </c>
      <c r="F49" s="119"/>
      <c r="H49" s="103"/>
    </row>
    <row r="50" spans="1:12" ht="18" x14ac:dyDescent="0.35">
      <c r="C50" s="75" t="s">
        <v>72</v>
      </c>
      <c r="D50" s="122" t="e">
        <f>AVERAGE(E38:E41,G38:G41)</f>
        <v>#DIV/0!</v>
      </c>
      <c r="F50" s="123"/>
      <c r="H50" s="103"/>
    </row>
    <row r="51" spans="1:12" ht="18" x14ac:dyDescent="0.35">
      <c r="C51" s="77" t="s">
        <v>73</v>
      </c>
      <c r="D51" s="124" t="e">
        <f>STDEV(E38:E41,G38:G41)/D50</f>
        <v>#DIV/0!</v>
      </c>
      <c r="F51" s="123"/>
      <c r="H51" s="103"/>
    </row>
    <row r="52" spans="1:12" ht="19.5" customHeight="1" x14ac:dyDescent="0.35">
      <c r="C52" s="125" t="s">
        <v>16</v>
      </c>
      <c r="D52" s="126">
        <f>COUNT(E38:E41,G38:G41)</f>
        <v>0</v>
      </c>
      <c r="F52" s="123"/>
    </row>
    <row r="54" spans="1:12" ht="18" x14ac:dyDescent="0.35">
      <c r="A54" s="127" t="s">
        <v>1</v>
      </c>
      <c r="B54" s="128" t="s">
        <v>74</v>
      </c>
    </row>
    <row r="55" spans="1:12" ht="18" x14ac:dyDescent="0.35">
      <c r="A55" s="52" t="s">
        <v>75</v>
      </c>
      <c r="B55" s="129" t="str">
        <f>B21</f>
        <v>Sulfamethoxazole 400 mg, Trimethoprim 80 mg</v>
      </c>
    </row>
    <row r="56" spans="1:12" ht="26.25" customHeight="1" x14ac:dyDescent="0.45">
      <c r="A56" s="130" t="s">
        <v>76</v>
      </c>
      <c r="B56" s="131">
        <v>400</v>
      </c>
      <c r="C56" s="52" t="str">
        <f>B20</f>
        <v>Sulfamethoxazole</v>
      </c>
      <c r="H56" s="132"/>
    </row>
    <row r="57" spans="1:12" ht="18" x14ac:dyDescent="0.35">
      <c r="A57" s="129" t="s">
        <v>77</v>
      </c>
      <c r="B57" s="200">
        <v>550.5</v>
      </c>
      <c r="H57" s="132"/>
    </row>
    <row r="58" spans="1:12" ht="19.5" customHeight="1" x14ac:dyDescent="0.35">
      <c r="H58" s="132"/>
    </row>
    <row r="59" spans="1:12" s="14" customFormat="1" ht="27" customHeight="1" x14ac:dyDescent="0.45">
      <c r="A59" s="75" t="s">
        <v>78</v>
      </c>
      <c r="B59" s="76">
        <v>1</v>
      </c>
      <c r="C59" s="52"/>
      <c r="D59" s="133" t="s">
        <v>79</v>
      </c>
      <c r="E59" s="134" t="s">
        <v>51</v>
      </c>
      <c r="F59" s="134" t="s">
        <v>52</v>
      </c>
      <c r="G59" s="134" t="s">
        <v>80</v>
      </c>
      <c r="H59" s="79" t="s">
        <v>81</v>
      </c>
      <c r="L59" s="65"/>
    </row>
    <row r="60" spans="1:12" s="14" customFormat="1" ht="26.25" customHeight="1" x14ac:dyDescent="0.45">
      <c r="A60" s="77" t="s">
        <v>82</v>
      </c>
      <c r="B60" s="78">
        <v>1</v>
      </c>
      <c r="C60" s="459" t="s">
        <v>83</v>
      </c>
      <c r="D60" s="462"/>
      <c r="E60" s="135">
        <v>1</v>
      </c>
      <c r="F60" s="136"/>
      <c r="G60" s="201" t="str">
        <f>IF(ISBLANK(F60),"-",(F60/$D$50*$D$47*$B$68)*($B$57/$D$60))</f>
        <v>-</v>
      </c>
      <c r="H60" s="219" t="str">
        <f t="shared" ref="H60:H71" si="0">IF(ISBLANK(F60),"-",(G60/$B$56)*100)</f>
        <v>-</v>
      </c>
      <c r="L60" s="65"/>
    </row>
    <row r="61" spans="1:12" s="14" customFormat="1" ht="26.25" customHeight="1" x14ac:dyDescent="0.45">
      <c r="A61" s="77" t="s">
        <v>84</v>
      </c>
      <c r="B61" s="78">
        <v>1</v>
      </c>
      <c r="C61" s="460"/>
      <c r="D61" s="463"/>
      <c r="E61" s="137">
        <v>2</v>
      </c>
      <c r="F61" s="90"/>
      <c r="G61" s="202" t="str">
        <f>IF(ISBLANK(F61),"-",(F61/$D$50*$D$47*$B$68)*($B$57/$D$60))</f>
        <v>-</v>
      </c>
      <c r="H61" s="220" t="str">
        <f t="shared" si="0"/>
        <v>-</v>
      </c>
      <c r="L61" s="65"/>
    </row>
    <row r="62" spans="1:12" s="14" customFormat="1" ht="26.25" customHeight="1" x14ac:dyDescent="0.45">
      <c r="A62" s="77" t="s">
        <v>85</v>
      </c>
      <c r="B62" s="78">
        <v>1</v>
      </c>
      <c r="C62" s="460"/>
      <c r="D62" s="463"/>
      <c r="E62" s="137">
        <v>3</v>
      </c>
      <c r="F62" s="138"/>
      <c r="G62" s="202" t="str">
        <f>IF(ISBLANK(F62),"-",(F62/$D$50*$D$47*$B$68)*($B$57/$D$60))</f>
        <v>-</v>
      </c>
      <c r="H62" s="220" t="str">
        <f t="shared" si="0"/>
        <v>-</v>
      </c>
      <c r="L62" s="65"/>
    </row>
    <row r="63" spans="1:12" ht="27" customHeight="1" x14ac:dyDescent="0.45">
      <c r="A63" s="77" t="s">
        <v>86</v>
      </c>
      <c r="B63" s="78">
        <v>1</v>
      </c>
      <c r="C63" s="461"/>
      <c r="D63" s="464"/>
      <c r="E63" s="139">
        <v>4</v>
      </c>
      <c r="F63" s="140"/>
      <c r="G63" s="202" t="str">
        <f>IF(ISBLANK(F63),"-",(F63/$D$50*$D$47*$B$68)*($B$57/$D$60))</f>
        <v>-</v>
      </c>
      <c r="H63" s="220" t="str">
        <f t="shared" si="0"/>
        <v>-</v>
      </c>
    </row>
    <row r="64" spans="1:12" ht="26.25" customHeight="1" x14ac:dyDescent="0.45">
      <c r="A64" s="77" t="s">
        <v>87</v>
      </c>
      <c r="B64" s="78">
        <v>1</v>
      </c>
      <c r="C64" s="459" t="s">
        <v>88</v>
      </c>
      <c r="D64" s="462"/>
      <c r="E64" s="135">
        <v>1</v>
      </c>
      <c r="F64" s="136"/>
      <c r="G64" s="201" t="str">
        <f>IF(ISBLANK(F64),"-",(F64/$D$50*$D$47*$B$68)*($B$57/$D$64))</f>
        <v>-</v>
      </c>
      <c r="H64" s="219" t="str">
        <f t="shared" si="0"/>
        <v>-</v>
      </c>
    </row>
    <row r="65" spans="1:8" ht="26.25" customHeight="1" x14ac:dyDescent="0.45">
      <c r="A65" s="77" t="s">
        <v>89</v>
      </c>
      <c r="B65" s="78">
        <v>1</v>
      </c>
      <c r="C65" s="460"/>
      <c r="D65" s="463"/>
      <c r="E65" s="137">
        <v>2</v>
      </c>
      <c r="F65" s="90"/>
      <c r="G65" s="202" t="str">
        <f>IF(ISBLANK(F65),"-",(F65/$D$50*$D$47*$B$68)*($B$57/$D$64))</f>
        <v>-</v>
      </c>
      <c r="H65" s="220" t="str">
        <f t="shared" si="0"/>
        <v>-</v>
      </c>
    </row>
    <row r="66" spans="1:8" ht="26.25" customHeight="1" x14ac:dyDescent="0.45">
      <c r="A66" s="77" t="s">
        <v>90</v>
      </c>
      <c r="B66" s="78">
        <v>1</v>
      </c>
      <c r="C66" s="460"/>
      <c r="D66" s="463"/>
      <c r="E66" s="137">
        <v>3</v>
      </c>
      <c r="F66" s="90"/>
      <c r="G66" s="202" t="str">
        <f>IF(ISBLANK(F66),"-",(F66/$D$50*$D$47*$B$68)*($B$57/$D$64))</f>
        <v>-</v>
      </c>
      <c r="H66" s="220" t="str">
        <f t="shared" si="0"/>
        <v>-</v>
      </c>
    </row>
    <row r="67" spans="1:8" ht="27" customHeight="1" x14ac:dyDescent="0.45">
      <c r="A67" s="77" t="s">
        <v>91</v>
      </c>
      <c r="B67" s="78">
        <v>1</v>
      </c>
      <c r="C67" s="461"/>
      <c r="D67" s="464"/>
      <c r="E67" s="139">
        <v>4</v>
      </c>
      <c r="F67" s="140"/>
      <c r="G67" s="218" t="str">
        <f>IF(ISBLANK(F67),"-",(F67/$D$50*$D$47*$B$68)*($B$57/$D$64))</f>
        <v>-</v>
      </c>
      <c r="H67" s="221" t="str">
        <f t="shared" si="0"/>
        <v>-</v>
      </c>
    </row>
    <row r="68" spans="1:8" ht="26.25" customHeight="1" x14ac:dyDescent="0.5">
      <c r="A68" s="77" t="s">
        <v>92</v>
      </c>
      <c r="B68" s="141">
        <f>(B67/B66)*(B65/B64)*(B63/B62)*(B61/B60)*B59</f>
        <v>1</v>
      </c>
      <c r="C68" s="459" t="s">
        <v>93</v>
      </c>
      <c r="D68" s="462"/>
      <c r="E68" s="135">
        <v>1</v>
      </c>
      <c r="F68" s="136"/>
      <c r="G68" s="201" t="str">
        <f>IF(ISBLANK(F68),"-",(F68/$D$50*$D$47*$B$68)*($B$57/$D$68))</f>
        <v>-</v>
      </c>
      <c r="H68" s="220" t="str">
        <f t="shared" si="0"/>
        <v>-</v>
      </c>
    </row>
    <row r="69" spans="1:8" ht="27" customHeight="1" x14ac:dyDescent="0.5">
      <c r="A69" s="125" t="s">
        <v>94</v>
      </c>
      <c r="B69" s="142">
        <f>(D47*B68)/B56*B57</f>
        <v>0</v>
      </c>
      <c r="C69" s="460"/>
      <c r="D69" s="463"/>
      <c r="E69" s="137">
        <v>2</v>
      </c>
      <c r="F69" s="90"/>
      <c r="G69" s="202" t="str">
        <f>IF(ISBLANK(F69),"-",(F69/$D$50*$D$47*$B$68)*($B$57/$D$68))</f>
        <v>-</v>
      </c>
      <c r="H69" s="220" t="str">
        <f t="shared" si="0"/>
        <v>-</v>
      </c>
    </row>
    <row r="70" spans="1:8" ht="26.25" customHeight="1" x14ac:dyDescent="0.45">
      <c r="A70" s="472" t="s">
        <v>67</v>
      </c>
      <c r="B70" s="473"/>
      <c r="C70" s="460"/>
      <c r="D70" s="463"/>
      <c r="E70" s="137">
        <v>3</v>
      </c>
      <c r="F70" s="90"/>
      <c r="G70" s="202" t="str">
        <f>IF(ISBLANK(F70),"-",(F70/$D$50*$D$47*$B$68)*($B$57/$D$68))</f>
        <v>-</v>
      </c>
      <c r="H70" s="220" t="str">
        <f t="shared" si="0"/>
        <v>-</v>
      </c>
    </row>
    <row r="71" spans="1:8" ht="27" customHeight="1" x14ac:dyDescent="0.45">
      <c r="A71" s="474"/>
      <c r="B71" s="475"/>
      <c r="C71" s="471"/>
      <c r="D71" s="464"/>
      <c r="E71" s="139">
        <v>4</v>
      </c>
      <c r="F71" s="140"/>
      <c r="G71" s="218" t="str">
        <f>IF(ISBLANK(F71),"-",(F71/$D$50*$D$47*$B$68)*($B$57/$D$68))</f>
        <v>-</v>
      </c>
      <c r="H71" s="221" t="str">
        <f t="shared" si="0"/>
        <v>-</v>
      </c>
    </row>
    <row r="72" spans="1:8" ht="26.25" customHeight="1" x14ac:dyDescent="0.45">
      <c r="A72" s="143"/>
      <c r="B72" s="143"/>
      <c r="C72" s="143"/>
      <c r="D72" s="143"/>
      <c r="E72" s="143"/>
      <c r="F72" s="145" t="s">
        <v>60</v>
      </c>
      <c r="G72" s="207" t="e">
        <f>AVERAGE(G60:G71)</f>
        <v>#DIV/0!</v>
      </c>
      <c r="H72" s="222" t="e">
        <f>AVERAGE(H60:H71)</f>
        <v>#DIV/0!</v>
      </c>
    </row>
    <row r="73" spans="1:8" ht="26.25" customHeight="1" x14ac:dyDescent="0.45">
      <c r="C73" s="143"/>
      <c r="D73" s="143"/>
      <c r="E73" s="143"/>
      <c r="F73" s="146" t="s">
        <v>73</v>
      </c>
      <c r="G73" s="206" t="e">
        <f>STDEV(G60:G71)/G72</f>
        <v>#DIV/0!</v>
      </c>
      <c r="H73" s="206" t="e">
        <f>STDEV(H60:H71)/H72</f>
        <v>#DIV/0!</v>
      </c>
    </row>
    <row r="74" spans="1:8" ht="27" customHeight="1" x14ac:dyDescent="0.45">
      <c r="A74" s="143"/>
      <c r="B74" s="143"/>
      <c r="C74" s="144"/>
      <c r="D74" s="144"/>
      <c r="E74" s="147"/>
      <c r="F74" s="148" t="s">
        <v>16</v>
      </c>
      <c r="G74" s="149">
        <f>COUNT(G60:G71)</f>
        <v>0</v>
      </c>
      <c r="H74" s="149">
        <f>COUNT(H60:H71)</f>
        <v>0</v>
      </c>
    </row>
    <row r="76" spans="1:8" ht="26.25" customHeight="1" x14ac:dyDescent="0.45">
      <c r="A76" s="61" t="s">
        <v>95</v>
      </c>
      <c r="B76" s="150" t="s">
        <v>96</v>
      </c>
      <c r="C76" s="467">
        <f>B26</f>
        <v>0</v>
      </c>
      <c r="D76" s="467"/>
      <c r="E76" s="151" t="s">
        <v>97</v>
      </c>
      <c r="F76" s="151"/>
      <c r="G76" s="238" t="e">
        <f>H72</f>
        <v>#DIV/0!</v>
      </c>
      <c r="H76" s="153"/>
    </row>
    <row r="77" spans="1:8" ht="18" x14ac:dyDescent="0.35">
      <c r="A77" s="60" t="s">
        <v>98</v>
      </c>
      <c r="B77" s="60" t="s">
        <v>99</v>
      </c>
    </row>
    <row r="78" spans="1:8" ht="18" x14ac:dyDescent="0.35">
      <c r="A78" s="60"/>
      <c r="B78" s="60"/>
    </row>
    <row r="79" spans="1:8" ht="26.25" customHeight="1" x14ac:dyDescent="0.45">
      <c r="A79" s="61" t="s">
        <v>4</v>
      </c>
      <c r="B79" s="452" t="s">
        <v>121</v>
      </c>
      <c r="C79" s="453"/>
    </row>
    <row r="80" spans="1:8" ht="26.25" customHeight="1" x14ac:dyDescent="0.45">
      <c r="A80" s="62" t="s">
        <v>37</v>
      </c>
      <c r="B80" s="453" t="s">
        <v>129</v>
      </c>
      <c r="C80" s="453"/>
    </row>
    <row r="81" spans="1:12" ht="27" customHeight="1" x14ac:dyDescent="0.45">
      <c r="A81" s="62" t="s">
        <v>5</v>
      </c>
      <c r="B81" s="154">
        <v>99.8</v>
      </c>
    </row>
    <row r="82" spans="1:12" s="14" customFormat="1" ht="27" customHeight="1" x14ac:dyDescent="0.5">
      <c r="A82" s="62" t="s">
        <v>38</v>
      </c>
      <c r="B82" s="64">
        <v>0</v>
      </c>
      <c r="C82" s="443" t="s">
        <v>39</v>
      </c>
      <c r="D82" s="444"/>
      <c r="E82" s="444"/>
      <c r="F82" s="444"/>
      <c r="G82" s="445"/>
      <c r="I82" s="65"/>
      <c r="J82" s="65"/>
      <c r="K82" s="65"/>
      <c r="L82" s="65"/>
    </row>
    <row r="83" spans="1:12" s="14" customFormat="1" ht="19.5" customHeight="1" x14ac:dyDescent="0.35">
      <c r="A83" s="62" t="s">
        <v>40</v>
      </c>
      <c r="B83" s="66">
        <f>B81-B82</f>
        <v>99.8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14" customFormat="1" ht="27" customHeight="1" x14ac:dyDescent="0.45">
      <c r="A84" s="62" t="s">
        <v>41</v>
      </c>
      <c r="B84" s="69">
        <v>1</v>
      </c>
      <c r="C84" s="446" t="s">
        <v>100</v>
      </c>
      <c r="D84" s="447"/>
      <c r="E84" s="447"/>
      <c r="F84" s="447"/>
      <c r="G84" s="447"/>
      <c r="H84" s="448"/>
      <c r="I84" s="65"/>
      <c r="J84" s="65"/>
      <c r="K84" s="65"/>
      <c r="L84" s="65"/>
    </row>
    <row r="85" spans="1:12" s="14" customFormat="1" ht="27" customHeight="1" x14ac:dyDescent="0.45">
      <c r="A85" s="62" t="s">
        <v>43</v>
      </c>
      <c r="B85" s="69">
        <v>1</v>
      </c>
      <c r="C85" s="446" t="s">
        <v>101</v>
      </c>
      <c r="D85" s="447"/>
      <c r="E85" s="447"/>
      <c r="F85" s="447"/>
      <c r="G85" s="447"/>
      <c r="H85" s="448"/>
      <c r="I85" s="65"/>
      <c r="J85" s="65"/>
      <c r="K85" s="65"/>
      <c r="L85" s="65"/>
    </row>
    <row r="86" spans="1:12" s="14" customFormat="1" ht="18" x14ac:dyDescent="0.35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14" customFormat="1" ht="18" x14ac:dyDescent="0.35">
      <c r="A87" s="62" t="s">
        <v>45</v>
      </c>
      <c r="B87" s="74">
        <f>B84/B85</f>
        <v>1</v>
      </c>
      <c r="C87" s="52" t="s">
        <v>46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5">
      <c r="A88" s="60"/>
      <c r="B88" s="60"/>
    </row>
    <row r="89" spans="1:12" ht="27" customHeight="1" x14ac:dyDescent="0.45">
      <c r="A89" s="75" t="s">
        <v>47</v>
      </c>
      <c r="B89" s="76">
        <v>100</v>
      </c>
      <c r="D89" s="155" t="s">
        <v>48</v>
      </c>
      <c r="E89" s="156"/>
      <c r="F89" s="449" t="s">
        <v>49</v>
      </c>
      <c r="G89" s="451"/>
    </row>
    <row r="90" spans="1:12" ht="27" customHeight="1" x14ac:dyDescent="0.45">
      <c r="A90" s="77" t="s">
        <v>50</v>
      </c>
      <c r="B90" s="78">
        <v>1</v>
      </c>
      <c r="C90" s="157" t="s">
        <v>51</v>
      </c>
      <c r="D90" s="80" t="s">
        <v>52</v>
      </c>
      <c r="E90" s="81" t="s">
        <v>53</v>
      </c>
      <c r="F90" s="80" t="s">
        <v>52</v>
      </c>
      <c r="G90" s="158" t="s">
        <v>53</v>
      </c>
      <c r="I90" s="83" t="s">
        <v>54</v>
      </c>
    </row>
    <row r="91" spans="1:12" ht="26.25" customHeight="1" x14ac:dyDescent="0.45">
      <c r="A91" s="77" t="s">
        <v>55</v>
      </c>
      <c r="B91" s="78">
        <v>1</v>
      </c>
      <c r="C91" s="159">
        <v>1</v>
      </c>
      <c r="D91" s="85">
        <v>73363284</v>
      </c>
      <c r="E91" s="86">
        <f>IF(ISBLANK(D91),"-",$D$101/$D$98*D91)</f>
        <v>82659700.172007516</v>
      </c>
      <c r="F91" s="85">
        <v>78253909</v>
      </c>
      <c r="G91" s="87">
        <f>IF(ISBLANK(F91),"-",$D$101/$F$98*F91)</f>
        <v>85101864.562118411</v>
      </c>
      <c r="I91" s="88"/>
    </row>
    <row r="92" spans="1:12" ht="26.25" customHeight="1" x14ac:dyDescent="0.45">
      <c r="A92" s="77" t="s">
        <v>56</v>
      </c>
      <c r="B92" s="78">
        <v>1</v>
      </c>
      <c r="C92" s="144">
        <v>2</v>
      </c>
      <c r="D92" s="90">
        <v>73599885</v>
      </c>
      <c r="E92" s="91">
        <f>IF(ISBLANK(D92),"-",$D$101/$D$98*D92)</f>
        <v>82926282.672872633</v>
      </c>
      <c r="F92" s="90">
        <v>77047812</v>
      </c>
      <c r="G92" s="92">
        <f>IF(ISBLANK(F92),"-",$D$101/$F$98*F92)</f>
        <v>83790222.692026302</v>
      </c>
      <c r="I92" s="454">
        <f>ABS((F96/D96*D95)-F95)/D95</f>
        <v>1.7537856156808015E-2</v>
      </c>
    </row>
    <row r="93" spans="1:12" ht="26.25" customHeight="1" x14ac:dyDescent="0.45">
      <c r="A93" s="77" t="s">
        <v>57</v>
      </c>
      <c r="B93" s="78">
        <v>1</v>
      </c>
      <c r="C93" s="144">
        <v>3</v>
      </c>
      <c r="D93" s="90">
        <v>73690632</v>
      </c>
      <c r="E93" s="91">
        <f>IF(ISBLANK(D93),"-",$D$101/$D$98*D93)</f>
        <v>83028528.911079586</v>
      </c>
      <c r="F93" s="90">
        <v>77177135</v>
      </c>
      <c r="G93" s="92">
        <f>IF(ISBLANK(F93),"-",$D$101/$F$98*F93)</f>
        <v>83930862.675017655</v>
      </c>
      <c r="I93" s="454"/>
    </row>
    <row r="94" spans="1:12" ht="27" customHeight="1" x14ac:dyDescent="0.45">
      <c r="A94" s="77" t="s">
        <v>58</v>
      </c>
      <c r="B94" s="78">
        <v>1</v>
      </c>
      <c r="C94" s="160">
        <v>4</v>
      </c>
      <c r="D94" s="95"/>
      <c r="E94" s="96" t="str">
        <f>IF(ISBLANK(D94),"-",$D$101/$D$98*D94)</f>
        <v>-</v>
      </c>
      <c r="F94" s="161"/>
      <c r="G94" s="97" t="str">
        <f>IF(ISBLANK(F94),"-",$D$101/$F$98*F94)</f>
        <v>-</v>
      </c>
      <c r="I94" s="98"/>
    </row>
    <row r="95" spans="1:12" ht="27" customHeight="1" x14ac:dyDescent="0.45">
      <c r="A95" s="77" t="s">
        <v>59</v>
      </c>
      <c r="B95" s="78">
        <v>1</v>
      </c>
      <c r="C95" s="162" t="s">
        <v>60</v>
      </c>
      <c r="D95" s="163">
        <f>AVERAGE(D91:D94)</f>
        <v>73551267</v>
      </c>
      <c r="E95" s="101">
        <f>AVERAGE(E91:E94)</f>
        <v>82871503.91865325</v>
      </c>
      <c r="F95" s="164">
        <f>AVERAGE(F91:F94)</f>
        <v>77492952</v>
      </c>
      <c r="G95" s="165">
        <f>AVERAGE(G91:G94)</f>
        <v>84274316.643054128</v>
      </c>
    </row>
    <row r="96" spans="1:12" ht="26.25" customHeight="1" x14ac:dyDescent="0.45">
      <c r="A96" s="77" t="s">
        <v>61</v>
      </c>
      <c r="B96" s="63">
        <v>1</v>
      </c>
      <c r="C96" s="166" t="s">
        <v>102</v>
      </c>
      <c r="D96" s="167">
        <v>15.81</v>
      </c>
      <c r="E96" s="93"/>
      <c r="F96" s="105">
        <v>16.38</v>
      </c>
    </row>
    <row r="97" spans="1:10" ht="26.25" customHeight="1" x14ac:dyDescent="0.45">
      <c r="A97" s="77" t="s">
        <v>63</v>
      </c>
      <c r="B97" s="63">
        <v>1</v>
      </c>
      <c r="C97" s="168" t="s">
        <v>103</v>
      </c>
      <c r="D97" s="169">
        <f>D96*$B$87</f>
        <v>15.81</v>
      </c>
      <c r="E97" s="108"/>
      <c r="F97" s="107">
        <f>F96*$B$87</f>
        <v>16.38</v>
      </c>
    </row>
    <row r="98" spans="1:10" ht="19.5" customHeight="1" x14ac:dyDescent="0.35">
      <c r="A98" s="77" t="s">
        <v>65</v>
      </c>
      <c r="B98" s="170">
        <f>(B97/B96)*(B95/B94)*(B93/B92)*(B91/B90)*B89</f>
        <v>100</v>
      </c>
      <c r="C98" s="168" t="s">
        <v>104</v>
      </c>
      <c r="D98" s="171">
        <f>D97*$B$83/100</f>
        <v>15.77838</v>
      </c>
      <c r="E98" s="111"/>
      <c r="F98" s="110">
        <f>F97*$B$83/100</f>
        <v>16.347239999999999</v>
      </c>
    </row>
    <row r="99" spans="1:10" ht="19.5" customHeight="1" x14ac:dyDescent="0.35">
      <c r="A99" s="455" t="s">
        <v>67</v>
      </c>
      <c r="B99" s="469"/>
      <c r="C99" s="168" t="s">
        <v>105</v>
      </c>
      <c r="D99" s="172">
        <f>D98/$B$98</f>
        <v>0.1577838</v>
      </c>
      <c r="E99" s="111"/>
      <c r="F99" s="114">
        <f>F98/$B$98</f>
        <v>0.16347239999999999</v>
      </c>
      <c r="G99" s="173"/>
      <c r="H99" s="103"/>
    </row>
    <row r="100" spans="1:10" ht="19.5" customHeight="1" x14ac:dyDescent="0.35">
      <c r="A100" s="457"/>
      <c r="B100" s="470"/>
      <c r="C100" s="168" t="s">
        <v>69</v>
      </c>
      <c r="D100" s="174">
        <f>$B$56/$B$116</f>
        <v>0.17777777777777778</v>
      </c>
      <c r="F100" s="119"/>
      <c r="G100" s="175"/>
      <c r="H100" s="103"/>
    </row>
    <row r="101" spans="1:10" ht="18" x14ac:dyDescent="0.35">
      <c r="C101" s="168" t="s">
        <v>70</v>
      </c>
      <c r="D101" s="169">
        <f>D100*$B$98</f>
        <v>17.777777777777779</v>
      </c>
      <c r="F101" s="119"/>
      <c r="G101" s="173"/>
      <c r="H101" s="103"/>
    </row>
    <row r="102" spans="1:10" ht="19.5" customHeight="1" x14ac:dyDescent="0.35">
      <c r="C102" s="176" t="s">
        <v>71</v>
      </c>
      <c r="D102" s="177">
        <f>D101/B34</f>
        <v>17.777777777777779</v>
      </c>
      <c r="F102" s="123"/>
      <c r="G102" s="173"/>
      <c r="H102" s="103"/>
      <c r="J102" s="178"/>
    </row>
    <row r="103" spans="1:10" ht="18" x14ac:dyDescent="0.35">
      <c r="C103" s="179" t="s">
        <v>106</v>
      </c>
      <c r="D103" s="180">
        <f>AVERAGE(E91:E94,G91:G94)</f>
        <v>83572910.280853689</v>
      </c>
      <c r="F103" s="123"/>
      <c r="G103" s="181"/>
      <c r="H103" s="103"/>
      <c r="J103" s="182"/>
    </row>
    <row r="104" spans="1:10" ht="18" x14ac:dyDescent="0.35">
      <c r="C104" s="146" t="s">
        <v>73</v>
      </c>
      <c r="D104" s="183">
        <f>STDEV(E91:E94,G91:G94)/D103</f>
        <v>1.078430089920912E-2</v>
      </c>
      <c r="F104" s="123"/>
      <c r="G104" s="173"/>
      <c r="H104" s="103"/>
      <c r="J104" s="182"/>
    </row>
    <row r="105" spans="1:10" ht="19.5" customHeight="1" x14ac:dyDescent="0.35">
      <c r="C105" s="148" t="s">
        <v>16</v>
      </c>
      <c r="D105" s="184">
        <f>COUNT(E91:E94,G91:G94)</f>
        <v>6</v>
      </c>
      <c r="F105" s="123"/>
      <c r="G105" s="173"/>
      <c r="H105" s="103"/>
      <c r="J105" s="182"/>
    </row>
    <row r="106" spans="1:10" ht="19.5" customHeight="1" x14ac:dyDescent="0.35">
      <c r="A106" s="127"/>
      <c r="B106" s="127"/>
      <c r="C106" s="127"/>
      <c r="D106" s="127"/>
      <c r="E106" s="127"/>
    </row>
    <row r="107" spans="1:10" ht="27" customHeight="1" x14ac:dyDescent="0.45">
      <c r="A107" s="75" t="s">
        <v>107</v>
      </c>
      <c r="B107" s="76">
        <v>900</v>
      </c>
      <c r="C107" s="223" t="s">
        <v>108</v>
      </c>
      <c r="D107" s="223" t="s">
        <v>52</v>
      </c>
      <c r="E107" s="223" t="s">
        <v>109</v>
      </c>
      <c r="F107" s="185" t="s">
        <v>110</v>
      </c>
    </row>
    <row r="108" spans="1:10" ht="26.25" customHeight="1" x14ac:dyDescent="0.45">
      <c r="A108" s="77" t="s">
        <v>111</v>
      </c>
      <c r="B108" s="78">
        <v>20</v>
      </c>
      <c r="C108" s="228">
        <v>1</v>
      </c>
      <c r="D108" s="229">
        <f>(68638785+68560643)/2</f>
        <v>68599714</v>
      </c>
      <c r="E108" s="203">
        <f t="shared" ref="E108:E113" si="1">IF(ISBLANK(D108),"-",D108/$D$103*$D$100*$B$116)</f>
        <v>328.33469012609459</v>
      </c>
      <c r="F108" s="230">
        <f t="shared" ref="F108:F113" si="2">IF(ISBLANK(D108), "-", (E108/$B$56)*100)</f>
        <v>82.083672531523646</v>
      </c>
    </row>
    <row r="109" spans="1:10" ht="26.25" customHeight="1" x14ac:dyDescent="0.45">
      <c r="A109" s="77" t="s">
        <v>84</v>
      </c>
      <c r="B109" s="78">
        <v>50</v>
      </c>
      <c r="C109" s="224">
        <v>2</v>
      </c>
      <c r="D109" s="226">
        <f>(68669894+67991684)/2</f>
        <v>68330789</v>
      </c>
      <c r="E109" s="204">
        <f t="shared" si="1"/>
        <v>327.04755055373198</v>
      </c>
      <c r="F109" s="231">
        <f t="shared" si="2"/>
        <v>81.761887638432995</v>
      </c>
    </row>
    <row r="110" spans="1:10" ht="26.25" customHeight="1" x14ac:dyDescent="0.45">
      <c r="A110" s="77" t="s">
        <v>85</v>
      </c>
      <c r="B110" s="78">
        <v>1</v>
      </c>
      <c r="C110" s="224">
        <v>3</v>
      </c>
      <c r="D110" s="226">
        <f>(68749910+68093776)/2</f>
        <v>68421843</v>
      </c>
      <c r="E110" s="204">
        <f t="shared" si="1"/>
        <v>327.48335684404304</v>
      </c>
      <c r="F110" s="231">
        <f t="shared" si="2"/>
        <v>81.870839211010761</v>
      </c>
    </row>
    <row r="111" spans="1:10" ht="26.25" customHeight="1" x14ac:dyDescent="0.45">
      <c r="A111" s="77" t="s">
        <v>86</v>
      </c>
      <c r="B111" s="78">
        <v>1</v>
      </c>
      <c r="C111" s="224">
        <v>4</v>
      </c>
      <c r="D111" s="226">
        <f>(68024588+68526480)/2</f>
        <v>68275534</v>
      </c>
      <c r="E111" s="204">
        <f t="shared" si="1"/>
        <v>326.78308686656675</v>
      </c>
      <c r="F111" s="231">
        <f t="shared" si="2"/>
        <v>81.695771716641687</v>
      </c>
    </row>
    <row r="112" spans="1:10" ht="26.25" customHeight="1" x14ac:dyDescent="0.45">
      <c r="A112" s="77" t="s">
        <v>87</v>
      </c>
      <c r="B112" s="78">
        <v>1</v>
      </c>
      <c r="C112" s="224">
        <v>5</v>
      </c>
      <c r="D112" s="226">
        <f>(67724766+68098352)/2</f>
        <v>67911559</v>
      </c>
      <c r="E112" s="204">
        <f t="shared" si="1"/>
        <v>325.04101518914479</v>
      </c>
      <c r="F112" s="231">
        <f t="shared" si="2"/>
        <v>81.260253797286197</v>
      </c>
    </row>
    <row r="113" spans="1:10" ht="27" customHeight="1" x14ac:dyDescent="0.45">
      <c r="A113" s="77" t="s">
        <v>89</v>
      </c>
      <c r="B113" s="78">
        <v>1</v>
      </c>
      <c r="C113" s="225">
        <v>6</v>
      </c>
      <c r="D113" s="227">
        <f>(68229707+68355293)/2</f>
        <v>68292500</v>
      </c>
      <c r="E113" s="205">
        <f t="shared" si="1"/>
        <v>326.86429021316786</v>
      </c>
      <c r="F113" s="232">
        <f t="shared" si="2"/>
        <v>81.716072553291966</v>
      </c>
    </row>
    <row r="114" spans="1:10" ht="27" customHeight="1" x14ac:dyDescent="0.45">
      <c r="A114" s="77" t="s">
        <v>90</v>
      </c>
      <c r="B114" s="78">
        <v>1</v>
      </c>
      <c r="C114" s="186"/>
      <c r="D114" s="144"/>
      <c r="E114" s="51"/>
      <c r="F114" s="233"/>
    </row>
    <row r="115" spans="1:10" ht="26.25" customHeight="1" x14ac:dyDescent="0.45">
      <c r="A115" s="77" t="s">
        <v>91</v>
      </c>
      <c r="B115" s="78">
        <v>1</v>
      </c>
      <c r="C115" s="186"/>
      <c r="D115" s="210" t="s">
        <v>60</v>
      </c>
      <c r="E115" s="212">
        <f>AVERAGE(E108:E113)</f>
        <v>326.92566496545811</v>
      </c>
      <c r="F115" s="234">
        <f>AVERAGE(F108:F113)</f>
        <v>81.731416241364528</v>
      </c>
    </row>
    <row r="116" spans="1:10" ht="27" customHeight="1" x14ac:dyDescent="0.45">
      <c r="A116" s="77" t="s">
        <v>92</v>
      </c>
      <c r="B116" s="109">
        <f>(B115/B114)*(B113/B112)*(B111/B110)*(B109/B108)*B107</f>
        <v>2250</v>
      </c>
      <c r="C116" s="187"/>
      <c r="D116" s="211" t="s">
        <v>73</v>
      </c>
      <c r="E116" s="209">
        <f>STDEV(E108:E113)/E115</f>
        <v>3.3191083050669009E-3</v>
      </c>
      <c r="F116" s="188">
        <f>STDEV(F108:F113)/F115</f>
        <v>3.3191083050669009E-3</v>
      </c>
      <c r="I116" s="51"/>
    </row>
    <row r="117" spans="1:10" ht="27" customHeight="1" x14ac:dyDescent="0.45">
      <c r="A117" s="455" t="s">
        <v>67</v>
      </c>
      <c r="B117" s="456"/>
      <c r="C117" s="189"/>
      <c r="D117" s="148" t="s">
        <v>16</v>
      </c>
      <c r="E117" s="214">
        <f>COUNT(E108:E113)</f>
        <v>6</v>
      </c>
      <c r="F117" s="215">
        <f>COUNT(F108:F113)</f>
        <v>6</v>
      </c>
      <c r="I117" s="51"/>
      <c r="J117" s="182"/>
    </row>
    <row r="118" spans="1:10" ht="26.25" customHeight="1" x14ac:dyDescent="0.35">
      <c r="A118" s="457"/>
      <c r="B118" s="458"/>
      <c r="C118" s="51"/>
      <c r="D118" s="213"/>
      <c r="E118" s="434" t="s">
        <v>112</v>
      </c>
      <c r="F118" s="435"/>
      <c r="G118" s="51"/>
      <c r="H118" s="51"/>
      <c r="I118" s="51"/>
    </row>
    <row r="119" spans="1:10" ht="25.5" customHeight="1" x14ac:dyDescent="0.45">
      <c r="A119" s="198"/>
      <c r="B119" s="73"/>
      <c r="C119" s="51"/>
      <c r="D119" s="211" t="s">
        <v>113</v>
      </c>
      <c r="E119" s="216">
        <f>MIN(E108:E113)</f>
        <v>325.04101518914479</v>
      </c>
      <c r="F119" s="235">
        <f>MIN(F108:F113)</f>
        <v>81.260253797286197</v>
      </c>
      <c r="G119" s="51"/>
      <c r="H119" s="51"/>
      <c r="I119" s="51"/>
    </row>
    <row r="120" spans="1:10" ht="24" customHeight="1" x14ac:dyDescent="0.45">
      <c r="A120" s="198"/>
      <c r="B120" s="73"/>
      <c r="C120" s="51"/>
      <c r="D120" s="120" t="s">
        <v>114</v>
      </c>
      <c r="E120" s="217">
        <f>MAX(E108:E113)</f>
        <v>328.33469012609459</v>
      </c>
      <c r="F120" s="236">
        <f>MAX(F108:F113)</f>
        <v>82.083672531523646</v>
      </c>
      <c r="G120" s="51"/>
      <c r="H120" s="51"/>
      <c r="I120" s="51"/>
    </row>
    <row r="121" spans="1:10" ht="27" customHeight="1" x14ac:dyDescent="0.35">
      <c r="A121" s="198"/>
      <c r="B121" s="73"/>
      <c r="C121" s="51"/>
      <c r="D121" s="51"/>
      <c r="E121" s="51"/>
      <c r="F121" s="144"/>
      <c r="G121" s="51"/>
      <c r="H121" s="51"/>
      <c r="I121" s="51"/>
    </row>
    <row r="122" spans="1:10" ht="25.5" customHeight="1" x14ac:dyDescent="0.35">
      <c r="A122" s="198"/>
      <c r="B122" s="73"/>
      <c r="C122" s="51"/>
      <c r="D122" s="51"/>
      <c r="E122" s="51"/>
      <c r="F122" s="144"/>
      <c r="G122" s="51"/>
      <c r="H122" s="51"/>
      <c r="I122" s="51"/>
    </row>
    <row r="123" spans="1:10" ht="18" x14ac:dyDescent="0.35">
      <c r="A123" s="198"/>
      <c r="B123" s="73"/>
      <c r="C123" s="51"/>
      <c r="D123" s="51"/>
      <c r="E123" s="51"/>
      <c r="F123" s="144"/>
      <c r="G123" s="51"/>
      <c r="H123" s="51"/>
      <c r="I123" s="51"/>
    </row>
    <row r="124" spans="1:10" ht="45.75" customHeight="1" x14ac:dyDescent="0.85">
      <c r="A124" s="61" t="s">
        <v>95</v>
      </c>
      <c r="B124" s="150" t="s">
        <v>115</v>
      </c>
      <c r="C124" s="467">
        <f>B26</f>
        <v>0</v>
      </c>
      <c r="D124" s="467"/>
      <c r="E124" s="151" t="s">
        <v>116</v>
      </c>
      <c r="F124" s="151"/>
      <c r="G124" s="237">
        <f>F115</f>
        <v>81.731416241364528</v>
      </c>
      <c r="H124" s="51"/>
      <c r="I124" s="51"/>
    </row>
    <row r="125" spans="1:10" ht="45.75" customHeight="1" x14ac:dyDescent="0.85">
      <c r="A125" s="61"/>
      <c r="B125" s="150" t="s">
        <v>117</v>
      </c>
      <c r="C125" s="62" t="s">
        <v>118</v>
      </c>
      <c r="D125" s="237">
        <f>MIN(F108:F113)</f>
        <v>81.260253797286197</v>
      </c>
      <c r="E125" s="162" t="s">
        <v>119</v>
      </c>
      <c r="F125" s="237">
        <f>MAX(F108:F113)</f>
        <v>82.083672531523646</v>
      </c>
      <c r="G125" s="152"/>
      <c r="H125" s="51"/>
      <c r="I125" s="51"/>
    </row>
    <row r="126" spans="1:10" ht="19.5" customHeight="1" x14ac:dyDescent="0.35">
      <c r="A126" s="190"/>
      <c r="B126" s="190"/>
      <c r="C126" s="191"/>
      <c r="D126" s="191"/>
      <c r="E126" s="191"/>
      <c r="F126" s="191"/>
      <c r="G126" s="191"/>
      <c r="H126" s="191"/>
    </row>
    <row r="127" spans="1:10" ht="18" x14ac:dyDescent="0.35">
      <c r="B127" s="468" t="s">
        <v>22</v>
      </c>
      <c r="C127" s="468"/>
      <c r="E127" s="157" t="s">
        <v>23</v>
      </c>
      <c r="F127" s="192"/>
      <c r="G127" s="468" t="s">
        <v>24</v>
      </c>
      <c r="H127" s="468"/>
    </row>
    <row r="128" spans="1:10" ht="69.900000000000006" customHeight="1" x14ac:dyDescent="0.35">
      <c r="A128" s="193" t="s">
        <v>25</v>
      </c>
      <c r="B128" s="194"/>
      <c r="C128" s="194"/>
      <c r="E128" s="194"/>
      <c r="F128" s="51"/>
      <c r="G128" s="195"/>
      <c r="H128" s="195"/>
    </row>
    <row r="129" spans="1:9" ht="69.900000000000006" customHeight="1" x14ac:dyDescent="0.35">
      <c r="A129" s="193" t="s">
        <v>26</v>
      </c>
      <c r="B129" s="196"/>
      <c r="C129" s="196"/>
      <c r="E129" s="196"/>
      <c r="F129" s="51"/>
      <c r="G129" s="197"/>
      <c r="H129" s="197"/>
    </row>
    <row r="130" spans="1:9" ht="18" x14ac:dyDescent="0.35">
      <c r="A130" s="143"/>
      <c r="B130" s="143"/>
      <c r="C130" s="144"/>
      <c r="D130" s="144"/>
      <c r="E130" s="144"/>
      <c r="F130" s="147"/>
      <c r="G130" s="144"/>
      <c r="H130" s="144"/>
      <c r="I130" s="51"/>
    </row>
    <row r="131" spans="1:9" ht="18" x14ac:dyDescent="0.35">
      <c r="A131" s="143"/>
      <c r="B131" s="143"/>
      <c r="C131" s="144"/>
      <c r="D131" s="144"/>
      <c r="E131" s="144"/>
      <c r="F131" s="147"/>
      <c r="G131" s="144"/>
      <c r="H131" s="144"/>
      <c r="I131" s="51"/>
    </row>
    <row r="132" spans="1:9" ht="18" x14ac:dyDescent="0.35">
      <c r="A132" s="143"/>
      <c r="B132" s="143"/>
      <c r="C132" s="144"/>
      <c r="D132" s="144"/>
      <c r="E132" s="144"/>
      <c r="F132" s="147"/>
      <c r="G132" s="144"/>
      <c r="H132" s="144"/>
      <c r="I132" s="51"/>
    </row>
    <row r="133" spans="1:9" ht="18" x14ac:dyDescent="0.35">
      <c r="A133" s="143"/>
      <c r="B133" s="143"/>
      <c r="C133" s="144"/>
      <c r="D133" s="144"/>
      <c r="E133" s="144"/>
      <c r="F133" s="147"/>
      <c r="G133" s="144"/>
      <c r="H133" s="144"/>
      <c r="I133" s="51"/>
    </row>
    <row r="134" spans="1:9" ht="18" x14ac:dyDescent="0.35">
      <c r="A134" s="143"/>
      <c r="B134" s="143"/>
      <c r="C134" s="144"/>
      <c r="D134" s="144"/>
      <c r="E134" s="144"/>
      <c r="F134" s="147"/>
      <c r="G134" s="144"/>
      <c r="H134" s="144"/>
      <c r="I134" s="51"/>
    </row>
    <row r="135" spans="1:9" ht="18" x14ac:dyDescent="0.35">
      <c r="A135" s="143"/>
      <c r="B135" s="143"/>
      <c r="C135" s="144"/>
      <c r="D135" s="144"/>
      <c r="E135" s="144"/>
      <c r="F135" s="147"/>
      <c r="G135" s="144"/>
      <c r="H135" s="144"/>
      <c r="I135" s="51"/>
    </row>
    <row r="136" spans="1:9" ht="18" x14ac:dyDescent="0.35">
      <c r="A136" s="143"/>
      <c r="B136" s="143"/>
      <c r="C136" s="144"/>
      <c r="D136" s="144"/>
      <c r="E136" s="144"/>
      <c r="F136" s="147"/>
      <c r="G136" s="144"/>
      <c r="H136" s="144"/>
      <c r="I136" s="51"/>
    </row>
    <row r="137" spans="1:9" ht="18" x14ac:dyDescent="0.35">
      <c r="A137" s="143"/>
      <c r="B137" s="143"/>
      <c r="C137" s="144"/>
      <c r="D137" s="144"/>
      <c r="E137" s="144"/>
      <c r="F137" s="147"/>
      <c r="G137" s="144"/>
      <c r="H137" s="144"/>
      <c r="I137" s="51"/>
    </row>
    <row r="138" spans="1:9" ht="18" x14ac:dyDescent="0.35">
      <c r="A138" s="143"/>
      <c r="B138" s="143"/>
      <c r="C138" s="144"/>
      <c r="D138" s="144"/>
      <c r="E138" s="144"/>
      <c r="F138" s="147"/>
      <c r="G138" s="144"/>
      <c r="H138" s="144"/>
      <c r="I138" s="51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8" zoomScale="60" zoomScaleNormal="40" zoomScalePageLayoutView="48" workbookViewId="0">
      <selection activeCell="F108" sqref="F108:F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65" t="s">
        <v>27</v>
      </c>
      <c r="B1" s="465"/>
      <c r="C1" s="465"/>
      <c r="D1" s="465"/>
      <c r="E1" s="465"/>
      <c r="F1" s="465"/>
      <c r="G1" s="465"/>
      <c r="H1" s="465"/>
      <c r="I1" s="465"/>
    </row>
    <row r="2" spans="1:9" ht="18.75" customHeight="1" x14ac:dyDescent="0.3">
      <c r="A2" s="465"/>
      <c r="B2" s="465"/>
      <c r="C2" s="465"/>
      <c r="D2" s="465"/>
      <c r="E2" s="465"/>
      <c r="F2" s="465"/>
      <c r="G2" s="465"/>
      <c r="H2" s="465"/>
      <c r="I2" s="465"/>
    </row>
    <row r="3" spans="1:9" ht="18.75" customHeight="1" x14ac:dyDescent="0.3">
      <c r="A3" s="465"/>
      <c r="B3" s="465"/>
      <c r="C3" s="465"/>
      <c r="D3" s="465"/>
      <c r="E3" s="465"/>
      <c r="F3" s="465"/>
      <c r="G3" s="465"/>
      <c r="H3" s="465"/>
      <c r="I3" s="465"/>
    </row>
    <row r="4" spans="1:9" ht="18.75" customHeight="1" x14ac:dyDescent="0.3">
      <c r="A4" s="465"/>
      <c r="B4" s="465"/>
      <c r="C4" s="465"/>
      <c r="D4" s="465"/>
      <c r="E4" s="465"/>
      <c r="F4" s="465"/>
      <c r="G4" s="465"/>
      <c r="H4" s="465"/>
      <c r="I4" s="465"/>
    </row>
    <row r="5" spans="1:9" ht="18.75" customHeight="1" x14ac:dyDescent="0.3">
      <c r="A5" s="465"/>
      <c r="B5" s="465"/>
      <c r="C5" s="465"/>
      <c r="D5" s="465"/>
      <c r="E5" s="465"/>
      <c r="F5" s="465"/>
      <c r="G5" s="465"/>
      <c r="H5" s="465"/>
      <c r="I5" s="465"/>
    </row>
    <row r="6" spans="1:9" ht="18.75" customHeight="1" x14ac:dyDescent="0.3">
      <c r="A6" s="465"/>
      <c r="B6" s="465"/>
      <c r="C6" s="465"/>
      <c r="D6" s="465"/>
      <c r="E6" s="465"/>
      <c r="F6" s="465"/>
      <c r="G6" s="465"/>
      <c r="H6" s="465"/>
      <c r="I6" s="465"/>
    </row>
    <row r="7" spans="1:9" ht="18.75" customHeight="1" x14ac:dyDescent="0.3">
      <c r="A7" s="465"/>
      <c r="B7" s="465"/>
      <c r="C7" s="465"/>
      <c r="D7" s="465"/>
      <c r="E7" s="465"/>
      <c r="F7" s="465"/>
      <c r="G7" s="465"/>
      <c r="H7" s="465"/>
      <c r="I7" s="465"/>
    </row>
    <row r="8" spans="1:9" x14ac:dyDescent="0.3">
      <c r="A8" s="466" t="s">
        <v>28</v>
      </c>
      <c r="B8" s="466"/>
      <c r="C8" s="466"/>
      <c r="D8" s="466"/>
      <c r="E8" s="466"/>
      <c r="F8" s="466"/>
      <c r="G8" s="466"/>
      <c r="H8" s="466"/>
      <c r="I8" s="466"/>
    </row>
    <row r="9" spans="1:9" x14ac:dyDescent="0.3">
      <c r="A9" s="466"/>
      <c r="B9" s="466"/>
      <c r="C9" s="466"/>
      <c r="D9" s="466"/>
      <c r="E9" s="466"/>
      <c r="F9" s="466"/>
      <c r="G9" s="466"/>
      <c r="H9" s="466"/>
      <c r="I9" s="466"/>
    </row>
    <row r="10" spans="1:9" x14ac:dyDescent="0.3">
      <c r="A10" s="466"/>
      <c r="B10" s="466"/>
      <c r="C10" s="466"/>
      <c r="D10" s="466"/>
      <c r="E10" s="466"/>
      <c r="F10" s="466"/>
      <c r="G10" s="466"/>
      <c r="H10" s="466"/>
      <c r="I10" s="466"/>
    </row>
    <row r="11" spans="1:9" x14ac:dyDescent="0.3">
      <c r="A11" s="466"/>
      <c r="B11" s="466"/>
      <c r="C11" s="466"/>
      <c r="D11" s="466"/>
      <c r="E11" s="466"/>
      <c r="F11" s="466"/>
      <c r="G11" s="466"/>
      <c r="H11" s="466"/>
      <c r="I11" s="466"/>
    </row>
    <row r="12" spans="1:9" x14ac:dyDescent="0.3">
      <c r="A12" s="466"/>
      <c r="B12" s="466"/>
      <c r="C12" s="466"/>
      <c r="D12" s="466"/>
      <c r="E12" s="466"/>
      <c r="F12" s="466"/>
      <c r="G12" s="466"/>
      <c r="H12" s="466"/>
      <c r="I12" s="466"/>
    </row>
    <row r="13" spans="1:9" x14ac:dyDescent="0.3">
      <c r="A13" s="466"/>
      <c r="B13" s="466"/>
      <c r="C13" s="466"/>
      <c r="D13" s="466"/>
      <c r="E13" s="466"/>
      <c r="F13" s="466"/>
      <c r="G13" s="466"/>
      <c r="H13" s="466"/>
      <c r="I13" s="466"/>
    </row>
    <row r="14" spans="1:9" x14ac:dyDescent="0.3">
      <c r="A14" s="466"/>
      <c r="B14" s="466"/>
      <c r="C14" s="466"/>
      <c r="D14" s="466"/>
      <c r="E14" s="466"/>
      <c r="F14" s="466"/>
      <c r="G14" s="466"/>
      <c r="H14" s="466"/>
      <c r="I14" s="466"/>
    </row>
    <row r="15" spans="1:9" ht="19.5" customHeight="1" x14ac:dyDescent="0.35">
      <c r="A15" s="239"/>
    </row>
    <row r="16" spans="1:9" ht="19.5" customHeight="1" x14ac:dyDescent="0.35">
      <c r="A16" s="437" t="s">
        <v>29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3">
      <c r="A17" s="440" t="s">
        <v>30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5">
      <c r="A18" s="241" t="s">
        <v>31</v>
      </c>
      <c r="B18" s="436" t="s">
        <v>127</v>
      </c>
      <c r="C18" s="436"/>
      <c r="D18" s="387"/>
      <c r="E18" s="242"/>
      <c r="F18" s="243"/>
      <c r="G18" s="243"/>
      <c r="H18" s="243"/>
    </row>
    <row r="19" spans="1:14" ht="26.25" customHeight="1" x14ac:dyDescent="0.5">
      <c r="A19" s="241" t="s">
        <v>32</v>
      </c>
      <c r="B19" s="244" t="s">
        <v>6</v>
      </c>
      <c r="C19" s="396">
        <v>1</v>
      </c>
      <c r="D19" s="243"/>
      <c r="E19" s="243"/>
      <c r="F19" s="243"/>
      <c r="G19" s="243"/>
      <c r="H19" s="243"/>
    </row>
    <row r="20" spans="1:14" ht="26.25" customHeight="1" x14ac:dyDescent="0.5">
      <c r="A20" s="241" t="s">
        <v>33</v>
      </c>
      <c r="B20" s="441" t="s">
        <v>126</v>
      </c>
      <c r="C20" s="441"/>
      <c r="D20" s="243"/>
      <c r="E20" s="243"/>
      <c r="F20" s="243"/>
      <c r="G20" s="243"/>
      <c r="H20" s="243"/>
    </row>
    <row r="21" spans="1:14" ht="26.25" customHeight="1" x14ac:dyDescent="0.5">
      <c r="A21" s="241" t="s">
        <v>34</v>
      </c>
      <c r="B21" s="441" t="s">
        <v>125</v>
      </c>
      <c r="C21" s="441"/>
      <c r="D21" s="441"/>
      <c r="E21" s="441"/>
      <c r="F21" s="441"/>
      <c r="G21" s="441"/>
      <c r="H21" s="441"/>
      <c r="I21" s="245"/>
    </row>
    <row r="22" spans="1:14" ht="26.25" customHeight="1" x14ac:dyDescent="0.5">
      <c r="A22" s="241" t="s">
        <v>35</v>
      </c>
      <c r="B22" s="246">
        <v>43056</v>
      </c>
      <c r="C22" s="243"/>
      <c r="D22" s="243"/>
      <c r="E22" s="243"/>
      <c r="F22" s="243"/>
      <c r="G22" s="243"/>
      <c r="H22" s="243"/>
    </row>
    <row r="23" spans="1:14" ht="26.25" customHeight="1" x14ac:dyDescent="0.5">
      <c r="A23" s="241" t="s">
        <v>36</v>
      </c>
      <c r="B23" s="246">
        <v>43059</v>
      </c>
      <c r="C23" s="243"/>
      <c r="D23" s="243"/>
      <c r="E23" s="243"/>
      <c r="F23" s="243"/>
      <c r="G23" s="243"/>
      <c r="H23" s="243"/>
    </row>
    <row r="24" spans="1:14" ht="18" x14ac:dyDescent="0.35">
      <c r="A24" s="241"/>
      <c r="B24" s="247"/>
    </row>
    <row r="25" spans="1:14" ht="18" x14ac:dyDescent="0.35">
      <c r="A25" s="248" t="s">
        <v>1</v>
      </c>
      <c r="B25" s="247"/>
    </row>
    <row r="26" spans="1:14" ht="26.25" customHeight="1" x14ac:dyDescent="0.45">
      <c r="A26" s="249" t="s">
        <v>4</v>
      </c>
      <c r="B26" s="436"/>
      <c r="C26" s="436"/>
    </row>
    <row r="27" spans="1:14" ht="26.25" customHeight="1" x14ac:dyDescent="0.5">
      <c r="A27" s="250" t="s">
        <v>37</v>
      </c>
      <c r="B27" s="442"/>
      <c r="C27" s="442"/>
    </row>
    <row r="28" spans="1:14" ht="27" customHeight="1" x14ac:dyDescent="0.45">
      <c r="A28" s="250" t="s">
        <v>5</v>
      </c>
      <c r="B28" s="251"/>
    </row>
    <row r="29" spans="1:14" s="14" customFormat="1" ht="27" customHeight="1" x14ac:dyDescent="0.5">
      <c r="A29" s="250" t="s">
        <v>38</v>
      </c>
      <c r="B29" s="252"/>
      <c r="C29" s="443" t="s">
        <v>39</v>
      </c>
      <c r="D29" s="444"/>
      <c r="E29" s="444"/>
      <c r="F29" s="444"/>
      <c r="G29" s="445"/>
      <c r="I29" s="253"/>
      <c r="J29" s="253"/>
      <c r="K29" s="253"/>
      <c r="L29" s="253"/>
    </row>
    <row r="30" spans="1:14" s="14" customFormat="1" ht="19.5" customHeight="1" x14ac:dyDescent="0.35">
      <c r="A30" s="250" t="s">
        <v>40</v>
      </c>
      <c r="B30" s="254">
        <f>B28-B29</f>
        <v>0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14" customFormat="1" ht="27" customHeight="1" x14ac:dyDescent="0.45">
      <c r="A31" s="250" t="s">
        <v>41</v>
      </c>
      <c r="B31" s="257">
        <v>1</v>
      </c>
      <c r="C31" s="446" t="s">
        <v>42</v>
      </c>
      <c r="D31" s="447"/>
      <c r="E31" s="447"/>
      <c r="F31" s="447"/>
      <c r="G31" s="447"/>
      <c r="H31" s="448"/>
      <c r="I31" s="253"/>
      <c r="J31" s="253"/>
      <c r="K31" s="253"/>
      <c r="L31" s="253"/>
    </row>
    <row r="32" spans="1:14" s="14" customFormat="1" ht="27" customHeight="1" x14ac:dyDescent="0.45">
      <c r="A32" s="250" t="s">
        <v>43</v>
      </c>
      <c r="B32" s="257">
        <v>1</v>
      </c>
      <c r="C32" s="446" t="s">
        <v>44</v>
      </c>
      <c r="D32" s="447"/>
      <c r="E32" s="447"/>
      <c r="F32" s="447"/>
      <c r="G32" s="447"/>
      <c r="H32" s="448"/>
      <c r="I32" s="253"/>
      <c r="J32" s="253"/>
      <c r="K32" s="253"/>
      <c r="L32" s="258"/>
      <c r="M32" s="258"/>
      <c r="N32" s="259"/>
    </row>
    <row r="33" spans="1:14" s="14" customFormat="1" ht="17.25" customHeight="1" x14ac:dyDescent="0.35">
      <c r="A33" s="250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14" customFormat="1" ht="18" x14ac:dyDescent="0.35">
      <c r="A34" s="250" t="s">
        <v>45</v>
      </c>
      <c r="B34" s="262">
        <f>B31/B32</f>
        <v>1</v>
      </c>
      <c r="C34" s="240" t="s">
        <v>46</v>
      </c>
      <c r="D34" s="240"/>
      <c r="E34" s="240"/>
      <c r="F34" s="240"/>
      <c r="G34" s="240"/>
      <c r="I34" s="253"/>
      <c r="J34" s="253"/>
      <c r="K34" s="253"/>
      <c r="L34" s="258"/>
      <c r="M34" s="258"/>
      <c r="N34" s="259"/>
    </row>
    <row r="35" spans="1:14" s="14" customFormat="1" ht="19.5" customHeight="1" x14ac:dyDescent="0.35">
      <c r="A35" s="250"/>
      <c r="B35" s="254"/>
      <c r="G35" s="240"/>
      <c r="I35" s="253"/>
      <c r="J35" s="253"/>
      <c r="K35" s="253"/>
      <c r="L35" s="258"/>
      <c r="M35" s="258"/>
      <c r="N35" s="259"/>
    </row>
    <row r="36" spans="1:14" s="14" customFormat="1" ht="27" customHeight="1" x14ac:dyDescent="0.45">
      <c r="A36" s="263" t="s">
        <v>47</v>
      </c>
      <c r="B36" s="264">
        <v>1</v>
      </c>
      <c r="C36" s="240"/>
      <c r="D36" s="449" t="s">
        <v>48</v>
      </c>
      <c r="E36" s="450"/>
      <c r="F36" s="449" t="s">
        <v>49</v>
      </c>
      <c r="G36" s="451"/>
      <c r="J36" s="253"/>
      <c r="K36" s="253"/>
      <c r="L36" s="258"/>
      <c r="M36" s="258"/>
      <c r="N36" s="259"/>
    </row>
    <row r="37" spans="1:14" s="14" customFormat="1" ht="27" customHeight="1" x14ac:dyDescent="0.45">
      <c r="A37" s="265" t="s">
        <v>50</v>
      </c>
      <c r="B37" s="266">
        <v>1</v>
      </c>
      <c r="C37" s="267" t="s">
        <v>51</v>
      </c>
      <c r="D37" s="268" t="s">
        <v>52</v>
      </c>
      <c r="E37" s="269" t="s">
        <v>53</v>
      </c>
      <c r="F37" s="268" t="s">
        <v>52</v>
      </c>
      <c r="G37" s="270" t="s">
        <v>53</v>
      </c>
      <c r="I37" s="271" t="s">
        <v>54</v>
      </c>
      <c r="J37" s="253"/>
      <c r="K37" s="253"/>
      <c r="L37" s="258"/>
      <c r="M37" s="258"/>
      <c r="N37" s="259"/>
    </row>
    <row r="38" spans="1:14" s="14" customFormat="1" ht="26.25" customHeight="1" x14ac:dyDescent="0.45">
      <c r="A38" s="265" t="s">
        <v>55</v>
      </c>
      <c r="B38" s="266">
        <v>1</v>
      </c>
      <c r="C38" s="272">
        <v>1</v>
      </c>
      <c r="D38" s="273"/>
      <c r="E38" s="274" t="str">
        <f>IF(ISBLANK(D38),"-",$D$48/$D$45*D38)</f>
        <v>-</v>
      </c>
      <c r="F38" s="273"/>
      <c r="G38" s="275" t="str">
        <f>IF(ISBLANK(F38),"-",$D$48/$F$45*F38)</f>
        <v>-</v>
      </c>
      <c r="I38" s="276"/>
      <c r="J38" s="253"/>
      <c r="K38" s="253"/>
      <c r="L38" s="258"/>
      <c r="M38" s="258"/>
      <c r="N38" s="259"/>
    </row>
    <row r="39" spans="1:14" s="14" customFormat="1" ht="26.25" customHeight="1" x14ac:dyDescent="0.45">
      <c r="A39" s="265" t="s">
        <v>56</v>
      </c>
      <c r="B39" s="266">
        <v>1</v>
      </c>
      <c r="C39" s="277">
        <v>2</v>
      </c>
      <c r="D39" s="278"/>
      <c r="E39" s="279" t="str">
        <f>IF(ISBLANK(D39),"-",$D$48/$D$45*D39)</f>
        <v>-</v>
      </c>
      <c r="F39" s="278"/>
      <c r="G39" s="280" t="str">
        <f>IF(ISBLANK(F39),"-",$D$48/$F$45*F39)</f>
        <v>-</v>
      </c>
      <c r="I39" s="454" t="e">
        <f>ABS((F43/D43*D42)-F42)/D42</f>
        <v>#DIV/0!</v>
      </c>
      <c r="J39" s="253"/>
      <c r="K39" s="253"/>
      <c r="L39" s="258"/>
      <c r="M39" s="258"/>
      <c r="N39" s="259"/>
    </row>
    <row r="40" spans="1:14" ht="26.25" customHeight="1" x14ac:dyDescent="0.45">
      <c r="A40" s="265" t="s">
        <v>57</v>
      </c>
      <c r="B40" s="266">
        <v>1</v>
      </c>
      <c r="C40" s="277">
        <v>3</v>
      </c>
      <c r="D40" s="278"/>
      <c r="E40" s="279" t="str">
        <f>IF(ISBLANK(D40),"-",$D$48/$D$45*D40)</f>
        <v>-</v>
      </c>
      <c r="F40" s="278"/>
      <c r="G40" s="280" t="str">
        <f>IF(ISBLANK(F40),"-",$D$48/$F$45*F40)</f>
        <v>-</v>
      </c>
      <c r="I40" s="454"/>
      <c r="L40" s="258"/>
      <c r="M40" s="258"/>
      <c r="N40" s="281"/>
    </row>
    <row r="41" spans="1:14" ht="27" customHeight="1" x14ac:dyDescent="0.45">
      <c r="A41" s="265" t="s">
        <v>58</v>
      </c>
      <c r="B41" s="266">
        <v>1</v>
      </c>
      <c r="C41" s="282">
        <v>4</v>
      </c>
      <c r="D41" s="283"/>
      <c r="E41" s="284" t="str">
        <f>IF(ISBLANK(D41),"-",$D$48/$D$45*D41)</f>
        <v>-</v>
      </c>
      <c r="F41" s="283"/>
      <c r="G41" s="285" t="str">
        <f>IF(ISBLANK(F41),"-",$D$48/$F$45*F41)</f>
        <v>-</v>
      </c>
      <c r="I41" s="286"/>
      <c r="L41" s="258"/>
      <c r="M41" s="258"/>
      <c r="N41" s="281"/>
    </row>
    <row r="42" spans="1:14" ht="27" customHeight="1" x14ac:dyDescent="0.45">
      <c r="A42" s="265" t="s">
        <v>59</v>
      </c>
      <c r="B42" s="266">
        <v>1</v>
      </c>
      <c r="C42" s="287" t="s">
        <v>60</v>
      </c>
      <c r="D42" s="288" t="e">
        <f>AVERAGE(D38:D41)</f>
        <v>#DIV/0!</v>
      </c>
      <c r="E42" s="289" t="e">
        <f>AVERAGE(E38:E41)</f>
        <v>#DIV/0!</v>
      </c>
      <c r="F42" s="288" t="e">
        <f>AVERAGE(F38:F41)</f>
        <v>#DIV/0!</v>
      </c>
      <c r="G42" s="290" t="e">
        <f>AVERAGE(G38:G41)</f>
        <v>#DIV/0!</v>
      </c>
      <c r="H42" s="291"/>
    </row>
    <row r="43" spans="1:14" ht="26.25" customHeight="1" x14ac:dyDescent="0.45">
      <c r="A43" s="265" t="s">
        <v>61</v>
      </c>
      <c r="B43" s="266">
        <v>1</v>
      </c>
      <c r="C43" s="292" t="s">
        <v>62</v>
      </c>
      <c r="D43" s="293"/>
      <c r="E43" s="281"/>
      <c r="F43" s="293"/>
      <c r="H43" s="291"/>
    </row>
    <row r="44" spans="1:14" ht="26.25" customHeight="1" x14ac:dyDescent="0.45">
      <c r="A44" s="265" t="s">
        <v>63</v>
      </c>
      <c r="B44" s="266">
        <v>1</v>
      </c>
      <c r="C44" s="294" t="s">
        <v>64</v>
      </c>
      <c r="D44" s="295">
        <f>D43*$B$34</f>
        <v>0</v>
      </c>
      <c r="E44" s="296"/>
      <c r="F44" s="295">
        <f>F43*$B$34</f>
        <v>0</v>
      </c>
      <c r="H44" s="291"/>
    </row>
    <row r="45" spans="1:14" ht="19.5" customHeight="1" x14ac:dyDescent="0.35">
      <c r="A45" s="265" t="s">
        <v>65</v>
      </c>
      <c r="B45" s="297">
        <f>(B44/B43)*(B42/B41)*(B40/B39)*(B38/B37)*B36</f>
        <v>1</v>
      </c>
      <c r="C45" s="294" t="s">
        <v>66</v>
      </c>
      <c r="D45" s="298">
        <f>D44*$B$30/100</f>
        <v>0</v>
      </c>
      <c r="E45" s="299"/>
      <c r="F45" s="298">
        <f>F44*$B$30/100</f>
        <v>0</v>
      </c>
      <c r="H45" s="291"/>
    </row>
    <row r="46" spans="1:14" ht="19.5" customHeight="1" x14ac:dyDescent="0.35">
      <c r="A46" s="455" t="s">
        <v>67</v>
      </c>
      <c r="B46" s="456"/>
      <c r="C46" s="294" t="s">
        <v>68</v>
      </c>
      <c r="D46" s="300">
        <f>D45/$B$45</f>
        <v>0</v>
      </c>
      <c r="E46" s="301"/>
      <c r="F46" s="302">
        <f>F45/$B$45</f>
        <v>0</v>
      </c>
      <c r="H46" s="291"/>
    </row>
    <row r="47" spans="1:14" ht="27" customHeight="1" x14ac:dyDescent="0.45">
      <c r="A47" s="457"/>
      <c r="B47" s="458"/>
      <c r="C47" s="303" t="s">
        <v>69</v>
      </c>
      <c r="D47" s="304"/>
      <c r="E47" s="305"/>
      <c r="F47" s="301"/>
      <c r="H47" s="291"/>
    </row>
    <row r="48" spans="1:14" ht="18" x14ac:dyDescent="0.35">
      <c r="C48" s="306" t="s">
        <v>70</v>
      </c>
      <c r="D48" s="298">
        <f>D47*$B$45</f>
        <v>0</v>
      </c>
      <c r="F48" s="307"/>
      <c r="H48" s="291"/>
    </row>
    <row r="49" spans="1:12" ht="19.5" customHeight="1" x14ac:dyDescent="0.35">
      <c r="C49" s="308" t="s">
        <v>71</v>
      </c>
      <c r="D49" s="309">
        <f>D48/B34</f>
        <v>0</v>
      </c>
      <c r="F49" s="307"/>
      <c r="H49" s="291"/>
    </row>
    <row r="50" spans="1:12" ht="18" x14ac:dyDescent="0.35">
      <c r="C50" s="263" t="s">
        <v>72</v>
      </c>
      <c r="D50" s="310" t="e">
        <f>AVERAGE(E38:E41,G38:G41)</f>
        <v>#DIV/0!</v>
      </c>
      <c r="F50" s="311"/>
      <c r="H50" s="291"/>
    </row>
    <row r="51" spans="1:12" ht="18" x14ac:dyDescent="0.35">
      <c r="C51" s="265" t="s">
        <v>73</v>
      </c>
      <c r="D51" s="312" t="e">
        <f>STDEV(E38:E41,G38:G41)/D50</f>
        <v>#DIV/0!</v>
      </c>
      <c r="F51" s="311"/>
      <c r="H51" s="291"/>
    </row>
    <row r="52" spans="1:12" ht="19.5" customHeight="1" x14ac:dyDescent="0.35">
      <c r="C52" s="313" t="s">
        <v>16</v>
      </c>
      <c r="D52" s="314">
        <f>COUNT(E38:E41,G38:G41)</f>
        <v>0</v>
      </c>
      <c r="F52" s="311"/>
    </row>
    <row r="54" spans="1:12" ht="18" x14ac:dyDescent="0.35">
      <c r="A54" s="315" t="s">
        <v>1</v>
      </c>
      <c r="B54" s="316" t="s">
        <v>74</v>
      </c>
    </row>
    <row r="55" spans="1:12" ht="18" x14ac:dyDescent="0.35">
      <c r="A55" s="240" t="s">
        <v>75</v>
      </c>
      <c r="B55" s="317" t="str">
        <f>B21</f>
        <v>Sulfamethoxazole 400 mg, Trimethoprim 80 mg</v>
      </c>
    </row>
    <row r="56" spans="1:12" ht="26.25" customHeight="1" x14ac:dyDescent="0.45">
      <c r="A56" s="318" t="s">
        <v>76</v>
      </c>
      <c r="B56" s="319">
        <v>80</v>
      </c>
      <c r="C56" s="240" t="str">
        <f>B20</f>
        <v xml:space="preserve">Trimethoprim </v>
      </c>
      <c r="H56" s="320"/>
    </row>
    <row r="57" spans="1:12" ht="18" x14ac:dyDescent="0.35">
      <c r="A57" s="317" t="s">
        <v>77</v>
      </c>
      <c r="B57" s="388">
        <v>550.5</v>
      </c>
      <c r="H57" s="320"/>
    </row>
    <row r="58" spans="1:12" ht="19.5" customHeight="1" x14ac:dyDescent="0.35">
      <c r="H58" s="320"/>
    </row>
    <row r="59" spans="1:12" s="14" customFormat="1" ht="27" customHeight="1" x14ac:dyDescent="0.45">
      <c r="A59" s="263" t="s">
        <v>78</v>
      </c>
      <c r="B59" s="264">
        <v>1</v>
      </c>
      <c r="C59" s="240"/>
      <c r="D59" s="321" t="s">
        <v>79</v>
      </c>
      <c r="E59" s="322" t="s">
        <v>51</v>
      </c>
      <c r="F59" s="322" t="s">
        <v>52</v>
      </c>
      <c r="G59" s="322" t="s">
        <v>80</v>
      </c>
      <c r="H59" s="267" t="s">
        <v>81</v>
      </c>
      <c r="L59" s="253"/>
    </row>
    <row r="60" spans="1:12" s="14" customFormat="1" ht="26.25" customHeight="1" x14ac:dyDescent="0.45">
      <c r="A60" s="265" t="s">
        <v>82</v>
      </c>
      <c r="B60" s="266">
        <v>1</v>
      </c>
      <c r="C60" s="459" t="s">
        <v>83</v>
      </c>
      <c r="D60" s="462"/>
      <c r="E60" s="323">
        <v>1</v>
      </c>
      <c r="F60" s="324"/>
      <c r="G60" s="389" t="str">
        <f>IF(ISBLANK(F60),"-",(F60/$D$50*$D$47*$B$68)*($B$57/$D$60))</f>
        <v>-</v>
      </c>
      <c r="H60" s="407" t="str">
        <f t="shared" ref="H60:H71" si="0">IF(ISBLANK(F60),"-",(G60/$B$56)*100)</f>
        <v>-</v>
      </c>
      <c r="L60" s="253"/>
    </row>
    <row r="61" spans="1:12" s="14" customFormat="1" ht="26.25" customHeight="1" x14ac:dyDescent="0.45">
      <c r="A61" s="265" t="s">
        <v>84</v>
      </c>
      <c r="B61" s="266">
        <v>1</v>
      </c>
      <c r="C61" s="460"/>
      <c r="D61" s="463"/>
      <c r="E61" s="325">
        <v>2</v>
      </c>
      <c r="F61" s="278"/>
      <c r="G61" s="390" t="str">
        <f>IF(ISBLANK(F61),"-",(F61/$D$50*$D$47*$B$68)*($B$57/$D$60))</f>
        <v>-</v>
      </c>
      <c r="H61" s="408" t="str">
        <f t="shared" si="0"/>
        <v>-</v>
      </c>
      <c r="L61" s="253"/>
    </row>
    <row r="62" spans="1:12" s="14" customFormat="1" ht="26.25" customHeight="1" x14ac:dyDescent="0.45">
      <c r="A62" s="265" t="s">
        <v>85</v>
      </c>
      <c r="B62" s="266">
        <v>1</v>
      </c>
      <c r="C62" s="460"/>
      <c r="D62" s="463"/>
      <c r="E62" s="325">
        <v>3</v>
      </c>
      <c r="F62" s="326"/>
      <c r="G62" s="390" t="str">
        <f>IF(ISBLANK(F62),"-",(F62/$D$50*$D$47*$B$68)*($B$57/$D$60))</f>
        <v>-</v>
      </c>
      <c r="H62" s="408" t="str">
        <f t="shared" si="0"/>
        <v>-</v>
      </c>
      <c r="L62" s="253"/>
    </row>
    <row r="63" spans="1:12" ht="27" customHeight="1" x14ac:dyDescent="0.45">
      <c r="A63" s="265" t="s">
        <v>86</v>
      </c>
      <c r="B63" s="266">
        <v>1</v>
      </c>
      <c r="C63" s="461"/>
      <c r="D63" s="464"/>
      <c r="E63" s="327">
        <v>4</v>
      </c>
      <c r="F63" s="328"/>
      <c r="G63" s="390" t="str">
        <f>IF(ISBLANK(F63),"-",(F63/$D$50*$D$47*$B$68)*($B$57/$D$60))</f>
        <v>-</v>
      </c>
      <c r="H63" s="408" t="str">
        <f t="shared" si="0"/>
        <v>-</v>
      </c>
    </row>
    <row r="64" spans="1:12" ht="26.25" customHeight="1" x14ac:dyDescent="0.45">
      <c r="A64" s="265" t="s">
        <v>87</v>
      </c>
      <c r="B64" s="266">
        <v>1</v>
      </c>
      <c r="C64" s="459" t="s">
        <v>88</v>
      </c>
      <c r="D64" s="462"/>
      <c r="E64" s="323">
        <v>1</v>
      </c>
      <c r="F64" s="324"/>
      <c r="G64" s="389" t="str">
        <f>IF(ISBLANK(F64),"-",(F64/$D$50*$D$47*$B$68)*($B$57/$D$64))</f>
        <v>-</v>
      </c>
      <c r="H64" s="407" t="str">
        <f t="shared" si="0"/>
        <v>-</v>
      </c>
    </row>
    <row r="65" spans="1:8" ht="26.25" customHeight="1" x14ac:dyDescent="0.45">
      <c r="A65" s="265" t="s">
        <v>89</v>
      </c>
      <c r="B65" s="266">
        <v>1</v>
      </c>
      <c r="C65" s="460"/>
      <c r="D65" s="463"/>
      <c r="E65" s="325">
        <v>2</v>
      </c>
      <c r="F65" s="278"/>
      <c r="G65" s="390" t="str">
        <f>IF(ISBLANK(F65),"-",(F65/$D$50*$D$47*$B$68)*($B$57/$D$64))</f>
        <v>-</v>
      </c>
      <c r="H65" s="408" t="str">
        <f t="shared" si="0"/>
        <v>-</v>
      </c>
    </row>
    <row r="66" spans="1:8" ht="26.25" customHeight="1" x14ac:dyDescent="0.45">
      <c r="A66" s="265" t="s">
        <v>90</v>
      </c>
      <c r="B66" s="266">
        <v>1</v>
      </c>
      <c r="C66" s="460"/>
      <c r="D66" s="463"/>
      <c r="E66" s="325">
        <v>3</v>
      </c>
      <c r="F66" s="278"/>
      <c r="G66" s="390" t="str">
        <f>IF(ISBLANK(F66),"-",(F66/$D$50*$D$47*$B$68)*($B$57/$D$64))</f>
        <v>-</v>
      </c>
      <c r="H66" s="408" t="str">
        <f t="shared" si="0"/>
        <v>-</v>
      </c>
    </row>
    <row r="67" spans="1:8" ht="27" customHeight="1" x14ac:dyDescent="0.45">
      <c r="A67" s="265" t="s">
        <v>91</v>
      </c>
      <c r="B67" s="266">
        <v>1</v>
      </c>
      <c r="C67" s="461"/>
      <c r="D67" s="464"/>
      <c r="E67" s="327">
        <v>4</v>
      </c>
      <c r="F67" s="328"/>
      <c r="G67" s="406" t="str">
        <f>IF(ISBLANK(F67),"-",(F67/$D$50*$D$47*$B$68)*($B$57/$D$64))</f>
        <v>-</v>
      </c>
      <c r="H67" s="409" t="str">
        <f t="shared" si="0"/>
        <v>-</v>
      </c>
    </row>
    <row r="68" spans="1:8" ht="26.25" customHeight="1" x14ac:dyDescent="0.5">
      <c r="A68" s="265" t="s">
        <v>92</v>
      </c>
      <c r="B68" s="329">
        <f>(B67/B66)*(B65/B64)*(B63/B62)*(B61/B60)*B59</f>
        <v>1</v>
      </c>
      <c r="C68" s="459" t="s">
        <v>93</v>
      </c>
      <c r="D68" s="462"/>
      <c r="E68" s="323">
        <v>1</v>
      </c>
      <c r="F68" s="324"/>
      <c r="G68" s="389" t="str">
        <f>IF(ISBLANK(F68),"-",(F68/$D$50*$D$47*$B$68)*($B$57/$D$68))</f>
        <v>-</v>
      </c>
      <c r="H68" s="408" t="str">
        <f t="shared" si="0"/>
        <v>-</v>
      </c>
    </row>
    <row r="69" spans="1:8" ht="27" customHeight="1" x14ac:dyDescent="0.5">
      <c r="A69" s="313" t="s">
        <v>94</v>
      </c>
      <c r="B69" s="330">
        <f>(D47*B68)/B56*B57</f>
        <v>0</v>
      </c>
      <c r="C69" s="460"/>
      <c r="D69" s="463"/>
      <c r="E69" s="325">
        <v>2</v>
      </c>
      <c r="F69" s="278"/>
      <c r="G69" s="390" t="str">
        <f>IF(ISBLANK(F69),"-",(F69/$D$50*$D$47*$B$68)*($B$57/$D$68))</f>
        <v>-</v>
      </c>
      <c r="H69" s="408" t="str">
        <f t="shared" si="0"/>
        <v>-</v>
      </c>
    </row>
    <row r="70" spans="1:8" ht="26.25" customHeight="1" x14ac:dyDescent="0.45">
      <c r="A70" s="472" t="s">
        <v>67</v>
      </c>
      <c r="B70" s="473"/>
      <c r="C70" s="460"/>
      <c r="D70" s="463"/>
      <c r="E70" s="325">
        <v>3</v>
      </c>
      <c r="F70" s="278"/>
      <c r="G70" s="390" t="str">
        <f>IF(ISBLANK(F70),"-",(F70/$D$50*$D$47*$B$68)*($B$57/$D$68))</f>
        <v>-</v>
      </c>
      <c r="H70" s="408" t="str">
        <f t="shared" si="0"/>
        <v>-</v>
      </c>
    </row>
    <row r="71" spans="1:8" ht="27" customHeight="1" x14ac:dyDescent="0.45">
      <c r="A71" s="474"/>
      <c r="B71" s="475"/>
      <c r="C71" s="471"/>
      <c r="D71" s="464"/>
      <c r="E71" s="327">
        <v>4</v>
      </c>
      <c r="F71" s="328"/>
      <c r="G71" s="406" t="str">
        <f>IF(ISBLANK(F71),"-",(F71/$D$50*$D$47*$B$68)*($B$57/$D$68))</f>
        <v>-</v>
      </c>
      <c r="H71" s="409" t="str">
        <f t="shared" si="0"/>
        <v>-</v>
      </c>
    </row>
    <row r="72" spans="1:8" ht="26.25" customHeight="1" x14ac:dyDescent="0.45">
      <c r="A72" s="331"/>
      <c r="B72" s="331"/>
      <c r="C72" s="331"/>
      <c r="D72" s="331"/>
      <c r="E72" s="331"/>
      <c r="F72" s="333" t="s">
        <v>60</v>
      </c>
      <c r="G72" s="395" t="e">
        <f>AVERAGE(G60:G71)</f>
        <v>#DIV/0!</v>
      </c>
      <c r="H72" s="410" t="e">
        <f>AVERAGE(H60:H71)</f>
        <v>#DIV/0!</v>
      </c>
    </row>
    <row r="73" spans="1:8" ht="26.25" customHeight="1" x14ac:dyDescent="0.45">
      <c r="C73" s="331"/>
      <c r="D73" s="331"/>
      <c r="E73" s="331"/>
      <c r="F73" s="334" t="s">
        <v>73</v>
      </c>
      <c r="G73" s="394" t="e">
        <f>STDEV(G60:G71)/G72</f>
        <v>#DIV/0!</v>
      </c>
      <c r="H73" s="394" t="e">
        <f>STDEV(H60:H71)/H72</f>
        <v>#DIV/0!</v>
      </c>
    </row>
    <row r="74" spans="1:8" ht="27" customHeight="1" x14ac:dyDescent="0.45">
      <c r="A74" s="331"/>
      <c r="B74" s="331"/>
      <c r="C74" s="332"/>
      <c r="D74" s="332"/>
      <c r="E74" s="335"/>
      <c r="F74" s="336" t="s">
        <v>16</v>
      </c>
      <c r="G74" s="337">
        <f>COUNT(G60:G71)</f>
        <v>0</v>
      </c>
      <c r="H74" s="337">
        <f>COUNT(H60:H71)</f>
        <v>0</v>
      </c>
    </row>
    <row r="76" spans="1:8" ht="26.25" customHeight="1" x14ac:dyDescent="0.45">
      <c r="A76" s="249" t="s">
        <v>95</v>
      </c>
      <c r="B76" s="338" t="s">
        <v>96</v>
      </c>
      <c r="C76" s="467">
        <f>B26</f>
        <v>0</v>
      </c>
      <c r="D76" s="467"/>
      <c r="E76" s="339" t="s">
        <v>97</v>
      </c>
      <c r="F76" s="339"/>
      <c r="G76" s="426" t="e">
        <f>H72</f>
        <v>#DIV/0!</v>
      </c>
      <c r="H76" s="341"/>
    </row>
    <row r="77" spans="1:8" ht="18" x14ac:dyDescent="0.35">
      <c r="A77" s="248" t="s">
        <v>98</v>
      </c>
      <c r="B77" s="248" t="s">
        <v>99</v>
      </c>
    </row>
    <row r="78" spans="1:8" ht="18" x14ac:dyDescent="0.35">
      <c r="A78" s="248"/>
      <c r="B78" s="248"/>
    </row>
    <row r="79" spans="1:8" ht="26.25" customHeight="1" x14ac:dyDescent="0.45">
      <c r="A79" s="249" t="s">
        <v>4</v>
      </c>
      <c r="B79" s="452" t="s">
        <v>120</v>
      </c>
      <c r="C79" s="453"/>
    </row>
    <row r="80" spans="1:8" ht="26.25" customHeight="1" x14ac:dyDescent="0.45">
      <c r="A80" s="250" t="s">
        <v>37</v>
      </c>
      <c r="B80" s="453" t="s">
        <v>128</v>
      </c>
      <c r="C80" s="453"/>
    </row>
    <row r="81" spans="1:12" ht="27" customHeight="1" x14ac:dyDescent="0.45">
      <c r="A81" s="250" t="s">
        <v>5</v>
      </c>
      <c r="B81" s="342">
        <v>99.9</v>
      </c>
    </row>
    <row r="82" spans="1:12" s="14" customFormat="1" ht="27" customHeight="1" x14ac:dyDescent="0.5">
      <c r="A82" s="250" t="s">
        <v>38</v>
      </c>
      <c r="B82" s="252">
        <v>0</v>
      </c>
      <c r="C82" s="443" t="s">
        <v>39</v>
      </c>
      <c r="D82" s="444"/>
      <c r="E82" s="444"/>
      <c r="F82" s="444"/>
      <c r="G82" s="445"/>
      <c r="I82" s="253"/>
      <c r="J82" s="253"/>
      <c r="K82" s="253"/>
      <c r="L82" s="253"/>
    </row>
    <row r="83" spans="1:12" s="14" customFormat="1" ht="19.5" customHeight="1" x14ac:dyDescent="0.35">
      <c r="A83" s="250" t="s">
        <v>40</v>
      </c>
      <c r="B83" s="254">
        <f>B81-B82</f>
        <v>99.9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14" customFormat="1" ht="27" customHeight="1" x14ac:dyDescent="0.45">
      <c r="A84" s="250" t="s">
        <v>41</v>
      </c>
      <c r="B84" s="257">
        <v>1</v>
      </c>
      <c r="C84" s="446" t="s">
        <v>100</v>
      </c>
      <c r="D84" s="447"/>
      <c r="E84" s="447"/>
      <c r="F84" s="447"/>
      <c r="G84" s="447"/>
      <c r="H84" s="448"/>
      <c r="I84" s="253"/>
      <c r="J84" s="253"/>
      <c r="K84" s="253"/>
      <c r="L84" s="253"/>
    </row>
    <row r="85" spans="1:12" s="14" customFormat="1" ht="27" customHeight="1" x14ac:dyDescent="0.45">
      <c r="A85" s="250" t="s">
        <v>43</v>
      </c>
      <c r="B85" s="257">
        <v>1</v>
      </c>
      <c r="C85" s="446" t="s">
        <v>101</v>
      </c>
      <c r="D85" s="447"/>
      <c r="E85" s="447"/>
      <c r="F85" s="447"/>
      <c r="G85" s="447"/>
      <c r="H85" s="448"/>
      <c r="I85" s="253"/>
      <c r="J85" s="253"/>
      <c r="K85" s="253"/>
      <c r="L85" s="253"/>
    </row>
    <row r="86" spans="1:12" s="14" customFormat="1" ht="18" x14ac:dyDescent="0.35">
      <c r="A86" s="250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14" customFormat="1" ht="18" x14ac:dyDescent="0.35">
      <c r="A87" s="250" t="s">
        <v>45</v>
      </c>
      <c r="B87" s="262">
        <f>B84/B85</f>
        <v>1</v>
      </c>
      <c r="C87" s="240" t="s">
        <v>46</v>
      </c>
      <c r="D87" s="240"/>
      <c r="E87" s="240"/>
      <c r="F87" s="240"/>
      <c r="G87" s="240"/>
      <c r="I87" s="253"/>
      <c r="J87" s="253"/>
      <c r="K87" s="253"/>
      <c r="L87" s="253"/>
    </row>
    <row r="88" spans="1:12" ht="19.5" customHeight="1" x14ac:dyDescent="0.35">
      <c r="A88" s="248"/>
      <c r="B88" s="248"/>
    </row>
    <row r="89" spans="1:12" ht="27" customHeight="1" x14ac:dyDescent="0.45">
      <c r="A89" s="263" t="s">
        <v>47</v>
      </c>
      <c r="B89" s="264">
        <v>25</v>
      </c>
      <c r="D89" s="343" t="s">
        <v>48</v>
      </c>
      <c r="E89" s="344"/>
      <c r="F89" s="449" t="s">
        <v>49</v>
      </c>
      <c r="G89" s="451"/>
    </row>
    <row r="90" spans="1:12" ht="27" customHeight="1" x14ac:dyDescent="0.45">
      <c r="A90" s="265" t="s">
        <v>50</v>
      </c>
      <c r="B90" s="266">
        <v>4</v>
      </c>
      <c r="C90" s="345" t="s">
        <v>51</v>
      </c>
      <c r="D90" s="268" t="s">
        <v>52</v>
      </c>
      <c r="E90" s="269" t="s">
        <v>53</v>
      </c>
      <c r="F90" s="268" t="s">
        <v>52</v>
      </c>
      <c r="G90" s="346" t="s">
        <v>53</v>
      </c>
      <c r="I90" s="271" t="s">
        <v>54</v>
      </c>
    </row>
    <row r="91" spans="1:12" ht="26.25" customHeight="1" x14ac:dyDescent="0.45">
      <c r="A91" s="265" t="s">
        <v>55</v>
      </c>
      <c r="B91" s="266">
        <v>100</v>
      </c>
      <c r="C91" s="347">
        <v>1</v>
      </c>
      <c r="D91" s="273">
        <v>6066822</v>
      </c>
      <c r="E91" s="274">
        <f>IF(ISBLANK(D91),"-",$D$101/$D$98*D91)</f>
        <v>6435537.4290201822</v>
      </c>
      <c r="F91" s="273">
        <v>6203758</v>
      </c>
      <c r="G91" s="275">
        <f>IF(ISBLANK(F91),"-",$D$101/$F$98*F91)</f>
        <v>6546455.7958759954</v>
      </c>
      <c r="I91" s="276"/>
    </row>
    <row r="92" spans="1:12" ht="26.25" customHeight="1" x14ac:dyDescent="0.45">
      <c r="A92" s="265" t="s">
        <v>56</v>
      </c>
      <c r="B92" s="266">
        <v>1</v>
      </c>
      <c r="C92" s="332">
        <v>2</v>
      </c>
      <c r="D92" s="278">
        <v>6081370</v>
      </c>
      <c r="E92" s="279">
        <f>IF(ISBLANK(D92),"-",$D$101/$D$98*D92)</f>
        <v>6450969.5940840971</v>
      </c>
      <c r="F92" s="278">
        <v>6097157</v>
      </c>
      <c r="G92" s="280">
        <f>IF(ISBLANK(F92),"-",$D$101/$F$98*F92)</f>
        <v>6433966.1187647702</v>
      </c>
      <c r="I92" s="454">
        <f>ABS((F96/D96*D95)-F95)/D95</f>
        <v>4.5706871398103728E-3</v>
      </c>
    </row>
    <row r="93" spans="1:12" ht="26.25" customHeight="1" x14ac:dyDescent="0.45">
      <c r="A93" s="265" t="s">
        <v>57</v>
      </c>
      <c r="B93" s="266">
        <v>1</v>
      </c>
      <c r="C93" s="332">
        <v>3</v>
      </c>
      <c r="D93" s="278">
        <v>6078068</v>
      </c>
      <c r="E93" s="279">
        <f>IF(ISBLANK(D93),"-",$D$101/$D$98*D93)</f>
        <v>6447466.9126817705</v>
      </c>
      <c r="F93" s="278">
        <v>6104259</v>
      </c>
      <c r="G93" s="280">
        <f>IF(ISBLANK(F93),"-",$D$101/$F$98*F93)</f>
        <v>6441460.4357678369</v>
      </c>
      <c r="I93" s="454"/>
    </row>
    <row r="94" spans="1:12" ht="27" customHeight="1" x14ac:dyDescent="0.45">
      <c r="A94" s="265" t="s">
        <v>58</v>
      </c>
      <c r="B94" s="266">
        <v>1</v>
      </c>
      <c r="C94" s="348">
        <v>4</v>
      </c>
      <c r="D94" s="283"/>
      <c r="E94" s="284" t="str">
        <f>IF(ISBLANK(D94),"-",$D$101/$D$98*D94)</f>
        <v>-</v>
      </c>
      <c r="F94" s="349"/>
      <c r="G94" s="285" t="str">
        <f>IF(ISBLANK(F94),"-",$D$101/$F$98*F94)</f>
        <v>-</v>
      </c>
      <c r="I94" s="286"/>
    </row>
    <row r="95" spans="1:12" ht="27" customHeight="1" x14ac:dyDescent="0.45">
      <c r="A95" s="265" t="s">
        <v>59</v>
      </c>
      <c r="B95" s="266">
        <v>1</v>
      </c>
      <c r="C95" s="350" t="s">
        <v>60</v>
      </c>
      <c r="D95" s="351">
        <f>AVERAGE(D91:D94)</f>
        <v>6075420</v>
      </c>
      <c r="E95" s="289">
        <f>AVERAGE(E91:E94)</f>
        <v>6444657.9785953499</v>
      </c>
      <c r="F95" s="352">
        <f>AVERAGE(F91:F94)</f>
        <v>6135058</v>
      </c>
      <c r="G95" s="353">
        <f>AVERAGE(G91:G94)</f>
        <v>6473960.7834695345</v>
      </c>
    </row>
    <row r="96" spans="1:12" ht="26.25" customHeight="1" x14ac:dyDescent="0.45">
      <c r="A96" s="265" t="s">
        <v>61</v>
      </c>
      <c r="B96" s="251">
        <v>1</v>
      </c>
      <c r="C96" s="354" t="s">
        <v>102</v>
      </c>
      <c r="D96" s="355">
        <v>20.97</v>
      </c>
      <c r="E96" s="281"/>
      <c r="F96" s="293">
        <v>21.08</v>
      </c>
    </row>
    <row r="97" spans="1:10" ht="26.25" customHeight="1" x14ac:dyDescent="0.45">
      <c r="A97" s="265" t="s">
        <v>63</v>
      </c>
      <c r="B97" s="251">
        <v>1</v>
      </c>
      <c r="C97" s="356" t="s">
        <v>103</v>
      </c>
      <c r="D97" s="357">
        <f>D96*$B$87</f>
        <v>20.97</v>
      </c>
      <c r="E97" s="296"/>
      <c r="F97" s="295">
        <f>F96*$B$87</f>
        <v>21.08</v>
      </c>
    </row>
    <row r="98" spans="1:10" ht="19.5" customHeight="1" x14ac:dyDescent="0.35">
      <c r="A98" s="265" t="s">
        <v>65</v>
      </c>
      <c r="B98" s="358">
        <f>(B97/B96)*(B95/B94)*(B93/B92)*(B91/B90)*B89</f>
        <v>625</v>
      </c>
      <c r="C98" s="356" t="s">
        <v>104</v>
      </c>
      <c r="D98" s="359">
        <f>D97*$B$83/100</f>
        <v>20.949029999999997</v>
      </c>
      <c r="E98" s="299"/>
      <c r="F98" s="298">
        <f>F97*$B$83/100</f>
        <v>21.058919999999997</v>
      </c>
    </row>
    <row r="99" spans="1:10" ht="19.5" customHeight="1" x14ac:dyDescent="0.35">
      <c r="A99" s="455" t="s">
        <v>67</v>
      </c>
      <c r="B99" s="469"/>
      <c r="C99" s="356" t="s">
        <v>105</v>
      </c>
      <c r="D99" s="360">
        <f>D98/$B$98</f>
        <v>3.3518447999999992E-2</v>
      </c>
      <c r="E99" s="299"/>
      <c r="F99" s="302">
        <f>F98/$B$98</f>
        <v>3.3694271999999997E-2</v>
      </c>
      <c r="G99" s="361"/>
      <c r="H99" s="291"/>
    </row>
    <row r="100" spans="1:10" ht="19.5" customHeight="1" x14ac:dyDescent="0.35">
      <c r="A100" s="457"/>
      <c r="B100" s="470"/>
      <c r="C100" s="356" t="s">
        <v>69</v>
      </c>
      <c r="D100" s="362">
        <f>$B$56/$B$116</f>
        <v>3.5555555555555556E-2</v>
      </c>
      <c r="F100" s="307"/>
      <c r="G100" s="363"/>
      <c r="H100" s="291"/>
    </row>
    <row r="101" spans="1:10" ht="18" x14ac:dyDescent="0.35">
      <c r="C101" s="356" t="s">
        <v>70</v>
      </c>
      <c r="D101" s="357">
        <f>D100*$B$98</f>
        <v>22.222222222222221</v>
      </c>
      <c r="F101" s="307"/>
      <c r="G101" s="361"/>
      <c r="H101" s="291"/>
    </row>
    <row r="102" spans="1:10" ht="19.5" customHeight="1" x14ac:dyDescent="0.35">
      <c r="C102" s="364" t="s">
        <v>71</v>
      </c>
      <c r="D102" s="365">
        <f>D101/B34</f>
        <v>22.222222222222221</v>
      </c>
      <c r="F102" s="311"/>
      <c r="G102" s="361"/>
      <c r="H102" s="291"/>
      <c r="J102" s="366"/>
    </row>
    <row r="103" spans="1:10" ht="18" x14ac:dyDescent="0.35">
      <c r="C103" s="367" t="s">
        <v>106</v>
      </c>
      <c r="D103" s="368">
        <f>AVERAGE(E91:E94,G91:G94)</f>
        <v>6459309.3810324417</v>
      </c>
      <c r="F103" s="311"/>
      <c r="G103" s="369"/>
      <c r="H103" s="291"/>
      <c r="J103" s="370"/>
    </row>
    <row r="104" spans="1:10" ht="18" x14ac:dyDescent="0.35">
      <c r="C104" s="334" t="s">
        <v>73</v>
      </c>
      <c r="D104" s="371">
        <f>STDEV(E91:E94,G91:G94)/D103</f>
        <v>6.6876864914392009E-3</v>
      </c>
      <c r="F104" s="311"/>
      <c r="G104" s="361"/>
      <c r="H104" s="291"/>
      <c r="J104" s="370"/>
    </row>
    <row r="105" spans="1:10" ht="19.5" customHeight="1" x14ac:dyDescent="0.35">
      <c r="C105" s="336" t="s">
        <v>16</v>
      </c>
      <c r="D105" s="372">
        <f>COUNT(E91:E94,G91:G94)</f>
        <v>6</v>
      </c>
      <c r="F105" s="311"/>
      <c r="G105" s="361"/>
      <c r="H105" s="291"/>
      <c r="J105" s="370"/>
    </row>
    <row r="106" spans="1:10" ht="19.5" customHeight="1" x14ac:dyDescent="0.35">
      <c r="A106" s="315"/>
      <c r="B106" s="315"/>
      <c r="C106" s="315"/>
      <c r="D106" s="315"/>
      <c r="E106" s="315"/>
    </row>
    <row r="107" spans="1:10" ht="27" customHeight="1" x14ac:dyDescent="0.45">
      <c r="A107" s="263" t="s">
        <v>107</v>
      </c>
      <c r="B107" s="264">
        <v>900</v>
      </c>
      <c r="C107" s="411" t="s">
        <v>108</v>
      </c>
      <c r="D107" s="411" t="s">
        <v>52</v>
      </c>
      <c r="E107" s="411" t="s">
        <v>109</v>
      </c>
      <c r="F107" s="373" t="s">
        <v>110</v>
      </c>
    </row>
    <row r="108" spans="1:10" ht="26.25" customHeight="1" x14ac:dyDescent="0.45">
      <c r="A108" s="265" t="s">
        <v>111</v>
      </c>
      <c r="B108" s="266">
        <v>20</v>
      </c>
      <c r="C108" s="416">
        <v>1</v>
      </c>
      <c r="D108" s="417">
        <f>(6268650+6254966)/2</f>
        <v>6261808</v>
      </c>
      <c r="E108" s="391">
        <f t="shared" ref="E108:E113" si="1">IF(ISBLANK(D108),"-",D108/$D$103*$D$100*$B$116)</f>
        <v>77.553900958979938</v>
      </c>
      <c r="F108" s="418">
        <f t="shared" ref="F108:F113" si="2">IF(ISBLANK(D108), "-", (E108/$B$56)*100)</f>
        <v>96.942376198724929</v>
      </c>
    </row>
    <row r="109" spans="1:10" ht="26.25" customHeight="1" x14ac:dyDescent="0.45">
      <c r="A109" s="265" t="s">
        <v>84</v>
      </c>
      <c r="B109" s="266">
        <v>50</v>
      </c>
      <c r="C109" s="412">
        <v>2</v>
      </c>
      <c r="D109" s="414">
        <f>(6366513+6304259)/2</f>
        <v>6335386</v>
      </c>
      <c r="E109" s="392">
        <f t="shared" si="1"/>
        <v>78.465181043703041</v>
      </c>
      <c r="F109" s="419">
        <f t="shared" si="2"/>
        <v>98.081476304628808</v>
      </c>
    </row>
    <row r="110" spans="1:10" ht="26.25" customHeight="1" x14ac:dyDescent="0.45">
      <c r="A110" s="265" t="s">
        <v>85</v>
      </c>
      <c r="B110" s="266">
        <v>1</v>
      </c>
      <c r="C110" s="412">
        <v>3</v>
      </c>
      <c r="D110" s="414">
        <f>(6257037+6203931)/2</f>
        <v>6230484</v>
      </c>
      <c r="E110" s="392">
        <f t="shared" si="1"/>
        <v>77.165946171219105</v>
      </c>
      <c r="F110" s="419">
        <f t="shared" si="2"/>
        <v>96.457432714023881</v>
      </c>
    </row>
    <row r="111" spans="1:10" ht="26.25" customHeight="1" x14ac:dyDescent="0.45">
      <c r="A111" s="265" t="s">
        <v>86</v>
      </c>
      <c r="B111" s="266">
        <v>1</v>
      </c>
      <c r="C111" s="412">
        <v>4</v>
      </c>
      <c r="D111" s="414">
        <f>(6337607+6390276)/2</f>
        <v>6363941.5</v>
      </c>
      <c r="E111" s="392">
        <f t="shared" si="1"/>
        <v>78.818847336063683</v>
      </c>
      <c r="F111" s="419">
        <f t="shared" si="2"/>
        <v>98.523559170079594</v>
      </c>
    </row>
    <row r="112" spans="1:10" ht="26.25" customHeight="1" x14ac:dyDescent="0.45">
      <c r="A112" s="265" t="s">
        <v>87</v>
      </c>
      <c r="B112" s="266">
        <v>1</v>
      </c>
      <c r="C112" s="412">
        <v>5</v>
      </c>
      <c r="D112" s="414">
        <f>(6256091+6303729)/2</f>
        <v>6279910</v>
      </c>
      <c r="E112" s="392">
        <f t="shared" si="1"/>
        <v>77.778098301849511</v>
      </c>
      <c r="F112" s="419">
        <f t="shared" si="2"/>
        <v>97.222622877311892</v>
      </c>
    </row>
    <row r="113" spans="1:10" ht="27" customHeight="1" x14ac:dyDescent="0.45">
      <c r="A113" s="265" t="s">
        <v>89</v>
      </c>
      <c r="B113" s="266">
        <v>1</v>
      </c>
      <c r="C113" s="413">
        <v>6</v>
      </c>
      <c r="D113" s="415">
        <f>(6233134+6262257)/2</f>
        <v>6247695.5</v>
      </c>
      <c r="E113" s="393">
        <f t="shared" si="1"/>
        <v>77.379114471230139</v>
      </c>
      <c r="F113" s="420">
        <f t="shared" si="2"/>
        <v>96.723893089037674</v>
      </c>
    </row>
    <row r="114" spans="1:10" ht="27" customHeight="1" x14ac:dyDescent="0.45">
      <c r="A114" s="265" t="s">
        <v>90</v>
      </c>
      <c r="B114" s="266">
        <v>1</v>
      </c>
      <c r="C114" s="374"/>
      <c r="D114" s="332"/>
      <c r="E114" s="239"/>
      <c r="F114" s="421"/>
    </row>
    <row r="115" spans="1:10" ht="26.25" customHeight="1" x14ac:dyDescent="0.45">
      <c r="A115" s="265" t="s">
        <v>91</v>
      </c>
      <c r="B115" s="266">
        <v>1</v>
      </c>
      <c r="C115" s="374"/>
      <c r="D115" s="398" t="s">
        <v>60</v>
      </c>
      <c r="E115" s="400">
        <f>AVERAGE(E108:E113)</f>
        <v>77.860181380507569</v>
      </c>
      <c r="F115" s="422">
        <f>AVERAGE(F108:F113)</f>
        <v>97.325226725634465</v>
      </c>
    </row>
    <row r="116" spans="1:10" ht="27" customHeight="1" x14ac:dyDescent="0.45">
      <c r="A116" s="265" t="s">
        <v>92</v>
      </c>
      <c r="B116" s="297">
        <f>(B115/B114)*(B113/B112)*(B111/B110)*(B109/B108)*B107</f>
        <v>2250</v>
      </c>
      <c r="C116" s="375"/>
      <c r="D116" s="399" t="s">
        <v>73</v>
      </c>
      <c r="E116" s="397">
        <f>STDEV(E108:E113)/E115</f>
        <v>8.3215767519754999E-3</v>
      </c>
      <c r="F116" s="376">
        <f>STDEV(F108:F113)/F115</f>
        <v>8.3215767519754721E-3</v>
      </c>
      <c r="I116" s="239"/>
    </row>
    <row r="117" spans="1:10" ht="27" customHeight="1" x14ac:dyDescent="0.45">
      <c r="A117" s="455" t="s">
        <v>67</v>
      </c>
      <c r="B117" s="456"/>
      <c r="C117" s="377"/>
      <c r="D117" s="336" t="s">
        <v>16</v>
      </c>
      <c r="E117" s="402">
        <f>COUNT(E108:E113)</f>
        <v>6</v>
      </c>
      <c r="F117" s="403">
        <f>COUNT(F108:F113)</f>
        <v>6</v>
      </c>
      <c r="I117" s="239"/>
      <c r="J117" s="370"/>
    </row>
    <row r="118" spans="1:10" ht="26.25" customHeight="1" x14ac:dyDescent="0.35">
      <c r="A118" s="457"/>
      <c r="B118" s="458"/>
      <c r="C118" s="239"/>
      <c r="D118" s="401"/>
      <c r="E118" s="434" t="s">
        <v>112</v>
      </c>
      <c r="F118" s="435"/>
      <c r="G118" s="239"/>
      <c r="H118" s="239"/>
      <c r="I118" s="239"/>
    </row>
    <row r="119" spans="1:10" ht="25.5" customHeight="1" x14ac:dyDescent="0.45">
      <c r="A119" s="386"/>
      <c r="B119" s="261"/>
      <c r="C119" s="239"/>
      <c r="D119" s="399" t="s">
        <v>113</v>
      </c>
      <c r="E119" s="404">
        <f>MIN(E108:E113)</f>
        <v>77.165946171219105</v>
      </c>
      <c r="F119" s="423">
        <f>MIN(F108:F113)</f>
        <v>96.457432714023881</v>
      </c>
      <c r="G119" s="239"/>
      <c r="H119" s="239"/>
      <c r="I119" s="239"/>
    </row>
    <row r="120" spans="1:10" ht="24" customHeight="1" x14ac:dyDescent="0.45">
      <c r="A120" s="386"/>
      <c r="B120" s="261"/>
      <c r="C120" s="239"/>
      <c r="D120" s="308" t="s">
        <v>114</v>
      </c>
      <c r="E120" s="405">
        <f>MAX(E108:E113)</f>
        <v>78.818847336063683</v>
      </c>
      <c r="F120" s="424">
        <f>MAX(F108:F113)</f>
        <v>98.523559170079594</v>
      </c>
      <c r="G120" s="239"/>
      <c r="H120" s="239"/>
      <c r="I120" s="239"/>
    </row>
    <row r="121" spans="1:10" ht="27" customHeight="1" x14ac:dyDescent="0.35">
      <c r="A121" s="386"/>
      <c r="B121" s="261"/>
      <c r="C121" s="239"/>
      <c r="D121" s="239"/>
      <c r="E121" s="239"/>
      <c r="F121" s="332"/>
      <c r="G121" s="239"/>
      <c r="H121" s="239"/>
      <c r="I121" s="239"/>
    </row>
    <row r="122" spans="1:10" ht="25.5" customHeight="1" x14ac:dyDescent="0.35">
      <c r="A122" s="386"/>
      <c r="B122" s="261"/>
      <c r="C122" s="239"/>
      <c r="D122" s="239"/>
      <c r="E122" s="239"/>
      <c r="F122" s="332"/>
      <c r="G122" s="239"/>
      <c r="H122" s="239"/>
      <c r="I122" s="239"/>
    </row>
    <row r="123" spans="1:10" ht="18" x14ac:dyDescent="0.35">
      <c r="A123" s="386"/>
      <c r="B123" s="261"/>
      <c r="C123" s="239"/>
      <c r="D123" s="239"/>
      <c r="E123" s="239"/>
      <c r="F123" s="332"/>
      <c r="G123" s="239"/>
      <c r="H123" s="239"/>
      <c r="I123" s="239"/>
    </row>
    <row r="124" spans="1:10" ht="45.75" customHeight="1" x14ac:dyDescent="0.85">
      <c r="A124" s="249" t="s">
        <v>95</v>
      </c>
      <c r="B124" s="338" t="s">
        <v>115</v>
      </c>
      <c r="C124" s="467">
        <f>B26</f>
        <v>0</v>
      </c>
      <c r="D124" s="467"/>
      <c r="E124" s="339" t="s">
        <v>116</v>
      </c>
      <c r="F124" s="339"/>
      <c r="G124" s="425">
        <f>F115</f>
        <v>97.325226725634465</v>
      </c>
      <c r="H124" s="239"/>
      <c r="I124" s="239"/>
    </row>
    <row r="125" spans="1:10" ht="45.75" customHeight="1" x14ac:dyDescent="0.85">
      <c r="A125" s="249"/>
      <c r="B125" s="338" t="s">
        <v>117</v>
      </c>
      <c r="C125" s="250" t="s">
        <v>118</v>
      </c>
      <c r="D125" s="425">
        <f>MIN(F108:F113)</f>
        <v>96.457432714023881</v>
      </c>
      <c r="E125" s="350" t="s">
        <v>119</v>
      </c>
      <c r="F125" s="425">
        <f>MAX(F108:F113)</f>
        <v>98.523559170079594</v>
      </c>
      <c r="G125" s="340"/>
      <c r="H125" s="239"/>
      <c r="I125" s="239"/>
    </row>
    <row r="126" spans="1:10" ht="19.5" customHeight="1" x14ac:dyDescent="0.35">
      <c r="A126" s="378"/>
      <c r="B126" s="378"/>
      <c r="C126" s="379"/>
      <c r="D126" s="379"/>
      <c r="E126" s="379"/>
      <c r="F126" s="379"/>
      <c r="G126" s="379"/>
      <c r="H126" s="379"/>
    </row>
    <row r="127" spans="1:10" ht="18" x14ac:dyDescent="0.35">
      <c r="B127" s="468" t="s">
        <v>22</v>
      </c>
      <c r="C127" s="468"/>
      <c r="E127" s="345" t="s">
        <v>23</v>
      </c>
      <c r="F127" s="380"/>
      <c r="G127" s="468" t="s">
        <v>24</v>
      </c>
      <c r="H127" s="468"/>
    </row>
    <row r="128" spans="1:10" ht="69.900000000000006" customHeight="1" x14ac:dyDescent="0.35">
      <c r="A128" s="381" t="s">
        <v>25</v>
      </c>
      <c r="B128" s="382"/>
      <c r="C128" s="382"/>
      <c r="E128" s="382"/>
      <c r="F128" s="239"/>
      <c r="G128" s="383"/>
      <c r="H128" s="383"/>
    </row>
    <row r="129" spans="1:9" ht="69.900000000000006" customHeight="1" x14ac:dyDescent="0.35">
      <c r="A129" s="381" t="s">
        <v>26</v>
      </c>
      <c r="B129" s="384"/>
      <c r="C129" s="384"/>
      <c r="E129" s="384"/>
      <c r="F129" s="239"/>
      <c r="G129" s="385"/>
      <c r="H129" s="385"/>
    </row>
    <row r="130" spans="1:9" ht="18" x14ac:dyDescent="0.35">
      <c r="A130" s="331"/>
      <c r="B130" s="331"/>
      <c r="C130" s="332"/>
      <c r="D130" s="332"/>
      <c r="E130" s="332"/>
      <c r="F130" s="335"/>
      <c r="G130" s="332"/>
      <c r="H130" s="332"/>
      <c r="I130" s="239"/>
    </row>
    <row r="131" spans="1:9" ht="18" x14ac:dyDescent="0.35">
      <c r="A131" s="331"/>
      <c r="B131" s="331"/>
      <c r="C131" s="332"/>
      <c r="D131" s="332"/>
      <c r="E131" s="332"/>
      <c r="F131" s="335"/>
      <c r="G131" s="332"/>
      <c r="H131" s="332"/>
      <c r="I131" s="239"/>
    </row>
    <row r="132" spans="1:9" ht="18" x14ac:dyDescent="0.35">
      <c r="A132" s="331"/>
      <c r="B132" s="331"/>
      <c r="C132" s="332"/>
      <c r="D132" s="332"/>
      <c r="E132" s="332"/>
      <c r="F132" s="335"/>
      <c r="G132" s="332"/>
      <c r="H132" s="332"/>
      <c r="I132" s="239"/>
    </row>
    <row r="133" spans="1:9" ht="18" x14ac:dyDescent="0.35">
      <c r="A133" s="331"/>
      <c r="B133" s="331"/>
      <c r="C133" s="332"/>
      <c r="D133" s="332"/>
      <c r="E133" s="332"/>
      <c r="F133" s="335"/>
      <c r="G133" s="332"/>
      <c r="H133" s="332"/>
      <c r="I133" s="239"/>
    </row>
    <row r="134" spans="1:9" ht="18" x14ac:dyDescent="0.35">
      <c r="A134" s="331"/>
      <c r="B134" s="331"/>
      <c r="C134" s="332"/>
      <c r="D134" s="332"/>
      <c r="E134" s="332"/>
      <c r="F134" s="335"/>
      <c r="G134" s="332"/>
      <c r="H134" s="332"/>
      <c r="I134" s="239"/>
    </row>
    <row r="135" spans="1:9" ht="18" x14ac:dyDescent="0.35">
      <c r="A135" s="331"/>
      <c r="B135" s="331"/>
      <c r="C135" s="332"/>
      <c r="D135" s="332"/>
      <c r="E135" s="332"/>
      <c r="F135" s="335"/>
      <c r="G135" s="332"/>
      <c r="H135" s="332"/>
      <c r="I135" s="239"/>
    </row>
    <row r="136" spans="1:9" ht="18" x14ac:dyDescent="0.35">
      <c r="A136" s="331"/>
      <c r="B136" s="331"/>
      <c r="C136" s="332"/>
      <c r="D136" s="332"/>
      <c r="E136" s="332"/>
      <c r="F136" s="335"/>
      <c r="G136" s="332"/>
      <c r="H136" s="332"/>
      <c r="I136" s="239"/>
    </row>
    <row r="137" spans="1:9" ht="18" x14ac:dyDescent="0.35">
      <c r="A137" s="331"/>
      <c r="B137" s="331"/>
      <c r="C137" s="332"/>
      <c r="D137" s="332"/>
      <c r="E137" s="332"/>
      <c r="F137" s="335"/>
      <c r="G137" s="332"/>
      <c r="H137" s="332"/>
      <c r="I137" s="239"/>
    </row>
    <row r="138" spans="1:9" ht="18" x14ac:dyDescent="0.35">
      <c r="A138" s="331"/>
      <c r="B138" s="331"/>
      <c r="C138" s="332"/>
      <c r="D138" s="332"/>
      <c r="E138" s="332"/>
      <c r="F138" s="335"/>
      <c r="G138" s="332"/>
      <c r="H138" s="332"/>
      <c r="I138" s="239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 SULFAMETHOXAZOLE</vt:lpstr>
      <vt:lpstr>SST TRIMETHOPRIM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2017-11-20T10:20:49Z</cp:lastPrinted>
  <dcterms:created xsi:type="dcterms:W3CDTF">2005-07-05T10:19:27Z</dcterms:created>
  <dcterms:modified xsi:type="dcterms:W3CDTF">2017-11-20T10:28:45Z</dcterms:modified>
</cp:coreProperties>
</file>