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25" windowWidth="14055" windowHeight="8640" activeTab="2"/>
  </bookViews>
  <sheets>
    <sheet name="SST" sheetId="1" r:id="rId1"/>
    <sheet name="Uniformity" sheetId="2" r:id="rId2"/>
    <sheet name="paracetamol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7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F45" i="3" s="1"/>
  <c r="B30" i="3"/>
  <c r="C46" i="2"/>
  <c r="C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G93" i="3" s="1"/>
  <c r="I39" i="3"/>
  <c r="F46" i="3"/>
  <c r="F98" i="3"/>
  <c r="F99" i="3" s="1"/>
  <c r="D45" i="3"/>
  <c r="D46" i="3" s="1"/>
  <c r="D98" i="3"/>
  <c r="D99" i="3" s="1"/>
  <c r="D26" i="2"/>
  <c r="D33" i="2"/>
  <c r="D41" i="2"/>
  <c r="D28" i="2"/>
  <c r="D34" i="2"/>
  <c r="D24" i="2"/>
  <c r="D29" i="2"/>
  <c r="D37" i="2"/>
  <c r="D25" i="2"/>
  <c r="D30" i="2"/>
  <c r="D38" i="2"/>
  <c r="D32" i="2"/>
  <c r="D36" i="2"/>
  <c r="D40" i="2"/>
  <c r="D49" i="2"/>
  <c r="D42" i="2"/>
  <c r="B49" i="2"/>
  <c r="D27" i="2"/>
  <c r="D31" i="2"/>
  <c r="D35" i="2"/>
  <c r="D39" i="2"/>
  <c r="D43" i="2"/>
  <c r="C49" i="2"/>
  <c r="B57" i="3"/>
  <c r="B69" i="3" s="1"/>
  <c r="D50" i="2"/>
  <c r="D49" i="3"/>
  <c r="E40" i="3"/>
  <c r="G38" i="3"/>
  <c r="G41" i="3"/>
  <c r="G39" i="3"/>
  <c r="G40" i="3"/>
  <c r="E94" i="3"/>
  <c r="D102" i="3"/>
  <c r="G94" i="3" l="1"/>
  <c r="G91" i="3"/>
  <c r="G95" i="3" s="1"/>
  <c r="E92" i="3"/>
  <c r="E38" i="3"/>
  <c r="E41" i="3"/>
  <c r="E39" i="3"/>
  <c r="E91" i="3"/>
  <c r="E93" i="3"/>
  <c r="G92" i="3"/>
  <c r="G42" i="3"/>
  <c r="D105" i="3" l="1"/>
  <c r="D103" i="3"/>
  <c r="E112" i="3" s="1"/>
  <c r="F112" i="3" s="1"/>
  <c r="E95" i="3"/>
  <c r="D50" i="3"/>
  <c r="G70" i="3" s="1"/>
  <c r="H70" i="3" s="1"/>
  <c r="D52" i="3"/>
  <c r="E42" i="3"/>
  <c r="E111" i="3"/>
  <c r="F111" i="3" s="1"/>
  <c r="E108" i="3" l="1"/>
  <c r="D104" i="3"/>
  <c r="E113" i="3"/>
  <c r="F113" i="3" s="1"/>
  <c r="E110" i="3"/>
  <c r="F110" i="3" s="1"/>
  <c r="E109" i="3"/>
  <c r="F109" i="3" s="1"/>
  <c r="D51" i="3"/>
  <c r="G62" i="3"/>
  <c r="H62" i="3" s="1"/>
  <c r="G69" i="3"/>
  <c r="H69" i="3" s="1"/>
  <c r="G68" i="3"/>
  <c r="H68" i="3" s="1"/>
  <c r="G63" i="3"/>
  <c r="H63" i="3" s="1"/>
  <c r="G64" i="3"/>
  <c r="H64" i="3" s="1"/>
  <c r="G65" i="3"/>
  <c r="H65" i="3" s="1"/>
  <c r="G60" i="3"/>
  <c r="H60" i="3" s="1"/>
  <c r="G71" i="3"/>
  <c r="H71" i="3" s="1"/>
  <c r="G67" i="3"/>
  <c r="H67" i="3" s="1"/>
  <c r="G66" i="3"/>
  <c r="H66" i="3" s="1"/>
  <c r="G61" i="3"/>
  <c r="H61" i="3" s="1"/>
  <c r="F108" i="3"/>
  <c r="E120" i="3" l="1"/>
  <c r="E119" i="3"/>
  <c r="E115" i="3"/>
  <c r="E116" i="3" s="1"/>
  <c r="E117" i="3"/>
  <c r="G72" i="3"/>
  <c r="G73" i="3" s="1"/>
  <c r="G74" i="3"/>
  <c r="F125" i="3"/>
  <c r="F120" i="3"/>
  <c r="F117" i="3"/>
  <c r="D125" i="3"/>
  <c r="F115" i="3"/>
  <c r="F119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<sst xmlns="http://schemas.openxmlformats.org/spreadsheetml/2006/main" count="238" uniqueCount="133">
  <si>
    <t>HPLC System Suitability Report</t>
  </si>
  <si>
    <t>Analysis Data</t>
  </si>
  <si>
    <t>Assay</t>
  </si>
  <si>
    <t>Sample(s)</t>
  </si>
  <si>
    <t>Reference Substance:</t>
  </si>
  <si>
    <t>DOLIPRANE</t>
  </si>
  <si>
    <t>% age Purity:</t>
  </si>
  <si>
    <t>NDQE201806459</t>
  </si>
  <si>
    <t>Weight (mg):</t>
  </si>
  <si>
    <t xml:space="preserve">Paracetamol 500mg </t>
  </si>
  <si>
    <t>Standard Conc (mg/mL):</t>
  </si>
  <si>
    <t>Each tablet contains 500 mg Paracetamol.</t>
  </si>
  <si>
    <t>2018-06-28 16:06:03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</si>
  <si>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</si>
  <si>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</si>
  <si>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</si>
  <si>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</si>
  <si>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</si>
  <si>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</si>
  <si>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</si>
  <si>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</si>
  <si>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</si>
  <si>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</si>
  <si>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</si>
  <si>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</si>
  <si>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</si>
  <si>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</si>
  <si>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</si>
  <si>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</si>
  <si>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</si>
  <si>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</si>
  <si>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</si>
  <si>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</si>
  <si>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</si>
  <si>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</si>
  <si>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</si>
  <si>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</si>
  <si>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</si>
  <si>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</si>
  <si>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</si>
  <si>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</si>
  <si>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</si>
  <si>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</si>
  <si>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</si>
  <si>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</si>
  <si>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</si>
  <si>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</si>
  <si>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</si>
  <si>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</si>
  <si>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</si>
  <si>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</si>
  <si>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</si>
  <si>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</si>
  <si>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</si>
  <si>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</si>
  <si>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</si>
  <si>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</si>
  <si>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</si>
  <si>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</si>
  <si>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</si>
  <si>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</si>
  <si>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</si>
  <si>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</si>
  <si>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</si>
  <si>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</si>
  <si>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</si>
  <si>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</si>
  <si>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</si>
  <si>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</si>
  <si>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</si>
  <si>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</si>
  <si>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</si>
  <si>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</si>
  <si>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</si>
  <si>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</si>
  <si>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</si>
  <si>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</si>
  <si>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</si>
  <si>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</si>
  <si>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</si>
  <si>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</si>
  <si>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</si>
  <si>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</si>
  <si>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</si>
  <si>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</si>
  <si>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</si>
  <si>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</si>
  <si>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</si>
  <si>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</si>
  <si>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</si>
  <si>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</si>
  <si>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</si>
  <si>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</si>
  <si>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</si>
  <si>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</si>
  <si>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</si>
  <si>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</si>
  <si>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</si>
  <si>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</si>
  <si>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</si>
  <si>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</si>
  <si>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</si>
  <si>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</si>
  <si>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</si>
  <si>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</si>
  <si>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</si>
  <si>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</si>
  <si>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</si>
  <si>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</si>
  <si>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</si>
  <si>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</si>
  <si>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</si>
  <si>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</si>
  <si>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</si>
  <si>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</si>
  <si>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</si>
  <si>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</si>
  <si>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</si>
  <si>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</si>
  <si>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</si>
  <si>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</si>
  <si>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</si>
  <si>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</si>
  <si>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</si>
  <si>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</si>
  <si>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</si>
  <si>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</si>
  <si>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</si>
  <si>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</si>
  <si>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</si>
  <si>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</si>
  <si>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Paracetamol</t>
  </si>
  <si>
    <t>P63-1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</si>
</sst>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2" fontId="6" fillId="2" borderId="0" xfId="0" applyNumberFormat="1" applyFont="1" applyFill="1"/>
    <xf numFmtId="2" fontId="13" fillId="3" borderId="16" xfId="0" applyNumberFormat="1" applyFont="1" applyFill="1" applyBorder="1" applyAlignment="1" applyProtection="1">
      <alignment horizontal="center"/>
      <protection locked="0"/>
    </xf>
    <xf numFmtId="2" fontId="13" fillId="3" borderId="4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9" sqref="C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B20/20*2/100</f>
        <v>1.1599999999999999E-2</v>
      </c>
      <c r="C21" s="10"/>
      <c r="D21" s="10"/>
      <c r="E21" s="10"/>
    </row>
    <row r="22" spans="1:6" ht="15.75" customHeight="1" x14ac:dyDescent="0.25">
      <c r="A22" s="10"/>
      <c r="B22" s="336">
        <v>43291.670868055553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90363008</v>
      </c>
      <c r="C24" s="18">
        <v>7756.3</v>
      </c>
      <c r="D24" s="19">
        <v>1.1000000000000001</v>
      </c>
      <c r="E24" s="20">
        <v>6.5</v>
      </c>
    </row>
    <row r="25" spans="1:6" ht="16.5" customHeight="1" x14ac:dyDescent="0.3">
      <c r="A25" s="17">
        <v>2</v>
      </c>
      <c r="B25" s="18">
        <v>90637182</v>
      </c>
      <c r="C25" s="18">
        <v>7525.8</v>
      </c>
      <c r="D25" s="19">
        <v>1.1000000000000001</v>
      </c>
      <c r="E25" s="19">
        <v>6.5</v>
      </c>
    </row>
    <row r="26" spans="1:6" ht="16.5" customHeight="1" x14ac:dyDescent="0.3">
      <c r="A26" s="17">
        <v>3</v>
      </c>
      <c r="B26" s="18">
        <v>90673032</v>
      </c>
      <c r="C26" s="18">
        <v>7439</v>
      </c>
      <c r="D26" s="19">
        <v>1.1000000000000001</v>
      </c>
      <c r="E26" s="19">
        <v>6.5</v>
      </c>
    </row>
    <row r="27" spans="1:6" ht="16.5" customHeight="1" x14ac:dyDescent="0.3">
      <c r="A27" s="17">
        <v>4</v>
      </c>
      <c r="B27" s="18">
        <v>89897904</v>
      </c>
      <c r="C27" s="18">
        <v>7453.7</v>
      </c>
      <c r="D27" s="19">
        <v>1.1000000000000001</v>
      </c>
      <c r="E27" s="19">
        <v>6.5</v>
      </c>
    </row>
    <row r="28" spans="1:6" ht="16.5" customHeight="1" x14ac:dyDescent="0.3">
      <c r="A28" s="17">
        <v>5</v>
      </c>
      <c r="B28" s="18">
        <v>90121268</v>
      </c>
      <c r="C28" s="18">
        <v>7397.7</v>
      </c>
      <c r="D28" s="19">
        <v>1.1000000000000001</v>
      </c>
      <c r="E28" s="19">
        <v>6.5</v>
      </c>
    </row>
    <row r="29" spans="1:6" ht="16.5" customHeight="1" x14ac:dyDescent="0.3">
      <c r="A29" s="17">
        <v>6</v>
      </c>
      <c r="B29" s="21">
        <v>90609771</v>
      </c>
      <c r="C29" s="21">
        <v>7381.4</v>
      </c>
      <c r="D29" s="22">
        <v>1.2</v>
      </c>
      <c r="E29" s="22">
        <v>6.5</v>
      </c>
    </row>
    <row r="30" spans="1:6" ht="16.5" customHeight="1" x14ac:dyDescent="0.3">
      <c r="A30" s="23" t="s">
        <v>18</v>
      </c>
      <c r="B30" s="24">
        <f>AVERAGE(B24:B29)</f>
        <v>90383694.166666672</v>
      </c>
      <c r="C30" s="25">
        <f>AVERAGE(C24:C29)</f>
        <v>7492.3166666666666</v>
      </c>
      <c r="D30" s="26">
        <f>AVERAGE(D24:D29)</f>
        <v>1.1166666666666667</v>
      </c>
      <c r="E30" s="26">
        <f>AVERAGE(E24:E29)</f>
        <v>6.5</v>
      </c>
    </row>
    <row r="31" spans="1:6" ht="16.5" customHeight="1" x14ac:dyDescent="0.3">
      <c r="A31" s="27" t="s">
        <v>19</v>
      </c>
      <c r="B31" s="28">
        <f>(STDEV(B24:B29)/B30)</f>
        <v>3.5139844258883896E-3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605.70000000000005</v>
      </c>
      <c r="D24" s="87">
        <f t="shared" ref="D24:D43" si="0">(C24-$C$46)/$C$46</f>
        <v>3.8732902083820002E-3</v>
      </c>
      <c r="E24" s="53"/>
    </row>
    <row r="25" spans="1:5" ht="15.75" customHeight="1" x14ac:dyDescent="0.3">
      <c r="C25" s="95">
        <v>600.57000000000005</v>
      </c>
      <c r="D25" s="88">
        <f t="shared" si="0"/>
        <v>-4.6290541514809594E-3</v>
      </c>
      <c r="E25" s="53"/>
    </row>
    <row r="26" spans="1:5" ht="15.75" customHeight="1" x14ac:dyDescent="0.3">
      <c r="C26" s="95">
        <v>605.87</v>
      </c>
      <c r="D26" s="88">
        <f t="shared" si="0"/>
        <v>4.1550443099758324E-3</v>
      </c>
      <c r="E26" s="53"/>
    </row>
    <row r="27" spans="1:5" ht="15.75" customHeight="1" x14ac:dyDescent="0.3">
      <c r="C27" s="95">
        <v>603.22</v>
      </c>
      <c r="D27" s="88">
        <f t="shared" si="0"/>
        <v>-2.3700492075256371E-4</v>
      </c>
      <c r="E27" s="53"/>
    </row>
    <row r="28" spans="1:5" ht="15.75" customHeight="1" x14ac:dyDescent="0.3">
      <c r="C28" s="95">
        <v>599.58000000000004</v>
      </c>
      <c r="D28" s="88">
        <f t="shared" si="0"/>
        <v>-6.269857448998389E-3</v>
      </c>
      <c r="E28" s="53"/>
    </row>
    <row r="29" spans="1:5" ht="15.75" customHeight="1" x14ac:dyDescent="0.3">
      <c r="C29" s="95">
        <v>603</v>
      </c>
      <c r="D29" s="88">
        <f t="shared" si="0"/>
        <v>-6.0162787575647881E-4</v>
      </c>
      <c r="E29" s="53"/>
    </row>
    <row r="30" spans="1:5" ht="15.75" customHeight="1" x14ac:dyDescent="0.3">
      <c r="C30" s="95">
        <v>605.91</v>
      </c>
      <c r="D30" s="88">
        <f t="shared" si="0"/>
        <v>4.2213393927037482E-3</v>
      </c>
      <c r="E30" s="53"/>
    </row>
    <row r="31" spans="1:5" ht="15.75" customHeight="1" x14ac:dyDescent="0.3">
      <c r="C31" s="95">
        <v>599.09</v>
      </c>
      <c r="D31" s="88">
        <f t="shared" si="0"/>
        <v>-7.0819722124161148E-3</v>
      </c>
      <c r="E31" s="53"/>
    </row>
    <row r="32" spans="1:5" ht="15.75" customHeight="1" x14ac:dyDescent="0.3">
      <c r="C32" s="95">
        <v>604.22</v>
      </c>
      <c r="D32" s="88">
        <f t="shared" si="0"/>
        <v>1.4203721474468451E-3</v>
      </c>
      <c r="E32" s="53"/>
    </row>
    <row r="33" spans="1:7" ht="15.75" customHeight="1" x14ac:dyDescent="0.3">
      <c r="C33" s="95">
        <v>606.47</v>
      </c>
      <c r="D33" s="88">
        <f t="shared" si="0"/>
        <v>5.1494705508955147E-3</v>
      </c>
      <c r="E33" s="53"/>
    </row>
    <row r="34" spans="1:7" ht="15.75" customHeight="1" x14ac:dyDescent="0.3">
      <c r="C34" s="95"/>
      <c r="D34" s="88">
        <f t="shared" si="0"/>
        <v>-1</v>
      </c>
      <c r="E34" s="53"/>
    </row>
    <row r="35" spans="1:7" ht="15.75" customHeight="1" x14ac:dyDescent="0.3">
      <c r="C35" s="95"/>
      <c r="D35" s="88">
        <f t="shared" si="0"/>
        <v>-1</v>
      </c>
      <c r="E35" s="53"/>
    </row>
    <row r="36" spans="1:7" ht="15.75" customHeight="1" x14ac:dyDescent="0.3">
      <c r="C36" s="95"/>
      <c r="D36" s="88">
        <f t="shared" si="0"/>
        <v>-1</v>
      </c>
      <c r="E36" s="53"/>
    </row>
    <row r="37" spans="1:7" ht="15.75" customHeight="1" x14ac:dyDescent="0.3">
      <c r="C37" s="95"/>
      <c r="D37" s="88">
        <f t="shared" si="0"/>
        <v>-1</v>
      </c>
      <c r="E37" s="53"/>
    </row>
    <row r="38" spans="1:7" ht="15.75" customHeight="1" x14ac:dyDescent="0.3">
      <c r="C38" s="95"/>
      <c r="D38" s="88">
        <f t="shared" si="0"/>
        <v>-1</v>
      </c>
      <c r="E38" s="53"/>
    </row>
    <row r="39" spans="1:7" ht="15.75" customHeight="1" x14ac:dyDescent="0.3">
      <c r="C39" s="95"/>
      <c r="D39" s="88">
        <f t="shared" si="0"/>
        <v>-1</v>
      </c>
      <c r="E39" s="53"/>
    </row>
    <row r="40" spans="1:7" ht="15.75" customHeight="1" x14ac:dyDescent="0.3">
      <c r="C40" s="95"/>
      <c r="D40" s="88">
        <f t="shared" si="0"/>
        <v>-1</v>
      </c>
      <c r="E40" s="53"/>
    </row>
    <row r="41" spans="1:7" ht="15.75" customHeight="1" x14ac:dyDescent="0.3">
      <c r="C41" s="95"/>
      <c r="D41" s="88">
        <f t="shared" si="0"/>
        <v>-1</v>
      </c>
      <c r="E41" s="53"/>
    </row>
    <row r="42" spans="1:7" ht="15.75" customHeight="1" x14ac:dyDescent="0.3">
      <c r="C42" s="95"/>
      <c r="D42" s="88">
        <f t="shared" si="0"/>
        <v>-1</v>
      </c>
      <c r="E42" s="53"/>
    </row>
    <row r="43" spans="1:7" ht="16.5" customHeight="1" x14ac:dyDescent="0.3">
      <c r="C43" s="96"/>
      <c r="D43" s="89">
        <f t="shared" si="0"/>
        <v>-1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6033.63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603.36300000000006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603.36300000000006</v>
      </c>
      <c r="C49" s="93">
        <f>-IF(C46&lt;=80,10%,IF(C46&lt;250,7.5%,5%))</f>
        <v>-0.05</v>
      </c>
      <c r="D49" s="81">
        <f>IF(C46&lt;=80,C46*0.9,IF(C46&lt;250,C46*0.925,C46*0.95))</f>
        <v>573.19484999999997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633.53115000000014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46" zoomScaleNormal="40" zoomScalePageLayoutView="46" workbookViewId="0">
      <selection activeCell="C129" sqref="C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43292.67087962963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90728281</v>
      </c>
      <c r="E38" s="133">
        <f>IF(ISBLANK(D38),"-",$D$48/$D$45*D38)</f>
        <v>78292327.672500089</v>
      </c>
      <c r="F38" s="132">
        <v>88890935</v>
      </c>
      <c r="G38" s="134">
        <f>IF(ISBLANK(F38),"-",$D$48/$F$45*F38)</f>
        <v>80306782.414183125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91547825</v>
      </c>
      <c r="E39" s="138">
        <f>IF(ISBLANK(D39),"-",$D$48/$D$45*D39)</f>
        <v>78999538.331434876</v>
      </c>
      <c r="F39" s="137">
        <v>88659124</v>
      </c>
      <c r="G39" s="139">
        <f>IF(ISBLANK(F39),"-",$D$48/$F$45*F39)</f>
        <v>80097357.285082906</v>
      </c>
      <c r="I39" s="314">
        <f>ABS((F43/D43*D42)-F42)/D42</f>
        <v>2.2519684178303873E-2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90797444</v>
      </c>
      <c r="E40" s="138">
        <f>IF(ISBLANK(D40),"-",$D$48/$D$45*D40)</f>
        <v>78352010.631320983</v>
      </c>
      <c r="F40" s="137">
        <v>89431793</v>
      </c>
      <c r="G40" s="139">
        <f>IF(ISBLANK(F40),"-",$D$48/$F$45*F40)</f>
        <v>80795410.03096959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91024516.666666672</v>
      </c>
      <c r="E42" s="148">
        <f>AVERAGE(E38:E41)</f>
        <v>78547958.878418654</v>
      </c>
      <c r="F42" s="147">
        <f>AVERAGE(F38:F41)</f>
        <v>88993950.666666672</v>
      </c>
      <c r="G42" s="149">
        <f>AVERAGE(G38:G41)</f>
        <v>80399849.91007854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337">
        <v>11.6</v>
      </c>
      <c r="E43" s="140"/>
      <c r="F43" s="152">
        <v>11.08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11.6</v>
      </c>
      <c r="E44" s="155"/>
      <c r="F44" s="154">
        <f>F43*$B$34</f>
        <v>11.08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11.5884</v>
      </c>
      <c r="E45" s="158"/>
      <c r="F45" s="157">
        <f>F44*$B$30/100</f>
        <v>11.06892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1.15884E-2</v>
      </c>
      <c r="E46" s="160"/>
      <c r="F46" s="161">
        <f>F45/$B$45</f>
        <v>1.1068919999999999E-2</v>
      </c>
      <c r="H46" s="150"/>
    </row>
    <row r="47" spans="1:14" ht="27" customHeight="1" x14ac:dyDescent="0.4">
      <c r="A47" s="317"/>
      <c r="B47" s="318"/>
      <c r="C47" s="162" t="s">
        <v>80</v>
      </c>
      <c r="D47" s="338">
        <v>0.01</v>
      </c>
      <c r="E47" s="163"/>
      <c r="F47" s="160"/>
      <c r="H47" s="150"/>
    </row>
    <row r="48" spans="1:14" ht="18.75" x14ac:dyDescent="0.3">
      <c r="C48" s="164" t="s">
        <v>81</v>
      </c>
      <c r="D48" s="157">
        <f>D47*$B$45</f>
        <v>10</v>
      </c>
      <c r="F48" s="165"/>
      <c r="H48" s="150"/>
    </row>
    <row r="49" spans="1:12" ht="19.5" customHeight="1" x14ac:dyDescent="0.3">
      <c r="C49" s="166" t="s">
        <v>82</v>
      </c>
      <c r="D49" s="167">
        <f>D48/B34</f>
        <v>10</v>
      </c>
      <c r="F49" s="165"/>
      <c r="H49" s="150"/>
    </row>
    <row r="50" spans="1:12" ht="18.75" x14ac:dyDescent="0.3">
      <c r="C50" s="122" t="s">
        <v>83</v>
      </c>
      <c r="D50" s="168">
        <f>AVERAGE(E38:E41,G38:G41)</f>
        <v>79473904.394248605</v>
      </c>
      <c r="F50" s="169"/>
      <c r="H50" s="150"/>
    </row>
    <row r="51" spans="1:12" ht="18.75" x14ac:dyDescent="0.3">
      <c r="C51" s="124" t="s">
        <v>84</v>
      </c>
      <c r="D51" s="170">
        <f>STDEV(E38:E41,G38:G41)/D50</f>
        <v>1.3444767810474966E-2</v>
      </c>
      <c r="F51" s="169"/>
      <c r="H51" s="150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 500 mg Paracetamol.</v>
      </c>
    </row>
    <row r="56" spans="1:12" ht="26.25" customHeight="1" x14ac:dyDescent="0.4">
      <c r="A56" s="176" t="s">
        <v>87</v>
      </c>
      <c r="B56" s="177">
        <v>500</v>
      </c>
      <c r="C56" s="99" t="str">
        <f>B20</f>
        <v xml:space="preserve">Paracetamol 500mg </v>
      </c>
      <c r="H56" s="178"/>
    </row>
    <row r="57" spans="1:12" ht="18.75" x14ac:dyDescent="0.3">
      <c r="A57" s="175" t="s">
        <v>88</v>
      </c>
      <c r="B57" s="246">
        <f>Uniformity!C46</f>
        <v>603.36300000000006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9" t="s">
        <v>94</v>
      </c>
      <c r="D60" s="322">
        <v>130.99</v>
      </c>
      <c r="E60" s="181">
        <v>1</v>
      </c>
      <c r="F60" s="182">
        <v>83379187</v>
      </c>
      <c r="G60" s="247">
        <f>IF(ISBLANK(F60),"-",(F60/$D$50*$D$47*$B$68)*($B$57/$D$60))</f>
        <v>483.25197642249458</v>
      </c>
      <c r="H60" s="265">
        <f t="shared" ref="H60:H71" si="0">IF(ISBLANK(F60),"-",(G60/$B$56)*100)</f>
        <v>96.650395284498913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20"/>
      <c r="D61" s="323"/>
      <c r="E61" s="183">
        <v>2</v>
      </c>
      <c r="F61" s="137">
        <v>83788281</v>
      </c>
      <c r="G61" s="248">
        <f>IF(ISBLANK(F61),"-",(F61/$D$50*$D$47*$B$68)*($B$57/$D$60))</f>
        <v>485.62301757983511</v>
      </c>
      <c r="H61" s="266">
        <f t="shared" si="0"/>
        <v>97.124603515967024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3">
        <v>3</v>
      </c>
      <c r="F62" s="184">
        <v>84087997</v>
      </c>
      <c r="G62" s="248">
        <f>IF(ISBLANK(F62),"-",(F62/$D$50*$D$47*$B$68)*($B$57/$D$60))</f>
        <v>487.36012194096833</v>
      </c>
      <c r="H62" s="266">
        <f t="shared" si="0"/>
        <v>97.472024388193674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129.07</v>
      </c>
      <c r="E64" s="181">
        <v>1</v>
      </c>
      <c r="F64" s="182">
        <v>83132401</v>
      </c>
      <c r="G64" s="247">
        <f>IF(ISBLANK(F64),"-",(F64/$D$50*$D$47*$B$68)*($B$57/$D$64))</f>
        <v>488.98905520542667</v>
      </c>
      <c r="H64" s="265">
        <f t="shared" si="0"/>
        <v>97.797811041085339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3">
        <v>2</v>
      </c>
      <c r="F65" s="137">
        <v>83196930</v>
      </c>
      <c r="G65" s="248">
        <f>IF(ISBLANK(F65),"-",(F65/$D$50*$D$47*$B$68)*($B$57/$D$64))</f>
        <v>489.36861809984316</v>
      </c>
      <c r="H65" s="266">
        <f t="shared" si="0"/>
        <v>97.873723619968629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3">
        <v>3</v>
      </c>
      <c r="F66" s="137">
        <v>82994621</v>
      </c>
      <c r="G66" s="248">
        <f>IF(ISBLANK(F66),"-",(F66/$D$50*$D$47*$B$68)*($B$57/$D$64))</f>
        <v>488.17862616433354</v>
      </c>
      <c r="H66" s="266">
        <f t="shared" si="0"/>
        <v>97.635725232866704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10000</v>
      </c>
      <c r="C68" s="319" t="s">
        <v>104</v>
      </c>
      <c r="D68" s="322">
        <v>128.86000000000001</v>
      </c>
      <c r="E68" s="181">
        <v>1</v>
      </c>
      <c r="F68" s="182">
        <v>81303392</v>
      </c>
      <c r="G68" s="247">
        <f>IF(ISBLANK(F68),"-",(F68/$D$50*$D$47*$B$68)*($B$57/$D$68))</f>
        <v>479.01009122735985</v>
      </c>
      <c r="H68" s="266">
        <f t="shared" si="0"/>
        <v>95.80201824547197</v>
      </c>
    </row>
    <row r="69" spans="1:8" ht="27" customHeight="1" x14ac:dyDescent="0.4">
      <c r="A69" s="171" t="s">
        <v>105</v>
      </c>
      <c r="B69" s="188">
        <f>(D47*B68)/B56*B57</f>
        <v>120.67260000000002</v>
      </c>
      <c r="C69" s="320"/>
      <c r="D69" s="323"/>
      <c r="E69" s="183">
        <v>2</v>
      </c>
      <c r="F69" s="137">
        <v>81552305</v>
      </c>
      <c r="G69" s="248">
        <f>IF(ISBLANK(F69),"-",(F69/$D$50*$D$47*$B$68)*($B$57/$D$68))</f>
        <v>480.47659632517525</v>
      </c>
      <c r="H69" s="266">
        <f t="shared" si="0"/>
        <v>96.095319265035045</v>
      </c>
    </row>
    <row r="70" spans="1:8" ht="26.25" customHeight="1" x14ac:dyDescent="0.4">
      <c r="A70" s="332" t="s">
        <v>78</v>
      </c>
      <c r="B70" s="333"/>
      <c r="C70" s="320"/>
      <c r="D70" s="323"/>
      <c r="E70" s="183">
        <v>3</v>
      </c>
      <c r="F70" s="137">
        <v>81363318</v>
      </c>
      <c r="G70" s="248">
        <f>IF(ISBLANK(F70),"-",(F70/$D$50*$D$47*$B$68)*($B$57/$D$68))</f>
        <v>479.36315348000107</v>
      </c>
      <c r="H70" s="266">
        <f t="shared" si="0"/>
        <v>95.872630696000215</v>
      </c>
    </row>
    <row r="71" spans="1:8" ht="27" customHeight="1" x14ac:dyDescent="0.4">
      <c r="A71" s="334"/>
      <c r="B71" s="335"/>
      <c r="C71" s="331"/>
      <c r="D71" s="324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484.62458404949314</v>
      </c>
      <c r="H72" s="268">
        <f>AVERAGE(H60:H71)</f>
        <v>96.924916809898619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8.6616109740827937E-3</v>
      </c>
      <c r="H73" s="252">
        <f>STDEV(H60:H71)/H72</f>
        <v>8.6616109740828111E-3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327" t="str">
        <f>B26</f>
        <v>Paracetamol</v>
      </c>
      <c r="D76" s="327"/>
      <c r="E76" s="197" t="s">
        <v>108</v>
      </c>
      <c r="F76" s="197"/>
      <c r="G76" s="284">
        <f>H72</f>
        <v>96.924916809898619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Paracetamol</v>
      </c>
      <c r="C79" s="313"/>
    </row>
    <row r="80" spans="1:8" ht="26.25" customHeight="1" x14ac:dyDescent="0.4">
      <c r="A80" s="109" t="s">
        <v>48</v>
      </c>
      <c r="B80" s="313" t="str">
        <f>B27</f>
        <v>P63-1</v>
      </c>
      <c r="C80" s="313"/>
    </row>
    <row r="81" spans="1:12" ht="27" customHeight="1" x14ac:dyDescent="0.4">
      <c r="A81" s="109" t="s">
        <v>6</v>
      </c>
      <c r="B81" s="200">
        <f>B28</f>
        <v>99.9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1" t="s">
        <v>59</v>
      </c>
      <c r="E89" s="202"/>
      <c r="F89" s="310" t="s">
        <v>60</v>
      </c>
      <c r="G89" s="312"/>
    </row>
    <row r="90" spans="1:12" ht="27" customHeight="1" x14ac:dyDescent="0.4">
      <c r="A90" s="124" t="s">
        <v>61</v>
      </c>
      <c r="B90" s="125">
        <v>1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5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4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4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2"/>
      <c r="E94" s="143" t="str">
        <f>IF(ISBLANK(D94),"-",$D$101/$D$98*D94)</f>
        <v>-</v>
      </c>
      <c r="F94" s="207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 t="e">
        <f>AVERAGE(D91:D94)</f>
        <v>#DIV/0!</v>
      </c>
      <c r="E95" s="148" t="e">
        <f>AVERAGE(E91:E94)</f>
        <v>#DIV/0!</v>
      </c>
      <c r="F95" s="210" t="e">
        <f>AVERAGE(F91:F94)</f>
        <v>#DIV/0!</v>
      </c>
      <c r="G95" s="211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6">
        <f>(B97/B96)*(B95/B94)*(B93/B92)*(B91/B90)*B89</f>
        <v>1</v>
      </c>
      <c r="C98" s="214" t="s">
        <v>115</v>
      </c>
      <c r="D98" s="217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315" t="s">
        <v>78</v>
      </c>
      <c r="B99" s="329"/>
      <c r="C99" s="214" t="s">
        <v>116</v>
      </c>
      <c r="D99" s="218">
        <f>D98/$B$98</f>
        <v>0</v>
      </c>
      <c r="E99" s="158"/>
      <c r="F99" s="161">
        <f>F98/$B$98</f>
        <v>0</v>
      </c>
      <c r="G99" s="219"/>
      <c r="H99" s="150"/>
    </row>
    <row r="100" spans="1:10" ht="19.5" customHeight="1" x14ac:dyDescent="0.3">
      <c r="A100" s="317"/>
      <c r="B100" s="330"/>
      <c r="C100" s="214" t="s">
        <v>80</v>
      </c>
      <c r="D100" s="220">
        <f>$B$56/$B$116</f>
        <v>500</v>
      </c>
      <c r="F100" s="165"/>
      <c r="G100" s="221"/>
      <c r="H100" s="150"/>
    </row>
    <row r="101" spans="1:10" ht="18.75" x14ac:dyDescent="0.3">
      <c r="C101" s="214" t="s">
        <v>81</v>
      </c>
      <c r="D101" s="215">
        <f>D100*$B$98</f>
        <v>500</v>
      </c>
      <c r="F101" s="165"/>
      <c r="G101" s="219"/>
      <c r="H101" s="150"/>
    </row>
    <row r="102" spans="1:10" ht="19.5" customHeight="1" x14ac:dyDescent="0.3">
      <c r="C102" s="222" t="s">
        <v>82</v>
      </c>
      <c r="D102" s="223">
        <f>D101/B34</f>
        <v>500</v>
      </c>
      <c r="F102" s="169"/>
      <c r="G102" s="219"/>
      <c r="H102" s="150"/>
      <c r="J102" s="224"/>
    </row>
    <row r="103" spans="1:10" ht="18.75" x14ac:dyDescent="0.3">
      <c r="C103" s="225" t="s">
        <v>117</v>
      </c>
      <c r="D103" s="226" t="e">
        <f>AVERAGE(E91:E94,G91:G94)</f>
        <v>#DIV/0!</v>
      </c>
      <c r="F103" s="169"/>
      <c r="G103" s="227"/>
      <c r="H103" s="150"/>
      <c r="J103" s="228"/>
    </row>
    <row r="104" spans="1:10" ht="18.75" x14ac:dyDescent="0.3">
      <c r="C104" s="192" t="s">
        <v>84</v>
      </c>
      <c r="D104" s="229" t="e">
        <f>STDEV(E91:E94,G91:G94)/D103</f>
        <v>#DIV/0!</v>
      </c>
      <c r="F104" s="169"/>
      <c r="G104" s="219"/>
      <c r="H104" s="150"/>
      <c r="J104" s="228"/>
    </row>
    <row r="105" spans="1:10" ht="19.5" customHeight="1" x14ac:dyDescent="0.3">
      <c r="C105" s="194" t="s">
        <v>20</v>
      </c>
      <c r="D105" s="230">
        <f>COUNT(E91:E94,G91:G94)</f>
        <v>0</v>
      </c>
      <c r="F105" s="169"/>
      <c r="G105" s="219"/>
      <c r="H105" s="150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1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1</v>
      </c>
      <c r="C108" s="274">
        <v>1</v>
      </c>
      <c r="D108" s="275"/>
      <c r="E108" s="249" t="str">
        <f t="shared" ref="E108:E113" si="1">IF(ISBLANK(D108),"-",D108/$D$103*$D$100*$B$116)</f>
        <v>-</v>
      </c>
      <c r="F108" s="276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0">
        <v>2</v>
      </c>
      <c r="D109" s="272"/>
      <c r="E109" s="250" t="str">
        <f t="shared" si="1"/>
        <v>-</v>
      </c>
      <c r="F109" s="277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/>
      <c r="E110" s="250" t="str">
        <f t="shared" si="1"/>
        <v>-</v>
      </c>
      <c r="F110" s="277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/>
      <c r="E111" s="250" t="str">
        <f t="shared" si="1"/>
        <v>-</v>
      </c>
      <c r="F111" s="277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/>
      <c r="E112" s="250" t="str">
        <f t="shared" si="1"/>
        <v>-</v>
      </c>
      <c r="F112" s="277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/>
      <c r="E113" s="251" t="str">
        <f t="shared" si="1"/>
        <v>-</v>
      </c>
      <c r="F113" s="278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 t="e">
        <f>AVERAGE(E108:E113)</f>
        <v>#DIV/0!</v>
      </c>
      <c r="F115" s="280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3"/>
      <c r="D116" s="257" t="s">
        <v>84</v>
      </c>
      <c r="E116" s="255" t="e">
        <f>STDEV(E108:E113)/E115</f>
        <v>#DIV/0!</v>
      </c>
      <c r="F116" s="234" t="e">
        <f>STDEV(F108:F113)/F115</f>
        <v>#DIV/0!</v>
      </c>
      <c r="I116" s="98"/>
    </row>
    <row r="117" spans="1:10" ht="27" customHeight="1" x14ac:dyDescent="0.4">
      <c r="A117" s="315" t="s">
        <v>78</v>
      </c>
      <c r="B117" s="316"/>
      <c r="C117" s="235"/>
      <c r="D117" s="194" t="s">
        <v>20</v>
      </c>
      <c r="E117" s="260">
        <f>COUNT(E108:E113)</f>
        <v>0</v>
      </c>
      <c r="F117" s="261">
        <f>COUNT(F108:F113)</f>
        <v>0</v>
      </c>
      <c r="I117" s="98"/>
      <c r="J117" s="228"/>
    </row>
    <row r="118" spans="1:10" ht="26.25" customHeight="1" x14ac:dyDescent="0.3">
      <c r="A118" s="317"/>
      <c r="B118" s="318"/>
      <c r="C118" s="98"/>
      <c r="D118" s="259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0</v>
      </c>
      <c r="F119" s="281">
        <f>MIN(F108:F113)</f>
        <v>0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0</v>
      </c>
      <c r="F120" s="282">
        <f>MAX(F108:F113)</f>
        <v>0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327" t="str">
        <f>B26</f>
        <v>Paracetamol</v>
      </c>
      <c r="D124" s="327"/>
      <c r="E124" s="197" t="s">
        <v>127</v>
      </c>
      <c r="F124" s="197"/>
      <c r="G124" s="283" t="e">
        <f>F115</f>
        <v>#DIV/0!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0</v>
      </c>
      <c r="E125" s="208" t="s">
        <v>130</v>
      </c>
      <c r="F125" s="283">
        <f>MAX(F108:F113)</f>
        <v>0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328" t="s">
        <v>26</v>
      </c>
      <c r="C127" s="328"/>
      <c r="E127" s="203" t="s">
        <v>27</v>
      </c>
      <c r="F127" s="238"/>
      <c r="G127" s="328" t="s">
        <v>28</v>
      </c>
      <c r="H127" s="328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paracetamol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2018-07-11T12:00:05Z</cp:lastPrinted>
  <dcterms:created xsi:type="dcterms:W3CDTF">2005-07-05T10:19:27Z</dcterms:created>
  <dcterms:modified xsi:type="dcterms:W3CDTF">2018-07-11T12:33:52Z</dcterms:modified>
</cp:coreProperties>
</file>