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QCL\Worksheets\Worksheet Template\LIMS Sheets\"/>
    </mc:Choice>
  </mc:AlternateContent>
  <bookViews>
    <workbookView xWindow="360" yWindow="315" windowWidth="14940" windowHeight="8640" activeTab="1"/>
  </bookViews>
  <sheets>
    <sheet name="Uniformity" sheetId="34" r:id="rId1"/>
    <sheet name="Component 1" sheetId="33" r:id="rId2"/>
  </sheets>
  <externalReferences>
    <externalReference r:id="rId3"/>
  </externalReferences>
  <definedNames>
    <definedName name="_xlnm.Print_Area" localSheetId="1">'Component 1'!$A$1:$J$72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B35" i="33" l="1"/>
  <c r="C39" i="33" s="1"/>
  <c r="B57" i="33"/>
  <c r="B51" i="33"/>
  <c r="C46" i="34"/>
  <c r="D50" i="34" s="1"/>
  <c r="C45" i="34"/>
  <c r="C19" i="34"/>
  <c r="C18" i="34"/>
  <c r="C17" i="34"/>
  <c r="C16" i="34"/>
  <c r="C15" i="34"/>
  <c r="C14" i="34"/>
  <c r="C41" i="33" l="1"/>
  <c r="C38" i="33"/>
  <c r="C40" i="33"/>
  <c r="D27" i="34"/>
  <c r="D32" i="34"/>
  <c r="D37" i="34"/>
  <c r="D28" i="34"/>
  <c r="D40" i="34"/>
  <c r="D24" i="34"/>
  <c r="D29" i="34"/>
  <c r="D35" i="34"/>
  <c r="D41" i="34"/>
  <c r="D33" i="34"/>
  <c r="D25" i="34"/>
  <c r="D31" i="34"/>
  <c r="D36" i="34"/>
  <c r="D26" i="34"/>
  <c r="D30" i="34"/>
  <c r="D34" i="34"/>
  <c r="D38" i="34"/>
  <c r="D42" i="34"/>
  <c r="B49" i="34"/>
  <c r="D39" i="34"/>
  <c r="D43" i="34"/>
  <c r="C49" i="34"/>
  <c r="D49" i="34"/>
  <c r="C50" i="34"/>
  <c r="C53" i="33" l="1"/>
  <c r="D66" i="33" l="1"/>
  <c r="D64" i="33"/>
  <c r="E39" i="33"/>
  <c r="E40" i="33"/>
  <c r="E41" i="33"/>
  <c r="E38" i="33"/>
  <c r="D65" i="33" l="1"/>
  <c r="E60" i="33"/>
  <c r="F60" i="33" s="1"/>
  <c r="E63" i="33"/>
  <c r="F63" i="33" s="1"/>
  <c r="E62" i="33"/>
  <c r="F62" i="33" s="1"/>
  <c r="E61" i="33"/>
  <c r="F61" i="33" s="1"/>
  <c r="G41" i="33"/>
  <c r="F41" i="33"/>
  <c r="F38" i="33"/>
  <c r="G38" i="33"/>
  <c r="F40" i="33"/>
  <c r="G40" i="33"/>
  <c r="F39" i="33"/>
  <c r="G39" i="33"/>
  <c r="E44" i="33"/>
  <c r="E42" i="33"/>
  <c r="F42" i="33" l="1"/>
  <c r="G42" i="33"/>
  <c r="E43" i="33"/>
  <c r="G63" i="33" l="1"/>
  <c r="G60" i="33"/>
  <c r="H63" i="33"/>
  <c r="I63" i="33" s="1"/>
  <c r="J63" i="33" s="1"/>
  <c r="G61" i="33"/>
  <c r="G62" i="33"/>
  <c r="H61" i="33" l="1"/>
  <c r="I61" i="33" s="1"/>
  <c r="J61" i="33" s="1"/>
  <c r="H62" i="33"/>
  <c r="I62" i="33" s="1"/>
  <c r="J62" i="33" s="1"/>
  <c r="H60" i="33"/>
  <c r="I60" i="33" s="1"/>
  <c r="C49" i="33"/>
  <c r="B48" i="33"/>
  <c r="H66" i="33" l="1"/>
  <c r="J60" i="33"/>
  <c r="J66" i="33" s="1"/>
  <c r="I66" i="33"/>
  <c r="I64" i="33"/>
  <c r="I65" i="33" s="1"/>
  <c r="H64" i="33"/>
  <c r="J64" i="33" l="1"/>
  <c r="J65" i="33" s="1"/>
</calcChain>
</file>

<file path=xl/sharedStrings.xml><?xml version="1.0" encoding="utf-8"?>
<sst xmlns="http://schemas.openxmlformats.org/spreadsheetml/2006/main" count="92" uniqueCount="66">
  <si>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</si>
  <si>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</si>
  <si>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</si>
  <si>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</si>
  <si>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</si>
  <si>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</si>
  <si>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</si>
  <si>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</si>
  <si>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</si>
  <si>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</si>
  <si>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Analysed by:</t>
  </si>
  <si>
    <t>Average tablet Content Weight (mg):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</si>
  <si>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</si>
  <si>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</si>
  <si>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</si>
  <si>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</si>
  <si>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</si>
  <si>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</si>
  <si>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</si>
  <si>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</si>
  <si>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</si>
  <si>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</si>
  <si>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</si>
  <si>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</si>
  <si>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</si>
  <si>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</si>
  <si>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</si>
  <si>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</si>
  <si>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</si>
  <si>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</si>
  <si>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</si>
  <si>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</si>
  <si>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Weight (mg)</t>
  </si>
  <si>
    <t>Titre Vol. (mL)</t>
  </si>
  <si>
    <t>Blank</t>
  </si>
  <si>
    <t>Corrected Titre</t>
  </si>
  <si>
    <t>Percentage content</t>
  </si>
  <si>
    <t>Actual Amount (mg)</t>
  </si>
  <si>
    <t>mMoles of titrant</t>
  </si>
  <si>
    <t>NDQB201103149</t>
  </si>
  <si>
    <t>Deviation from true Value</t>
  </si>
  <si>
    <t>Per Tablet</t>
  </si>
  <si>
    <t>Correction Factor</t>
  </si>
  <si>
    <t>Laboratory Data Calculation Spreadsheet</t>
  </si>
  <si>
    <t>Zinc</t>
  </si>
  <si>
    <t>Chewable Calcium Carbonate tablets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</si>
  <si>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</si>
  <si>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</si>
  <si>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</si>
  <si>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</si>
  <si>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</si>
  <si>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</si>
  <si>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</si>
  <si>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Calcium</t>
  </si>
  <si>
    <t>Excess Titrant Vol. (mL)</t>
  </si>
  <si>
    <t>Titre Vol.  (mL)</t>
  </si>
  <si>
    <t>In podwer taken</t>
  </si>
  <si>
    <t>National Quality Control Laboratory</t>
  </si>
  <si>
    <t>Dilution factor:</t>
  </si>
  <si>
    <t>Each tablet contains:</t>
  </si>
  <si>
    <t>Each mL of 0.05 M EDTA VS is Equivalent to:</t>
  </si>
  <si>
    <t>Volume of the titrant added in excess:</t>
  </si>
  <si>
    <t>Standardisation of EDTA</t>
  </si>
  <si>
    <t>Target titrant concentration:</t>
  </si>
  <si>
    <t>Reaction Ratio (Titrant:Standard):</t>
  </si>
  <si>
    <t>Each tablet contains Calcium Carbonate B.P. 625 mg equivalent to 250 mg 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</si>
</sst>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dd\-mmm\-yy"/>
    <numFmt numFmtId="166" formatCode="0.00000"/>
    <numFmt numFmtId="167" formatCode="0.00\ &quot;M&quot;"/>
    <numFmt numFmtId="168" formatCode="[$-409]d/mmm/yy;@"/>
    <numFmt numFmtId="169" formatCode="0.0%"/>
    <numFmt numFmtId="170" formatCode="0\ &quot;mL&quot;"/>
    <numFmt numFmtId="171" formatCode="0.0000\ &quot;mg&quot;"/>
  </numFmts>
  <fonts count="36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i/>
      <sz val="10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2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20" fillId="0" borderId="0" xfId="42" applyFont="1"/>
    <xf numFmtId="0" fontId="21" fillId="0" borderId="0" xfId="42" applyFont="1" applyFill="1" applyBorder="1" applyAlignment="1">
      <alignment vertical="center" wrapText="1"/>
    </xf>
    <xf numFmtId="0" fontId="20" fillId="0" borderId="0" xfId="42" applyFont="1" applyFill="1" applyBorder="1"/>
    <xf numFmtId="0" fontId="20" fillId="0" borderId="0" xfId="42" applyFont="1" applyBorder="1"/>
    <xf numFmtId="0" fontId="20" fillId="26" borderId="0" xfId="42" quotePrefix="1" applyFont="1" applyFill="1" applyAlignment="1" applyProtection="1">
      <protection locked="0"/>
    </xf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26" borderId="0" xfId="42" quotePrefix="1" applyFont="1" applyFill="1" applyAlignment="1" applyProtection="1">
      <alignment vertical="center"/>
      <protection locked="0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7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2" xfId="42" applyFont="1" applyBorder="1" applyAlignment="1" applyProtection="1">
      <alignment vertical="center"/>
      <protection locked="0"/>
    </xf>
    <xf numFmtId="0" fontId="21" fillId="0" borderId="32" xfId="42" applyFont="1" applyBorder="1" applyAlignment="1">
      <alignment vertical="center"/>
    </xf>
    <xf numFmtId="0" fontId="20" fillId="0" borderId="32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0" fontId="20" fillId="26" borderId="0" xfId="42" applyFont="1" applyFill="1" applyAlignment="1" applyProtection="1">
      <alignment horizontal="left" vertical="center"/>
      <protection locked="0"/>
    </xf>
    <xf numFmtId="165" fontId="20" fillId="26" borderId="0" xfId="42" applyNumberFormat="1" applyFont="1" applyFill="1" applyAlignment="1" applyProtection="1">
      <alignment horizontal="left" vertical="center"/>
      <protection locked="0"/>
    </xf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6" fontId="20" fillId="27" borderId="7" xfId="0" applyNumberFormat="1" applyFont="1" applyFill="1" applyBorder="1" applyProtection="1"/>
    <xf numFmtId="0" fontId="20" fillId="0" borderId="0" xfId="0" applyFont="1" applyBorder="1" applyAlignment="1">
      <alignment vertical="center"/>
    </xf>
    <xf numFmtId="2" fontId="20" fillId="0" borderId="34" xfId="0" applyNumberFormat="1" applyFont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2" fontId="23" fillId="26" borderId="22" xfId="42" applyNumberFormat="1" applyFont="1" applyFill="1" applyBorder="1" applyAlignment="1" applyProtection="1">
      <alignment horizontal="center"/>
      <protection locked="0"/>
    </xf>
    <xf numFmtId="2" fontId="23" fillId="26" borderId="36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0" fontId="20" fillId="0" borderId="23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10" fontId="20" fillId="24" borderId="25" xfId="42" applyNumberFormat="1" applyFont="1" applyFill="1" applyBorder="1" applyAlignment="1" applyProtection="1">
      <alignment horizontal="center"/>
    </xf>
    <xf numFmtId="0" fontId="20" fillId="0" borderId="38" xfId="42" applyFont="1" applyBorder="1" applyAlignment="1" applyProtection="1">
      <alignment horizontal="right"/>
    </xf>
    <xf numFmtId="0" fontId="20" fillId="25" borderId="26" xfId="42" applyFont="1" applyFill="1" applyBorder="1" applyAlignment="1" applyProtection="1">
      <alignment horizontal="center"/>
    </xf>
    <xf numFmtId="166" fontId="21" fillId="25" borderId="24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42" applyNumberFormat="1" applyFont="1" applyFill="1" applyAlignment="1" applyProtection="1">
      <alignment horizontal="center"/>
      <protection locked="0"/>
    </xf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1" fillId="0" borderId="16" xfId="42" applyNumberFormat="1" applyFont="1" applyBorder="1" applyAlignment="1">
      <alignment horizontal="center" vertical="center"/>
    </xf>
    <xf numFmtId="2" fontId="21" fillId="0" borderId="13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3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7" xfId="42" applyNumberFormat="1" applyFont="1" applyFill="1" applyBorder="1" applyAlignment="1" applyProtection="1">
      <alignment horizontal="center"/>
      <protection locked="0"/>
    </xf>
    <xf numFmtId="2" fontId="23" fillId="26" borderId="38" xfId="42" applyNumberFormat="1" applyFont="1" applyFill="1" applyBorder="1" applyAlignment="1" applyProtection="1">
      <alignment horizontal="center"/>
      <protection locked="0"/>
    </xf>
    <xf numFmtId="164" fontId="21" fillId="25" borderId="28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5" xfId="42" applyNumberFormat="1" applyFont="1" applyFill="1" applyBorder="1" applyAlignment="1" applyProtection="1">
      <alignment horizontal="center"/>
    </xf>
    <xf numFmtId="0" fontId="24" fillId="25" borderId="26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8" xfId="42" applyNumberFormat="1" applyFont="1" applyFill="1" applyBorder="1" applyAlignment="1" applyProtection="1">
      <alignment horizontal="center"/>
    </xf>
    <xf numFmtId="2" fontId="20" fillId="0" borderId="30" xfId="42" applyNumberFormat="1" applyFont="1" applyBorder="1" applyAlignment="1">
      <alignment horizontal="center"/>
    </xf>
    <xf numFmtId="0" fontId="20" fillId="0" borderId="0" xfId="42" applyFont="1" applyBorder="1" applyAlignment="1">
      <alignment horizontal="right" vertic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30" xfId="0" applyNumberFormat="1" applyFont="1" applyBorder="1" applyAlignment="1" applyProtection="1">
      <alignment horizontal="center"/>
    </xf>
    <xf numFmtId="166" fontId="20" fillId="0" borderId="39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166" fontId="20" fillId="0" borderId="26" xfId="0" applyNumberFormat="1" applyFont="1" applyBorder="1" applyAlignment="1" applyProtection="1">
      <alignment horizontal="center"/>
    </xf>
    <xf numFmtId="2" fontId="20" fillId="0" borderId="40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0" fillId="0" borderId="24" xfId="0" applyNumberFormat="1" applyFont="1" applyBorder="1" applyAlignment="1" applyProtection="1">
      <alignment horizontal="center"/>
    </xf>
    <xf numFmtId="10" fontId="20" fillId="0" borderId="25" xfId="0" applyNumberFormat="1" applyFont="1" applyBorder="1" applyAlignment="1" applyProtection="1">
      <alignment horizontal="center"/>
    </xf>
    <xf numFmtId="10" fontId="20" fillId="0" borderId="26" xfId="0" applyNumberFormat="1" applyFont="1" applyBorder="1" applyAlignment="1" applyProtection="1">
      <alignment horizontal="center"/>
    </xf>
    <xf numFmtId="10" fontId="24" fillId="0" borderId="25" xfId="42" applyNumberFormat="1" applyFont="1" applyFill="1" applyBorder="1" applyAlignment="1" applyProtection="1">
      <alignment horizontal="center"/>
    </xf>
    <xf numFmtId="2" fontId="20" fillId="0" borderId="39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7" xfId="42" applyNumberFormat="1" applyFont="1" applyBorder="1" applyAlignment="1">
      <alignment vertical="center"/>
    </xf>
    <xf numFmtId="10" fontId="20" fillId="0" borderId="24" xfId="42" applyNumberFormat="1" applyFont="1" applyBorder="1" applyAlignment="1">
      <alignment horizontal="center"/>
    </xf>
    <xf numFmtId="10" fontId="20" fillId="0" borderId="25" xfId="42" applyNumberFormat="1" applyFont="1" applyBorder="1" applyAlignment="1">
      <alignment horizontal="center"/>
    </xf>
    <xf numFmtId="10" fontId="20" fillId="0" borderId="26" xfId="42" applyNumberFormat="1" applyFont="1" applyBorder="1" applyAlignment="1">
      <alignment horizontal="center"/>
    </xf>
    <xf numFmtId="10" fontId="23" fillId="25" borderId="28" xfId="42" applyNumberFormat="1" applyFont="1" applyFill="1" applyBorder="1" applyAlignment="1" applyProtection="1">
      <alignment horizontal="center"/>
    </xf>
    <xf numFmtId="2" fontId="20" fillId="0" borderId="15" xfId="42" applyNumberFormat="1" applyFont="1" applyBorder="1" applyAlignment="1">
      <alignment horizontal="center"/>
    </xf>
    <xf numFmtId="164" fontId="21" fillId="25" borderId="33" xfId="42" applyNumberFormat="1" applyFont="1" applyFill="1" applyBorder="1" applyAlignment="1" applyProtection="1">
      <alignment horizontal="center"/>
    </xf>
    <xf numFmtId="10" fontId="21" fillId="25" borderId="41" xfId="42" applyNumberFormat="1" applyFont="1" applyFill="1" applyBorder="1" applyAlignment="1" applyProtection="1">
      <alignment horizontal="center"/>
    </xf>
    <xf numFmtId="0" fontId="20" fillId="0" borderId="0" xfId="42" applyFont="1" applyAlignment="1" applyProtection="1">
      <alignment vertical="center"/>
      <protection locked="0"/>
    </xf>
    <xf numFmtId="0" fontId="1" fillId="0" borderId="0" xfId="42"/>
    <xf numFmtId="0" fontId="28" fillId="0" borderId="0" xfId="42" applyFont="1" applyBorder="1" applyAlignment="1">
      <alignment wrapText="1"/>
    </xf>
    <xf numFmtId="0" fontId="29" fillId="0" borderId="0" xfId="42" applyFont="1" applyAlignment="1"/>
    <xf numFmtId="0" fontId="31" fillId="0" borderId="0" xfId="42" applyFont="1"/>
    <xf numFmtId="168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168" fontId="31" fillId="0" borderId="0" xfId="42" applyNumberFormat="1" applyFont="1"/>
    <xf numFmtId="0" fontId="29" fillId="0" borderId="0" xfId="42" applyFont="1" applyAlignment="1">
      <alignment horizontal="left"/>
    </xf>
    <xf numFmtId="0" fontId="32" fillId="0" borderId="0" xfId="42" applyFont="1"/>
    <xf numFmtId="166" fontId="33" fillId="0" borderId="0" xfId="42" applyNumberFormat="1" applyFont="1" applyAlignment="1"/>
    <xf numFmtId="166" fontId="30" fillId="0" borderId="33" xfId="42" applyNumberFormat="1" applyFont="1" applyBorder="1" applyAlignment="1">
      <alignment horizontal="center" wrapText="1"/>
    </xf>
    <xf numFmtId="0" fontId="30" fillId="0" borderId="33" xfId="42" applyFont="1" applyBorder="1" applyAlignment="1">
      <alignment horizontal="center" wrapText="1"/>
    </xf>
    <xf numFmtId="0" fontId="34" fillId="0" borderId="0" xfId="42" applyFont="1" applyAlignment="1">
      <alignment horizontal="center"/>
    </xf>
    <xf numFmtId="2" fontId="31" fillId="26" borderId="42" xfId="42" applyNumberFormat="1" applyFont="1" applyFill="1" applyBorder="1" applyProtection="1">
      <protection locked="0"/>
    </xf>
    <xf numFmtId="10" fontId="31" fillId="0" borderId="27" xfId="42" applyNumberFormat="1" applyFont="1" applyBorder="1" applyAlignment="1">
      <alignment horizontal="center"/>
    </xf>
    <xf numFmtId="10" fontId="31" fillId="0" borderId="0" xfId="42" applyNumberFormat="1" applyFont="1" applyAlignment="1">
      <alignment horizontal="center"/>
    </xf>
    <xf numFmtId="10" fontId="31" fillId="0" borderId="42" xfId="42" applyNumberFormat="1" applyFont="1" applyBorder="1" applyAlignment="1">
      <alignment horizontal="center"/>
    </xf>
    <xf numFmtId="2" fontId="31" fillId="26" borderId="43" xfId="42" applyNumberFormat="1" applyFont="1" applyFill="1" applyBorder="1" applyProtection="1">
      <protection locked="0"/>
    </xf>
    <xf numFmtId="10" fontId="31" fillId="0" borderId="43" xfId="42" applyNumberFormat="1" applyFont="1" applyBorder="1" applyAlignment="1">
      <alignment horizontal="center"/>
    </xf>
    <xf numFmtId="164" fontId="34" fillId="0" borderId="0" xfId="42" applyNumberFormat="1" applyFont="1" applyAlignment="1">
      <alignment horizontal="center"/>
    </xf>
    <xf numFmtId="10" fontId="34" fillId="0" borderId="0" xfId="42" applyNumberFormat="1" applyFont="1" applyAlignment="1">
      <alignment horizontal="center"/>
    </xf>
    <xf numFmtId="0" fontId="31" fillId="0" borderId="33" xfId="42" applyFont="1" applyBorder="1" applyAlignment="1">
      <alignment horizontal="right" vertical="center"/>
    </xf>
    <xf numFmtId="164" fontId="31" fillId="0" borderId="33" xfId="42" applyNumberFormat="1" applyFont="1" applyBorder="1" applyAlignment="1">
      <alignment horizontal="center" vertical="center"/>
    </xf>
    <xf numFmtId="164" fontId="31" fillId="0" borderId="0" xfId="42" applyNumberFormat="1" applyFont="1" applyAlignment="1">
      <alignment horizontal="center"/>
    </xf>
    <xf numFmtId="166" fontId="30" fillId="0" borderId="33" xfId="42" applyNumberFormat="1" applyFont="1" applyBorder="1" applyAlignment="1">
      <alignment horizontal="center" vertical="center"/>
    </xf>
    <xf numFmtId="2" fontId="35" fillId="0" borderId="0" xfId="42" applyNumberFormat="1" applyFont="1" applyAlignment="1">
      <alignment horizontal="right"/>
    </xf>
    <xf numFmtId="2" fontId="30" fillId="0" borderId="0" xfId="42" applyNumberFormat="1" applyFont="1"/>
    <xf numFmtId="2" fontId="35" fillId="0" borderId="0" xfId="42" applyNumberFormat="1" applyFont="1"/>
    <xf numFmtId="0" fontId="30" fillId="0" borderId="33" xfId="42" applyFont="1" applyBorder="1" applyAlignment="1">
      <alignment horizontal="center" vertical="center"/>
    </xf>
    <xf numFmtId="10" fontId="34" fillId="0" borderId="0" xfId="43" applyNumberFormat="1" applyFont="1"/>
    <xf numFmtId="169" fontId="30" fillId="0" borderId="24" xfId="42" applyNumberFormat="1" applyFont="1" applyBorder="1" applyAlignment="1">
      <alignment horizontal="center"/>
    </xf>
    <xf numFmtId="2" fontId="30" fillId="0" borderId="33" xfId="42" applyNumberFormat="1" applyFont="1" applyBorder="1" applyAlignment="1">
      <alignment horizontal="center" vertical="center"/>
    </xf>
    <xf numFmtId="169" fontId="30" fillId="0" borderId="26" xfId="42" applyNumberFormat="1" applyFont="1" applyBorder="1" applyAlignment="1">
      <alignment horizontal="center"/>
    </xf>
    <xf numFmtId="0" fontId="31" fillId="0" borderId="11" xfId="42" applyFont="1" applyBorder="1"/>
    <xf numFmtId="0" fontId="31" fillId="0" borderId="0" xfId="42" applyFont="1" applyAlignment="1">
      <alignment horizontal="center"/>
    </xf>
    <xf numFmtId="10" fontId="31" fillId="0" borderId="11" xfId="43" applyNumberFormat="1" applyFont="1" applyBorder="1"/>
    <xf numFmtId="0" fontId="30" fillId="0" borderId="16" xfId="42" applyFont="1" applyBorder="1" applyAlignment="1"/>
    <xf numFmtId="0" fontId="30" fillId="0" borderId="16" xfId="42" applyFont="1" applyBorder="1" applyAlignment="1">
      <alignment horizontal="center"/>
    </xf>
    <xf numFmtId="0" fontId="31" fillId="0" borderId="16" xfId="42" applyFont="1" applyBorder="1" applyAlignment="1">
      <alignment horizontal="center"/>
    </xf>
    <xf numFmtId="0" fontId="30" fillId="0" borderId="0" xfId="42" applyFont="1" applyBorder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32" xfId="42" applyFont="1" applyBorder="1" applyAlignment="1"/>
    <xf numFmtId="0" fontId="30" fillId="0" borderId="0" xfId="42" applyFont="1" applyBorder="1" applyAlignment="1"/>
    <xf numFmtId="0" fontId="31" fillId="0" borderId="32" xfId="42" applyFont="1" applyBorder="1" applyAlignment="1"/>
    <xf numFmtId="0" fontId="20" fillId="0" borderId="0" xfId="42" applyFont="1" applyAlignment="1">
      <alignment horizontal="right"/>
    </xf>
    <xf numFmtId="170" fontId="23" fillId="26" borderId="0" xfId="42" applyNumberFormat="1" applyFont="1" applyFill="1" applyBorder="1" applyAlignment="1" applyProtection="1">
      <alignment horizontal="center"/>
      <protection locked="0"/>
    </xf>
    <xf numFmtId="2" fontId="23" fillId="26" borderId="44" xfId="42" applyNumberFormat="1" applyFont="1" applyFill="1" applyBorder="1" applyAlignment="1" applyProtection="1">
      <alignment horizontal="center"/>
      <protection locked="0"/>
    </xf>
    <xf numFmtId="2" fontId="23" fillId="26" borderId="45" xfId="42" applyNumberFormat="1" applyFont="1" applyFill="1" applyBorder="1" applyAlignment="1" applyProtection="1">
      <alignment horizontal="center"/>
      <protection locked="0"/>
    </xf>
    <xf numFmtId="2" fontId="23" fillId="26" borderId="46" xfId="42" applyNumberFormat="1" applyFont="1" applyFill="1" applyBorder="1" applyAlignment="1" applyProtection="1">
      <alignment horizontal="center"/>
      <protection locked="0"/>
    </xf>
    <xf numFmtId="164" fontId="20" fillId="0" borderId="21" xfId="42" applyNumberFormat="1" applyFont="1" applyBorder="1" applyAlignment="1">
      <alignment horizontal="center" vertical="center"/>
    </xf>
    <xf numFmtId="164" fontId="20" fillId="0" borderId="29" xfId="42" applyNumberFormat="1" applyFont="1" applyBorder="1" applyAlignment="1">
      <alignment horizontal="center" vertical="center"/>
    </xf>
    <xf numFmtId="164" fontId="20" fillId="0" borderId="31" xfId="42" applyNumberFormat="1" applyFont="1" applyBorder="1" applyAlignment="1">
      <alignment horizontal="center" vertical="center"/>
    </xf>
    <xf numFmtId="2" fontId="20" fillId="0" borderId="24" xfId="42" applyNumberFormat="1" applyFont="1" applyBorder="1" applyAlignment="1">
      <alignment horizontal="center" vertical="center"/>
    </xf>
    <xf numFmtId="2" fontId="20" fillId="0" borderId="25" xfId="42" applyNumberFormat="1" applyFont="1" applyBorder="1" applyAlignment="1">
      <alignment horizontal="center" vertical="center"/>
    </xf>
    <xf numFmtId="2" fontId="20" fillId="0" borderId="26" xfId="42" applyNumberFormat="1" applyFont="1" applyBorder="1" applyAlignment="1">
      <alignment horizontal="center" vertical="center"/>
    </xf>
    <xf numFmtId="164" fontId="21" fillId="0" borderId="0" xfId="42" applyNumberFormat="1" applyFont="1" applyFill="1" applyBorder="1" applyAlignment="1" applyProtection="1">
      <alignment horizontal="center"/>
    </xf>
    <xf numFmtId="164" fontId="20" fillId="0" borderId="30" xfId="42" applyNumberFormat="1" applyFont="1" applyBorder="1" applyAlignment="1">
      <alignment horizontal="center" vertical="center"/>
    </xf>
    <xf numFmtId="164" fontId="20" fillId="0" borderId="39" xfId="42" applyNumberFormat="1" applyFont="1" applyBorder="1" applyAlignment="1">
      <alignment horizontal="center" vertical="center"/>
    </xf>
    <xf numFmtId="164" fontId="20" fillId="0" borderId="15" xfId="42" applyNumberFormat="1" applyFont="1" applyBorder="1" applyAlignment="1">
      <alignment horizontal="center" vertical="center"/>
    </xf>
    <xf numFmtId="2" fontId="20" fillId="0" borderId="24" xfId="42" applyNumberFormat="1" applyFont="1" applyBorder="1" applyAlignment="1">
      <alignment horizontal="center"/>
    </xf>
    <xf numFmtId="2" fontId="20" fillId="0" borderId="25" xfId="42" applyNumberFormat="1" applyFont="1" applyBorder="1" applyAlignment="1">
      <alignment horizontal="center"/>
    </xf>
    <xf numFmtId="2" fontId="20" fillId="0" borderId="26" xfId="42" applyNumberFormat="1" applyFont="1" applyBorder="1" applyAlignment="1">
      <alignment horizontal="center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9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164" fontId="20" fillId="0" borderId="26" xfId="0" applyNumberFormat="1" applyFont="1" applyBorder="1" applyAlignment="1" applyProtection="1">
      <alignment horizontal="center"/>
    </xf>
    <xf numFmtId="0" fontId="20" fillId="0" borderId="0" xfId="42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/>
    <xf numFmtId="167" fontId="23" fillId="0" borderId="0" xfId="42" applyNumberFormat="1" applyFont="1" applyFill="1" applyBorder="1" applyAlignment="1" applyProtection="1">
      <alignment horizontal="center"/>
      <protection locked="0"/>
    </xf>
    <xf numFmtId="0" fontId="23" fillId="26" borderId="0" xfId="42" applyFont="1" applyFill="1" applyAlignment="1" applyProtection="1">
      <alignment horizontal="center" vertical="center"/>
      <protection locked="0"/>
    </xf>
    <xf numFmtId="0" fontId="23" fillId="0" borderId="0" xfId="42" applyFont="1" applyFill="1" applyAlignment="1" applyProtection="1">
      <alignment horizontal="center" vertical="center"/>
      <protection locked="0"/>
    </xf>
    <xf numFmtId="164" fontId="23" fillId="26" borderId="0" xfId="42" applyNumberFormat="1" applyFont="1" applyFill="1" applyBorder="1" applyAlignment="1" applyProtection="1">
      <alignment horizontal="center" vertical="center"/>
      <protection locked="0"/>
    </xf>
    <xf numFmtId="164" fontId="23" fillId="0" borderId="0" xfId="42" applyNumberFormat="1" applyFont="1" applyFill="1" applyBorder="1" applyAlignment="1" applyProtection="1">
      <alignment horizontal="center" vertical="center"/>
      <protection locked="0"/>
    </xf>
    <xf numFmtId="0" fontId="24" fillId="0" borderId="0" xfId="42" applyFont="1"/>
    <xf numFmtId="171" fontId="23" fillId="26" borderId="0" xfId="42" applyNumberFormat="1" applyFont="1" applyFill="1" applyBorder="1" applyAlignment="1" applyProtection="1">
      <alignment horizontal="center"/>
      <protection locked="0"/>
    </xf>
    <xf numFmtId="0" fontId="20" fillId="0" borderId="0" xfId="42" quotePrefix="1" applyFont="1" applyAlignment="1">
      <alignment horizontal="right" vertical="center"/>
    </xf>
    <xf numFmtId="2" fontId="21" fillId="0" borderId="0" xfId="42" applyNumberFormat="1" applyFont="1" applyFill="1" applyBorder="1" applyAlignment="1" applyProtection="1">
      <alignment horizontal="right"/>
      <protection locked="0"/>
    </xf>
    <xf numFmtId="0" fontId="20" fillId="0" borderId="0" xfId="0" applyFont="1" applyFill="1" applyAlignment="1">
      <alignment vertical="center"/>
    </xf>
    <xf numFmtId="0" fontId="21" fillId="0" borderId="0" xfId="42" applyFont="1" applyFill="1" applyAlignment="1" applyProtection="1">
      <alignment horizontal="right"/>
    </xf>
    <xf numFmtId="2" fontId="23" fillId="0" borderId="0" xfId="42" applyNumberFormat="1" applyFont="1" applyFill="1" applyBorder="1" applyAlignment="1" applyProtection="1">
      <alignment horizontal="left"/>
      <protection locked="0"/>
    </xf>
    <xf numFmtId="0" fontId="30" fillId="0" borderId="0" xfId="42" applyFont="1" applyAlignment="1">
      <alignment horizontal="right"/>
    </xf>
    <xf numFmtId="0" fontId="29" fillId="0" borderId="0" xfId="42" applyFont="1" applyAlignment="1">
      <alignment horizontal="center"/>
    </xf>
    <xf numFmtId="166" fontId="33" fillId="0" borderId="0" xfId="42" applyNumberFormat="1" applyFont="1" applyAlignment="1">
      <alignment horizontal="center"/>
    </xf>
    <xf numFmtId="164" fontId="30" fillId="0" borderId="27" xfId="42" applyNumberFormat="1" applyFont="1" applyBorder="1" applyAlignment="1">
      <alignment horizontal="center" vertical="center"/>
    </xf>
    <xf numFmtId="164" fontId="30" fillId="0" borderId="43" xfId="42" applyNumberFormat="1" applyFont="1" applyBorder="1" applyAlignment="1">
      <alignment horizontal="center" vertical="center"/>
    </xf>
    <xf numFmtId="0" fontId="28" fillId="0" borderId="17" xfId="42" applyFont="1" applyBorder="1" applyAlignment="1">
      <alignment horizontal="center" wrapText="1"/>
    </xf>
    <xf numFmtId="0" fontId="28" fillId="0" borderId="19" xfId="42" applyFont="1" applyBorder="1" applyAlignment="1">
      <alignment horizontal="center" wrapText="1"/>
    </xf>
    <xf numFmtId="0" fontId="28" fillId="0" borderId="18" xfId="42" applyFont="1" applyBorder="1" applyAlignment="1">
      <alignment horizontal="center" wrapText="1"/>
    </xf>
    <xf numFmtId="0" fontId="27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heet%20template%20for%20Non%20aqueous%20Titrations%20(Tablet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Component 1"/>
    </sheetNames>
    <sheetDataSet>
      <sheetData sheetId="0"/>
      <sheetData sheetId="1">
        <row r="18">
          <cell r="B18" t="str">
            <v>Quinine Dihydrochloride Injection</v>
          </cell>
        </row>
        <row r="19">
          <cell r="B19" t="str">
            <v>NDQB201103149</v>
          </cell>
        </row>
        <row r="20">
          <cell r="B20" t="str">
            <v>Quinine Sulphate</v>
          </cell>
        </row>
        <row r="21">
          <cell r="B21" t="str">
            <v>Each film coated tablet contains Quinine Sulphate B.P. 300 mg</v>
          </cell>
        </row>
        <row r="22">
          <cell r="B22">
            <v>40612</v>
          </cell>
        </row>
        <row r="23">
          <cell r="B23">
            <v>40613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view="pageBreakPreview" topLeftCell="A38" zoomScaleNormal="100" zoomScaleSheetLayoutView="100" workbookViewId="0">
      <selection activeCell="C44" sqref="C44"/>
    </sheetView>
  </sheetViews>
  <sheetFormatPr defaultRowHeight="12.75" x14ac:dyDescent="0.2"/>
  <cols>
    <col min="1" max="1" width="15.5703125" style="117" bestFit="1" customWidth="1"/>
    <col min="2" max="2" width="18.42578125" style="117" customWidth="1"/>
    <col min="3" max="3" width="14.28515625" style="117" customWidth="1"/>
    <col min="4" max="4" width="15" style="117" customWidth="1"/>
    <col min="5" max="5" width="9.140625" style="117"/>
    <col min="6" max="6" width="27.85546875" style="117" customWidth="1"/>
    <col min="7" max="7" width="12.28515625" style="117" bestFit="1" customWidth="1"/>
    <col min="8" max="16384" width="9.140625" style="117"/>
  </cols>
  <sheetData>
    <row r="10" spans="1:7" ht="13.5" thickBot="1" x14ac:dyDescent="0.25"/>
    <row r="11" spans="1:7" ht="13.5" customHeight="1" thickBot="1" x14ac:dyDescent="0.3">
      <c r="A11" s="208" t="s">
        <v>19</v>
      </c>
      <c r="B11" s="209"/>
      <c r="C11" s="209"/>
      <c r="D11" s="209"/>
      <c r="E11" s="209"/>
      <c r="F11" s="210"/>
      <c r="G11" s="118"/>
    </row>
    <row r="12" spans="1:7" ht="16.5" x14ac:dyDescent="0.3">
      <c r="A12" s="204" t="s">
        <v>46</v>
      </c>
      <c r="B12" s="204"/>
      <c r="C12" s="204"/>
      <c r="D12" s="204"/>
      <c r="E12" s="204"/>
      <c r="F12" s="204"/>
      <c r="G12" s="119"/>
    </row>
    <row r="14" spans="1:7" ht="16.5" x14ac:dyDescent="0.3">
      <c r="A14" s="203" t="s">
        <v>1</v>
      </c>
      <c r="B14" s="203"/>
      <c r="C14" s="120" t="str">
        <f>'[1]Component 1'!B18</f>
        <v>Quinine Dihydrochloride Injection</v>
      </c>
    </row>
    <row r="15" spans="1:7" ht="16.5" x14ac:dyDescent="0.3">
      <c r="A15" s="203" t="s">
        <v>2</v>
      </c>
      <c r="B15" s="203"/>
      <c r="C15" s="120" t="str">
        <f>'[1]Component 1'!B19</f>
        <v>NDQB201103149</v>
      </c>
    </row>
    <row r="16" spans="1:7" ht="16.5" x14ac:dyDescent="0.3">
      <c r="A16" s="203" t="s">
        <v>3</v>
      </c>
      <c r="B16" s="203"/>
      <c r="C16" s="120" t="str">
        <f>'[1]Component 1'!B20</f>
        <v>Quinine Sulphate</v>
      </c>
    </row>
    <row r="17" spans="1:5" ht="16.5" x14ac:dyDescent="0.3">
      <c r="A17" s="203" t="s">
        <v>4</v>
      </c>
      <c r="B17" s="203"/>
      <c r="C17" s="120" t="str">
        <f>'[1]Component 1'!B21</f>
        <v>Each film coated tablet contains Quinine Sulphate B.P. 300 mg</v>
      </c>
    </row>
    <row r="18" spans="1:5" ht="16.5" x14ac:dyDescent="0.3">
      <c r="A18" s="203" t="s">
        <v>12</v>
      </c>
      <c r="B18" s="203"/>
      <c r="C18" s="121">
        <f>'[1]Component 1'!B22</f>
        <v>40612</v>
      </c>
    </row>
    <row r="19" spans="1:5" ht="16.5" x14ac:dyDescent="0.3">
      <c r="A19" s="203" t="s">
        <v>5</v>
      </c>
      <c r="B19" s="203"/>
      <c r="C19" s="121">
        <f>'[1]Component 1'!B23</f>
        <v>40613</v>
      </c>
    </row>
    <row r="20" spans="1:5" ht="16.5" x14ac:dyDescent="0.3">
      <c r="A20" s="122"/>
      <c r="B20" s="122"/>
      <c r="C20" s="123"/>
    </row>
    <row r="21" spans="1:5" ht="16.5" x14ac:dyDescent="0.3">
      <c r="A21" s="204" t="s">
        <v>7</v>
      </c>
      <c r="B21" s="204"/>
      <c r="C21" s="124" t="s">
        <v>47</v>
      </c>
      <c r="D21" s="125"/>
    </row>
    <row r="22" spans="1:5" ht="15.75" thickBot="1" x14ac:dyDescent="0.35">
      <c r="A22" s="205"/>
      <c r="B22" s="205"/>
      <c r="C22" s="126"/>
      <c r="D22" s="205"/>
      <c r="E22" s="205"/>
    </row>
    <row r="23" spans="1:5" ht="33.75" thickBot="1" x14ac:dyDescent="0.35">
      <c r="C23" s="127" t="s">
        <v>48</v>
      </c>
      <c r="D23" s="128" t="s">
        <v>49</v>
      </c>
      <c r="E23" s="129"/>
    </row>
    <row r="24" spans="1:5" ht="15.75" x14ac:dyDescent="0.25">
      <c r="C24" s="130">
        <v>911.53</v>
      </c>
      <c r="D24" s="131">
        <f t="shared" ref="D24:D43" si="0">(C24-$C$46)/$C$46</f>
        <v>1.5297461784191424E-2</v>
      </c>
      <c r="E24" s="132"/>
    </row>
    <row r="25" spans="1:5" ht="15.75" x14ac:dyDescent="0.25">
      <c r="C25" s="130">
        <v>891.09</v>
      </c>
      <c r="D25" s="133">
        <f t="shared" si="0"/>
        <v>-7.4694028487540792E-3</v>
      </c>
      <c r="E25" s="132"/>
    </row>
    <row r="26" spans="1:5" ht="15.75" x14ac:dyDescent="0.25">
      <c r="C26" s="130">
        <v>896.87</v>
      </c>
      <c r="D26" s="133">
        <f t="shared" si="0"/>
        <v>-1.0314147089094232E-3</v>
      </c>
      <c r="E26" s="132"/>
    </row>
    <row r="27" spans="1:5" ht="15.75" x14ac:dyDescent="0.25">
      <c r="C27" s="130">
        <v>884.19</v>
      </c>
      <c r="D27" s="133">
        <f t="shared" si="0"/>
        <v>-1.5154890420540962E-2</v>
      </c>
      <c r="E27" s="132"/>
    </row>
    <row r="28" spans="1:5" ht="15.75" x14ac:dyDescent="0.25">
      <c r="C28" s="130">
        <v>894</v>
      </c>
      <c r="D28" s="133">
        <f t="shared" si="0"/>
        <v>-4.2281320032613746E-3</v>
      </c>
      <c r="E28" s="132"/>
    </row>
    <row r="29" spans="1:5" ht="15.75" x14ac:dyDescent="0.25">
      <c r="C29" s="130">
        <v>901.05</v>
      </c>
      <c r="D29" s="133">
        <f t="shared" si="0"/>
        <v>3.6244313853034602E-3</v>
      </c>
      <c r="E29" s="132"/>
    </row>
    <row r="30" spans="1:5" ht="15.75" x14ac:dyDescent="0.25">
      <c r="C30" s="130">
        <v>903.55</v>
      </c>
      <c r="D30" s="133">
        <f t="shared" si="0"/>
        <v>6.4090283316030651E-3</v>
      </c>
      <c r="E30" s="132"/>
    </row>
    <row r="31" spans="1:5" ht="15.75" x14ac:dyDescent="0.25">
      <c r="C31" s="130">
        <v>875.3</v>
      </c>
      <c r="D31" s="133">
        <f t="shared" si="0"/>
        <v>-2.5056917161582468E-2</v>
      </c>
      <c r="E31" s="132"/>
    </row>
    <row r="32" spans="1:5" ht="15.75" x14ac:dyDescent="0.25">
      <c r="C32" s="130">
        <v>912.88</v>
      </c>
      <c r="D32" s="133">
        <f t="shared" si="0"/>
        <v>1.6801144135193236E-2</v>
      </c>
      <c r="E32" s="132"/>
    </row>
    <row r="33" spans="1:7" ht="15.75" x14ac:dyDescent="0.25">
      <c r="C33" s="130">
        <v>894.77</v>
      </c>
      <c r="D33" s="133">
        <f t="shared" si="0"/>
        <v>-3.3704761438011163E-3</v>
      </c>
      <c r="E33" s="132"/>
    </row>
    <row r="34" spans="1:7" ht="15.75" x14ac:dyDescent="0.25">
      <c r="C34" s="130">
        <v>885.52</v>
      </c>
      <c r="D34" s="133">
        <f t="shared" si="0"/>
        <v>-1.3673484845109654E-2</v>
      </c>
      <c r="E34" s="132"/>
    </row>
    <row r="35" spans="1:7" ht="15.75" x14ac:dyDescent="0.25">
      <c r="C35" s="130">
        <v>898.34</v>
      </c>
      <c r="D35" s="133">
        <f t="shared" si="0"/>
        <v>6.059282955147747E-4</v>
      </c>
      <c r="E35" s="132"/>
    </row>
    <row r="36" spans="1:7" ht="15.75" x14ac:dyDescent="0.25">
      <c r="C36" s="130">
        <v>909.1</v>
      </c>
      <c r="D36" s="133">
        <f t="shared" si="0"/>
        <v>1.2590833552388263E-2</v>
      </c>
      <c r="E36" s="132"/>
    </row>
    <row r="37" spans="1:7" ht="15.75" x14ac:dyDescent="0.25">
      <c r="C37" s="130">
        <v>894.4</v>
      </c>
      <c r="D37" s="133">
        <f t="shared" si="0"/>
        <v>-3.782596491853463E-3</v>
      </c>
      <c r="E37" s="132"/>
    </row>
    <row r="38" spans="1:7" ht="15.75" x14ac:dyDescent="0.25">
      <c r="C38" s="130">
        <v>905.23</v>
      </c>
      <c r="D38" s="133">
        <f t="shared" si="0"/>
        <v>8.2802774795164708E-3</v>
      </c>
      <c r="E38" s="132"/>
    </row>
    <row r="39" spans="1:7" ht="15.75" x14ac:dyDescent="0.25">
      <c r="C39" s="130">
        <v>895.9</v>
      </c>
      <c r="D39" s="133">
        <f t="shared" si="0"/>
        <v>-2.1118383240737002E-3</v>
      </c>
      <c r="E39" s="132"/>
    </row>
    <row r="40" spans="1:7" ht="15.75" x14ac:dyDescent="0.25">
      <c r="C40" s="130">
        <v>902.87</v>
      </c>
      <c r="D40" s="133">
        <f t="shared" si="0"/>
        <v>5.6516179622096282E-3</v>
      </c>
      <c r="E40" s="132"/>
    </row>
    <row r="41" spans="1:7" ht="15.75" x14ac:dyDescent="0.25">
      <c r="C41" s="130">
        <v>909.27</v>
      </c>
      <c r="D41" s="133">
        <f t="shared" si="0"/>
        <v>1.2780186144736591E-2</v>
      </c>
      <c r="E41" s="132"/>
    </row>
    <row r="42" spans="1:7" ht="15.75" x14ac:dyDescent="0.25">
      <c r="C42" s="130">
        <v>888.95</v>
      </c>
      <c r="D42" s="133">
        <f t="shared" si="0"/>
        <v>-9.853017834786525E-3</v>
      </c>
      <c r="E42" s="132"/>
    </row>
    <row r="43" spans="1:7" ht="16.5" thickBot="1" x14ac:dyDescent="0.3">
      <c r="C43" s="134">
        <v>901.11</v>
      </c>
      <c r="D43" s="135">
        <f t="shared" si="0"/>
        <v>3.6912617120147162E-3</v>
      </c>
      <c r="E43" s="132"/>
    </row>
    <row r="44" spans="1:7" ht="16.5" thickBot="1" x14ac:dyDescent="0.3">
      <c r="C44" s="136"/>
      <c r="D44" s="132"/>
      <c r="E44" s="137"/>
    </row>
    <row r="45" spans="1:7" ht="16.5" thickBot="1" x14ac:dyDescent="0.3">
      <c r="B45" s="138" t="s">
        <v>50</v>
      </c>
      <c r="C45" s="139">
        <f>SUM(C24:C44)</f>
        <v>17955.920000000002</v>
      </c>
      <c r="D45" s="140"/>
      <c r="E45" s="136"/>
    </row>
    <row r="46" spans="1:7" ht="17.25" thickBot="1" x14ac:dyDescent="0.25">
      <c r="B46" s="138" t="s">
        <v>51</v>
      </c>
      <c r="C46" s="141">
        <f>AVERAGE(C24:C44)</f>
        <v>897.79600000000005</v>
      </c>
      <c r="E46" s="142"/>
    </row>
    <row r="47" spans="1:7" ht="17.25" thickBot="1" x14ac:dyDescent="0.35">
      <c r="A47" s="120"/>
      <c r="B47" s="143"/>
      <c r="D47" s="144"/>
      <c r="E47" s="142"/>
    </row>
    <row r="48" spans="1:7" ht="33.75" thickBot="1" x14ac:dyDescent="0.35">
      <c r="B48" s="145" t="s">
        <v>51</v>
      </c>
      <c r="C48" s="128" t="s">
        <v>52</v>
      </c>
      <c r="D48" s="146"/>
      <c r="G48" s="144"/>
    </row>
    <row r="49" spans="1:6" ht="17.25" thickBot="1" x14ac:dyDescent="0.35">
      <c r="B49" s="206">
        <f>C46</f>
        <v>897.79600000000005</v>
      </c>
      <c r="C49" s="147">
        <f>-IF(C46&lt;=80,10%,IF(C46&lt;250,7.5%,5%))</f>
        <v>-0.05</v>
      </c>
      <c r="D49" s="148">
        <f>IF(C46&lt;=80,C46*0.9,IF(C46&lt;250,C46*0.925,C46*0.95))</f>
        <v>852.90620000000001</v>
      </c>
    </row>
    <row r="50" spans="1:6" ht="17.25" thickBot="1" x14ac:dyDescent="0.35">
      <c r="B50" s="207"/>
      <c r="C50" s="149">
        <f>IF(C46&lt;=80, 10%, IF(C46&lt;250, 7.5%, 5%))</f>
        <v>0.05</v>
      </c>
      <c r="D50" s="148">
        <f>IF(C46&lt;=80, C46*1.1, IF(C46&lt;250, C46*1.075, C46*1.05))</f>
        <v>942.68580000000009</v>
      </c>
    </row>
    <row r="51" spans="1:6" ht="16.5" thickBot="1" x14ac:dyDescent="0.3">
      <c r="A51" s="150"/>
      <c r="B51" s="151"/>
      <c r="C51" s="120"/>
      <c r="D51" s="152"/>
      <c r="E51" s="120"/>
      <c r="F51" s="125"/>
    </row>
    <row r="52" spans="1:6" ht="16.5" x14ac:dyDescent="0.3">
      <c r="A52" s="120"/>
      <c r="B52" s="153" t="s">
        <v>14</v>
      </c>
      <c r="C52" s="153"/>
      <c r="D52" s="154" t="s">
        <v>16</v>
      </c>
      <c r="E52" s="155"/>
      <c r="F52" s="154" t="s">
        <v>15</v>
      </c>
    </row>
    <row r="53" spans="1:6" ht="34.5" customHeight="1" x14ac:dyDescent="0.3">
      <c r="A53" s="156" t="s">
        <v>10</v>
      </c>
      <c r="B53" s="157"/>
      <c r="C53" s="158"/>
      <c r="D53" s="157"/>
      <c r="E53" s="159"/>
      <c r="F53" s="160"/>
    </row>
    <row r="54" spans="1:6" ht="34.5" customHeight="1" x14ac:dyDescent="0.3">
      <c r="A54" s="156" t="s">
        <v>17</v>
      </c>
      <c r="B54" s="161"/>
      <c r="C54" s="162"/>
      <c r="D54" s="161"/>
      <c r="E54" s="159"/>
      <c r="F54" s="163"/>
    </row>
  </sheetData>
  <sheetProtection password="AD9C" sheet="1" objects="1" scenarios="1" formatCells="0" formatColumn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:D44">
    <cfRule type="cellIs" dxfId="3" priority="1" stopIfTrue="1" operator="notBetween">
      <formula>IF($C$46&lt;=80,-10.5%,IF($C$46&lt;250,-7.5%,-5.5%))</formula>
      <formula>IF($C$46&lt;=80,10.5%, IF($C$46&lt;250,7.5%,5.5%))</formula>
    </cfRule>
  </conditionalFormatting>
  <pageMargins left="0.75" right="0.75" top="1" bottom="1" header="0.5" footer="0.5"/>
  <pageSetup scale="69" orientation="portrait" r:id="rId1"/>
  <headerFooter alignWithMargins="0">
    <oddFooter>&amp;C&amp;P of &amp;N&amp;R&amp;D &amp;T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abSelected="1" view="pageBreakPreview" topLeftCell="A10" zoomScale="55" zoomScaleNormal="75" zoomScaleSheetLayoutView="55" zoomScalePageLayoutView="55" workbookViewId="0">
      <selection activeCell="J64" sqref="J64"/>
    </sheetView>
  </sheetViews>
  <sheetFormatPr defaultRowHeight="18.75" x14ac:dyDescent="0.3"/>
  <cols>
    <col min="1" max="1" width="47.28515625" style="7" customWidth="1"/>
    <col min="2" max="2" width="32.28515625" style="7" customWidth="1"/>
    <col min="3" max="3" width="33.28515625" style="7" customWidth="1"/>
    <col min="4" max="5" width="30.5703125" style="7" customWidth="1"/>
    <col min="6" max="6" width="33.5703125" style="7" customWidth="1"/>
    <col min="7" max="7" width="39.85546875" style="7" customWidth="1"/>
    <col min="8" max="8" width="31.7109375" style="7" customWidth="1"/>
    <col min="9" max="9" width="31.140625" style="7" customWidth="1"/>
    <col min="10" max="10" width="32.28515625" style="1" customWidth="1"/>
    <col min="11" max="11" width="22.28515625" style="1" bestFit="1" customWidth="1"/>
    <col min="12" max="12" width="19.5703125" style="1" customWidth="1"/>
    <col min="13" max="13" width="21.140625" style="1" bestFit="1" customWidth="1"/>
    <col min="14" max="16384" width="9.140625" style="1"/>
  </cols>
  <sheetData>
    <row r="1" spans="1:10" x14ac:dyDescent="0.3">
      <c r="A1" s="212" t="s">
        <v>57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0" x14ac:dyDescent="0.3">
      <c r="A2" s="212"/>
      <c r="B2" s="212"/>
      <c r="C2" s="212"/>
      <c r="D2" s="212"/>
      <c r="E2" s="212"/>
      <c r="F2" s="212"/>
      <c r="G2" s="212"/>
      <c r="H2" s="212"/>
      <c r="I2" s="212"/>
      <c r="J2" s="212"/>
    </row>
    <row r="3" spans="1:10" x14ac:dyDescent="0.3">
      <c r="A3" s="212"/>
      <c r="B3" s="212"/>
      <c r="C3" s="212"/>
      <c r="D3" s="212"/>
      <c r="E3" s="212"/>
      <c r="F3" s="212"/>
      <c r="G3" s="212"/>
      <c r="H3" s="212"/>
      <c r="I3" s="212"/>
      <c r="J3" s="212"/>
    </row>
    <row r="4" spans="1:10" x14ac:dyDescent="0.3">
      <c r="A4" s="212"/>
      <c r="B4" s="212"/>
      <c r="C4" s="212"/>
      <c r="D4" s="212"/>
      <c r="E4" s="212"/>
      <c r="F4" s="212"/>
      <c r="G4" s="212"/>
      <c r="H4" s="212"/>
      <c r="I4" s="212"/>
      <c r="J4" s="212"/>
    </row>
    <row r="5" spans="1:10" x14ac:dyDescent="0.3">
      <c r="A5" s="212"/>
      <c r="B5" s="212"/>
      <c r="C5" s="212"/>
      <c r="D5" s="212"/>
      <c r="E5" s="212"/>
      <c r="F5" s="212"/>
      <c r="G5" s="212"/>
      <c r="H5" s="212"/>
      <c r="I5" s="212"/>
      <c r="J5" s="212"/>
    </row>
    <row r="6" spans="1:10" x14ac:dyDescent="0.3">
      <c r="A6" s="212"/>
      <c r="B6" s="212"/>
      <c r="C6" s="212"/>
      <c r="D6" s="212"/>
      <c r="E6" s="212"/>
      <c r="F6" s="212"/>
      <c r="G6" s="212"/>
      <c r="H6" s="212"/>
      <c r="I6" s="212"/>
      <c r="J6" s="212"/>
    </row>
    <row r="7" spans="1:10" x14ac:dyDescent="0.3">
      <c r="A7" s="212"/>
      <c r="B7" s="212"/>
      <c r="C7" s="212"/>
      <c r="D7" s="212"/>
      <c r="E7" s="212"/>
      <c r="F7" s="212"/>
      <c r="G7" s="212"/>
      <c r="H7" s="212"/>
      <c r="I7" s="212"/>
      <c r="J7" s="212"/>
    </row>
    <row r="8" spans="1:10" x14ac:dyDescent="0.3">
      <c r="A8" s="211" t="s">
        <v>43</v>
      </c>
      <c r="B8" s="211"/>
      <c r="C8" s="211"/>
      <c r="D8" s="211"/>
      <c r="E8" s="211"/>
      <c r="F8" s="211"/>
      <c r="G8" s="211"/>
      <c r="H8" s="211"/>
      <c r="I8" s="211"/>
      <c r="J8" s="211"/>
    </row>
    <row r="9" spans="1:10" x14ac:dyDescent="0.3">
      <c r="A9" s="211"/>
      <c r="B9" s="211"/>
      <c r="C9" s="211"/>
      <c r="D9" s="211"/>
      <c r="E9" s="211"/>
      <c r="F9" s="211"/>
      <c r="G9" s="211"/>
      <c r="H9" s="211"/>
      <c r="I9" s="211"/>
      <c r="J9" s="211"/>
    </row>
    <row r="10" spans="1:10" x14ac:dyDescent="0.3">
      <c r="A10" s="211"/>
      <c r="B10" s="211"/>
      <c r="C10" s="211"/>
      <c r="D10" s="211"/>
      <c r="E10" s="211"/>
      <c r="F10" s="211"/>
      <c r="G10" s="211"/>
      <c r="H10" s="211"/>
      <c r="I10" s="211"/>
      <c r="J10" s="211"/>
    </row>
    <row r="11" spans="1:10" x14ac:dyDescent="0.3">
      <c r="A11" s="211"/>
      <c r="B11" s="211"/>
      <c r="C11" s="211"/>
      <c r="D11" s="211"/>
      <c r="E11" s="211"/>
      <c r="F11" s="211"/>
      <c r="G11" s="211"/>
      <c r="H11" s="211"/>
      <c r="I11" s="211"/>
      <c r="J11" s="211"/>
    </row>
    <row r="12" spans="1:10" x14ac:dyDescent="0.3">
      <c r="A12" s="211"/>
      <c r="B12" s="211"/>
      <c r="C12" s="211"/>
      <c r="D12" s="211"/>
      <c r="E12" s="211"/>
      <c r="F12" s="211"/>
      <c r="G12" s="211"/>
      <c r="H12" s="211"/>
      <c r="I12" s="211"/>
      <c r="J12" s="211"/>
    </row>
    <row r="13" spans="1:10" x14ac:dyDescent="0.3">
      <c r="A13" s="211"/>
      <c r="B13" s="211"/>
      <c r="C13" s="211"/>
      <c r="D13" s="211"/>
      <c r="E13" s="211"/>
      <c r="F13" s="211"/>
      <c r="G13" s="211"/>
      <c r="H13" s="211"/>
      <c r="I13" s="211"/>
      <c r="J13" s="211"/>
    </row>
    <row r="14" spans="1:10" x14ac:dyDescent="0.3">
      <c r="A14" s="211"/>
      <c r="B14" s="211"/>
      <c r="C14" s="211"/>
      <c r="D14" s="211"/>
      <c r="E14" s="211"/>
      <c r="F14" s="211"/>
      <c r="G14" s="211"/>
      <c r="H14" s="211"/>
      <c r="I14" s="211"/>
      <c r="J14" s="211"/>
    </row>
    <row r="15" spans="1:10" ht="19.5" thickBot="1" x14ac:dyDescent="0.35"/>
    <row r="16" spans="1:10" ht="19.5" thickBot="1" x14ac:dyDescent="0.35">
      <c r="A16" s="216" t="s">
        <v>19</v>
      </c>
      <c r="B16" s="217"/>
      <c r="C16" s="217"/>
      <c r="D16" s="217"/>
      <c r="E16" s="217"/>
      <c r="F16" s="217"/>
      <c r="G16" s="217"/>
      <c r="H16" s="217"/>
      <c r="I16" s="218"/>
    </row>
    <row r="17" spans="1:15" x14ac:dyDescent="0.3">
      <c r="A17" s="219" t="s">
        <v>0</v>
      </c>
      <c r="B17" s="219"/>
      <c r="C17" s="219"/>
      <c r="D17" s="219"/>
      <c r="E17" s="219"/>
      <c r="F17" s="219"/>
      <c r="G17" s="219"/>
      <c r="H17" s="219"/>
      <c r="I17" s="219"/>
    </row>
    <row r="18" spans="1:15" x14ac:dyDescent="0.3">
      <c r="A18" s="8" t="s">
        <v>1</v>
      </c>
      <c r="B18" s="38" t="s">
        <v>45</v>
      </c>
      <c r="C18" s="38"/>
      <c r="D18" s="38"/>
      <c r="E18" s="38"/>
      <c r="F18" s="38"/>
    </row>
    <row r="19" spans="1:15" x14ac:dyDescent="0.3">
      <c r="A19" s="8" t="s">
        <v>2</v>
      </c>
      <c r="B19" s="39" t="s">
        <v>39</v>
      </c>
      <c r="C19" s="116">
        <v>39</v>
      </c>
    </row>
    <row r="20" spans="1:15" x14ac:dyDescent="0.3">
      <c r="A20" s="8" t="s">
        <v>3</v>
      </c>
      <c r="B20" s="39" t="s">
        <v>53</v>
      </c>
    </row>
    <row r="21" spans="1:15" x14ac:dyDescent="0.3">
      <c r="A21" s="8" t="s">
        <v>4</v>
      </c>
      <c r="B21" s="9" t="s">
        <v>65</v>
      </c>
      <c r="C21" s="9"/>
      <c r="D21" s="9"/>
      <c r="E21" s="9"/>
      <c r="F21" s="9"/>
      <c r="G21" s="9"/>
      <c r="H21" s="9"/>
      <c r="I21" s="9"/>
      <c r="J21" s="5"/>
    </row>
    <row r="22" spans="1:15" x14ac:dyDescent="0.3">
      <c r="A22" s="8" t="s">
        <v>12</v>
      </c>
      <c r="B22" s="40">
        <v>43116</v>
      </c>
    </row>
    <row r="23" spans="1:15" x14ac:dyDescent="0.3">
      <c r="A23" s="8" t="s">
        <v>5</v>
      </c>
      <c r="B23" s="40">
        <v>43124</v>
      </c>
    </row>
    <row r="24" spans="1:15" x14ac:dyDescent="0.3">
      <c r="A24" s="8"/>
      <c r="B24" s="10"/>
    </row>
    <row r="25" spans="1:15" x14ac:dyDescent="0.3">
      <c r="A25" s="11" t="s">
        <v>7</v>
      </c>
      <c r="B25" s="17" t="s">
        <v>62</v>
      </c>
    </row>
    <row r="26" spans="1:15" s="37" customFormat="1" x14ac:dyDescent="0.3">
      <c r="A26" s="12"/>
      <c r="B26" s="13"/>
      <c r="C26" s="34"/>
      <c r="D26" s="34"/>
      <c r="E26" s="34"/>
      <c r="F26" s="34"/>
      <c r="G26" s="34"/>
      <c r="H26" s="7"/>
      <c r="I26" s="34"/>
      <c r="J26" s="35"/>
      <c r="K26" s="35"/>
      <c r="L26" s="35"/>
      <c r="M26" s="2"/>
      <c r="N26" s="2"/>
      <c r="O26" s="36"/>
    </row>
    <row r="27" spans="1:15" s="37" customFormat="1" ht="26.25" x14ac:dyDescent="0.4">
      <c r="A27" s="47" t="s">
        <v>9</v>
      </c>
      <c r="B27" s="69" t="s">
        <v>44</v>
      </c>
      <c r="C27" s="67"/>
      <c r="D27" s="58"/>
      <c r="E27" s="58"/>
      <c r="F27" s="48"/>
      <c r="G27" s="48"/>
      <c r="H27" s="48"/>
      <c r="I27" s="34"/>
      <c r="J27" s="35"/>
      <c r="K27" s="35"/>
      <c r="L27" s="35"/>
      <c r="M27" s="2"/>
      <c r="N27" s="2"/>
      <c r="O27" s="36"/>
    </row>
    <row r="28" spans="1:15" s="190" customFormat="1" ht="26.25" x14ac:dyDescent="0.4">
      <c r="A28" s="201"/>
      <c r="B28" s="202"/>
      <c r="C28" s="68"/>
      <c r="D28" s="58"/>
      <c r="E28" s="58"/>
      <c r="F28" s="58"/>
      <c r="G28" s="58"/>
      <c r="H28" s="58"/>
      <c r="I28" s="200"/>
      <c r="J28" s="35"/>
      <c r="K28" s="35"/>
      <c r="L28" s="35"/>
      <c r="M28" s="2"/>
      <c r="N28" s="2"/>
      <c r="O28" s="36"/>
    </row>
    <row r="29" spans="1:15" s="37" customFormat="1" ht="26.25" x14ac:dyDescent="0.4">
      <c r="A29" s="14" t="s">
        <v>23</v>
      </c>
      <c r="B29" s="67">
        <v>65.400000000000006</v>
      </c>
      <c r="C29" s="68"/>
      <c r="D29" s="46"/>
      <c r="E29" s="46"/>
      <c r="F29" s="46"/>
      <c r="G29" s="46"/>
      <c r="H29" s="46"/>
      <c r="I29" s="44"/>
      <c r="J29" s="35"/>
      <c r="K29" s="35"/>
      <c r="L29" s="35"/>
      <c r="M29" s="2"/>
      <c r="N29" s="2"/>
      <c r="O29" s="36"/>
    </row>
    <row r="30" spans="1:15" s="190" customFormat="1" ht="26.25" x14ac:dyDescent="0.4">
      <c r="A30" s="188"/>
      <c r="B30" s="68"/>
      <c r="C30" s="68"/>
      <c r="D30" s="46"/>
      <c r="E30" s="46"/>
      <c r="F30" s="46"/>
      <c r="G30" s="46"/>
      <c r="H30" s="46"/>
      <c r="I30" s="189"/>
      <c r="J30" s="35"/>
      <c r="K30" s="35"/>
      <c r="L30" s="35"/>
      <c r="M30" s="2"/>
      <c r="N30" s="2"/>
      <c r="O30" s="36"/>
    </row>
    <row r="31" spans="1:15" s="37" customFormat="1" ht="26.25" x14ac:dyDescent="0.4">
      <c r="A31" s="86" t="s">
        <v>63</v>
      </c>
      <c r="B31" s="87">
        <v>0.05</v>
      </c>
      <c r="C31" s="68"/>
      <c r="D31" s="46"/>
      <c r="E31" s="46"/>
      <c r="F31" s="46"/>
      <c r="G31" s="46"/>
      <c r="H31" s="46"/>
      <c r="I31" s="44"/>
      <c r="J31" s="35"/>
      <c r="K31" s="35"/>
      <c r="L31" s="35"/>
      <c r="M31" s="2"/>
      <c r="N31" s="2"/>
      <c r="O31" s="36"/>
    </row>
    <row r="32" spans="1:15" s="190" customFormat="1" ht="26.25" x14ac:dyDescent="0.4">
      <c r="A32" s="188"/>
      <c r="B32" s="191"/>
      <c r="C32" s="68"/>
      <c r="D32" s="46"/>
      <c r="E32" s="46"/>
      <c r="F32" s="46"/>
      <c r="G32" s="46"/>
      <c r="H32" s="46"/>
      <c r="I32" s="189"/>
      <c r="J32" s="35"/>
      <c r="K32" s="35"/>
      <c r="L32" s="35"/>
      <c r="M32" s="2"/>
      <c r="N32" s="2"/>
      <c r="O32" s="36"/>
    </row>
    <row r="33" spans="1:15" s="37" customFormat="1" ht="26.25" x14ac:dyDescent="0.4">
      <c r="A33" s="64" t="s">
        <v>64</v>
      </c>
      <c r="B33" s="67">
        <v>1</v>
      </c>
      <c r="C33" s="60" t="s">
        <v>21</v>
      </c>
      <c r="D33" s="67">
        <v>1</v>
      </c>
      <c r="E33" s="59"/>
      <c r="G33" s="34"/>
      <c r="H33" s="7"/>
      <c r="I33" s="34"/>
      <c r="J33" s="35"/>
      <c r="K33" s="35"/>
      <c r="L33" s="35"/>
      <c r="M33" s="2"/>
      <c r="N33" s="2"/>
      <c r="O33" s="36"/>
    </row>
    <row r="34" spans="1:15" s="37" customFormat="1" x14ac:dyDescent="0.3">
      <c r="A34" s="12"/>
      <c r="B34" s="13"/>
      <c r="C34" s="34"/>
      <c r="D34" s="34"/>
      <c r="E34" s="34"/>
      <c r="F34" s="34"/>
      <c r="G34" s="34"/>
      <c r="H34" s="7"/>
      <c r="I34" s="34"/>
      <c r="J34" s="35"/>
      <c r="K34" s="35"/>
      <c r="L34" s="35"/>
      <c r="M34" s="2"/>
      <c r="N34" s="2"/>
      <c r="O34" s="36"/>
    </row>
    <row r="35" spans="1:15" s="37" customFormat="1" ht="26.25" x14ac:dyDescent="0.4">
      <c r="A35" s="12" t="s">
        <v>58</v>
      </c>
      <c r="B35" s="165">
        <f>100/25</f>
        <v>4</v>
      </c>
      <c r="C35" s="34"/>
      <c r="D35" s="34"/>
      <c r="E35" s="34"/>
      <c r="F35" s="34"/>
      <c r="G35" s="34"/>
      <c r="H35" s="7"/>
      <c r="I35" s="34"/>
      <c r="J35" s="35"/>
      <c r="K35" s="35"/>
      <c r="L35" s="35"/>
      <c r="M35" s="2"/>
      <c r="N35" s="2"/>
      <c r="O35" s="36"/>
    </row>
    <row r="36" spans="1:15" s="37" customFormat="1" ht="19.5" thickBot="1" x14ac:dyDescent="0.35">
      <c r="A36" s="12"/>
      <c r="B36" s="13"/>
      <c r="C36" s="34"/>
      <c r="D36" s="34"/>
      <c r="E36" s="34"/>
      <c r="F36" s="34"/>
      <c r="G36" s="34"/>
      <c r="H36" s="7"/>
      <c r="I36" s="34"/>
      <c r="J36" s="35"/>
      <c r="K36" s="35"/>
      <c r="L36" s="35"/>
      <c r="M36" s="2"/>
      <c r="N36" s="2"/>
      <c r="O36" s="36"/>
    </row>
    <row r="37" spans="1:15" s="37" customFormat="1" ht="19.5" thickBot="1" x14ac:dyDescent="0.35">
      <c r="A37" s="20" t="s">
        <v>26</v>
      </c>
      <c r="B37" s="20" t="s">
        <v>22</v>
      </c>
      <c r="C37" s="65" t="s">
        <v>38</v>
      </c>
      <c r="D37" s="20" t="s">
        <v>20</v>
      </c>
      <c r="E37" s="66" t="s">
        <v>24</v>
      </c>
      <c r="F37" s="70" t="s">
        <v>40</v>
      </c>
      <c r="G37" s="20" t="s">
        <v>42</v>
      </c>
      <c r="K37" s="35"/>
      <c r="L37" s="35"/>
      <c r="M37" s="2"/>
      <c r="N37" s="2"/>
      <c r="O37" s="36"/>
    </row>
    <row r="38" spans="1:15" s="37" customFormat="1" ht="26.25" x14ac:dyDescent="0.4">
      <c r="A38" s="61" t="s">
        <v>27</v>
      </c>
      <c r="B38" s="76">
        <v>102.46</v>
      </c>
      <c r="C38" s="185">
        <f>IF(ISBLANK(B38), "-",(B38/$B$35)/$B$29*($B$33/$D$33))</f>
        <v>0.39166666666666661</v>
      </c>
      <c r="D38" s="182">
        <v>7.75</v>
      </c>
      <c r="E38" s="88">
        <f>IF(ISBLANK(B38), "-",C38/D38)</f>
        <v>5.0537634408602143E-2</v>
      </c>
      <c r="F38" s="97">
        <f>IF(ISBLANK(B38), "-",(E38-$B$31)/$B$31)</f>
        <v>1.0752688172042807E-2</v>
      </c>
      <c r="G38" s="91">
        <f>IF(ISBLANK(B38),"-",E38/$B$31)</f>
        <v>1.0107526881720428</v>
      </c>
      <c r="K38" s="35"/>
      <c r="L38" s="35"/>
      <c r="M38" s="2"/>
      <c r="N38" s="2"/>
      <c r="O38" s="36"/>
    </row>
    <row r="39" spans="1:15" s="37" customFormat="1" ht="26.25" x14ac:dyDescent="0.4">
      <c r="A39" s="62" t="s">
        <v>28</v>
      </c>
      <c r="B39" s="77">
        <v>102.25</v>
      </c>
      <c r="C39" s="186">
        <f>IF(ISBLANK(B39), "-",(B39/$B$35)/$B$29*($B$33/$D$33))</f>
        <v>0.39086391437308865</v>
      </c>
      <c r="D39" s="183">
        <v>7.75</v>
      </c>
      <c r="E39" s="89">
        <f>IF(ISBLANK(B39), "-",C39/D39)</f>
        <v>5.0434053467495313E-2</v>
      </c>
      <c r="F39" s="98">
        <f>IF(ISBLANK(B39), "-",(E39-$B$31)/$B$31)</f>
        <v>8.6810693499062008E-3</v>
      </c>
      <c r="G39" s="92">
        <f>IF(ISBLANK(B39),"-",E39/$B$31)</f>
        <v>1.0086810693499062</v>
      </c>
      <c r="K39" s="35"/>
      <c r="L39" s="35"/>
      <c r="M39" s="2"/>
      <c r="N39" s="2"/>
      <c r="O39" s="36"/>
    </row>
    <row r="40" spans="1:15" s="37" customFormat="1" ht="26.25" x14ac:dyDescent="0.4">
      <c r="A40" s="62" t="s">
        <v>29</v>
      </c>
      <c r="B40" s="77">
        <v>101.61</v>
      </c>
      <c r="C40" s="186">
        <f>IF(ISBLANK(B40), "-",(B40/$B$35)/$B$29*($B$33/$D$33))</f>
        <v>0.38841743119266053</v>
      </c>
      <c r="D40" s="183">
        <v>7.7</v>
      </c>
      <c r="E40" s="89">
        <f>IF(ISBLANK(B40), "-",C40/D40)</f>
        <v>5.0443822232813053E-2</v>
      </c>
      <c r="F40" s="98">
        <f>IF(ISBLANK(B40), "-",(E40-$B$31)/$B$31)</f>
        <v>8.8764446562610011E-3</v>
      </c>
      <c r="G40" s="92">
        <f>IF(ISBLANK(B40),"-",E40/$B$31)</f>
        <v>1.008876444656261</v>
      </c>
      <c r="K40" s="35"/>
      <c r="L40" s="35"/>
      <c r="M40" s="2"/>
      <c r="N40" s="2"/>
      <c r="O40" s="36"/>
    </row>
    <row r="41" spans="1:15" s="37" customFormat="1" ht="27" thickBot="1" x14ac:dyDescent="0.45">
      <c r="A41" s="63" t="s">
        <v>30</v>
      </c>
      <c r="B41" s="78">
        <v>100.02</v>
      </c>
      <c r="C41" s="187">
        <f>IF(ISBLANK(B41), "-",(B41/$B$35)/$B$29*($B$33/$D$33))</f>
        <v>0.38233944954128435</v>
      </c>
      <c r="D41" s="184">
        <v>7.6</v>
      </c>
      <c r="E41" s="90">
        <f>IF(ISBLANK(B41), "-",C41/D41)</f>
        <v>5.0307822308063729E-2</v>
      </c>
      <c r="F41" s="99">
        <f>IF(ISBLANK(B41), "-",(E41-$B$31)/$B$31)</f>
        <v>6.1564461612745314E-3</v>
      </c>
      <c r="G41" s="93">
        <f>IF(ISBLANK(B41),"-",E41/$B$31)</f>
        <v>1.0061564461612744</v>
      </c>
      <c r="K41" s="35"/>
      <c r="L41" s="35"/>
      <c r="M41" s="2"/>
      <c r="N41" s="2"/>
      <c r="O41" s="36"/>
    </row>
    <row r="42" spans="1:15" ht="19.5" thickBot="1" x14ac:dyDescent="0.35">
      <c r="A42" s="1"/>
      <c r="B42" s="1"/>
      <c r="C42" s="1"/>
      <c r="D42" s="80" t="s">
        <v>25</v>
      </c>
      <c r="E42" s="57">
        <f>AVERAGE(E38:E41)</f>
        <v>5.0430833104243553E-2</v>
      </c>
      <c r="F42" s="115">
        <f>AVERAGE(F38:F41)</f>
        <v>8.6166620848711351E-3</v>
      </c>
      <c r="G42" s="114">
        <f>AVERAGE(G38:G41)</f>
        <v>1.0086166620848711</v>
      </c>
      <c r="I42" s="1"/>
      <c r="M42" s="2"/>
      <c r="N42" s="2"/>
      <c r="O42" s="3"/>
    </row>
    <row r="43" spans="1:15" x14ac:dyDescent="0.3">
      <c r="A43" s="1"/>
      <c r="B43" s="41"/>
      <c r="C43" s="43"/>
      <c r="D43" s="53" t="s">
        <v>13</v>
      </c>
      <c r="E43" s="54">
        <f>STDEV(E38:E41)/E42</f>
        <v>1.8712818749626904E-3</v>
      </c>
      <c r="F43" s="95"/>
      <c r="G43" s="1"/>
      <c r="I43" s="1"/>
    </row>
    <row r="44" spans="1:15" ht="19.5" thickBot="1" x14ac:dyDescent="0.35">
      <c r="A44" s="1"/>
      <c r="B44" s="41"/>
      <c r="C44" s="43"/>
      <c r="D44" s="55" t="s">
        <v>6</v>
      </c>
      <c r="E44" s="56">
        <f>COUNT(E38:E41)</f>
        <v>4</v>
      </c>
      <c r="F44" s="96"/>
      <c r="G44" s="1"/>
      <c r="I44" s="1"/>
    </row>
    <row r="45" spans="1:15" x14ac:dyDescent="0.3">
      <c r="A45" s="45"/>
      <c r="B45" s="42"/>
      <c r="C45" s="41"/>
      <c r="D45" s="41"/>
      <c r="E45" s="41"/>
      <c r="F45" s="41"/>
      <c r="G45" s="94"/>
      <c r="H45" s="1"/>
      <c r="I45" s="1"/>
    </row>
    <row r="47" spans="1:15" x14ac:dyDescent="0.3">
      <c r="A47" s="16" t="s">
        <v>7</v>
      </c>
      <c r="B47" s="17" t="s">
        <v>18</v>
      </c>
    </row>
    <row r="48" spans="1:15" x14ac:dyDescent="0.3">
      <c r="A48" s="7" t="s">
        <v>8</v>
      </c>
      <c r="B48" s="18" t="str">
        <f>B21</f>
        <v>Each tablet contains Calcium Carbonate B.P. 625 mg equivalent to 250 mg Calcium</v>
      </c>
    </row>
    <row r="49" spans="1:11" ht="26.25" x14ac:dyDescent="0.3">
      <c r="A49" s="12" t="s">
        <v>59</v>
      </c>
      <c r="B49" s="192">
        <v>250</v>
      </c>
      <c r="C49" s="7" t="str">
        <f>B20</f>
        <v>Calcium</v>
      </c>
      <c r="I49" s="19"/>
    </row>
    <row r="50" spans="1:11" ht="26.25" x14ac:dyDescent="0.3">
      <c r="A50" s="12"/>
      <c r="B50" s="193"/>
      <c r="I50" s="19"/>
    </row>
    <row r="51" spans="1:11" ht="26.25" x14ac:dyDescent="0.3">
      <c r="A51" s="198" t="s">
        <v>11</v>
      </c>
      <c r="B51" s="194">
        <f>Uniformity!C46</f>
        <v>897.79600000000005</v>
      </c>
      <c r="I51" s="19"/>
    </row>
    <row r="52" spans="1:11" ht="26.25" x14ac:dyDescent="0.3">
      <c r="A52" s="18"/>
      <c r="B52" s="195"/>
      <c r="I52" s="19"/>
    </row>
    <row r="53" spans="1:11" ht="26.25" x14ac:dyDescent="0.4">
      <c r="A53" s="199" t="s">
        <v>60</v>
      </c>
      <c r="B53" s="197">
        <v>2.004</v>
      </c>
      <c r="C53" s="1" t="str">
        <f>B20</f>
        <v>Calcium</v>
      </c>
      <c r="I53" s="19"/>
    </row>
    <row r="54" spans="1:11" ht="26.25" x14ac:dyDescent="0.4">
      <c r="A54" s="1"/>
      <c r="B54" s="196"/>
      <c r="C54" s="1"/>
      <c r="D54" s="1"/>
      <c r="E54" s="1"/>
      <c r="I54" s="19"/>
    </row>
    <row r="55" spans="1:11" ht="26.25" x14ac:dyDescent="0.4">
      <c r="A55" s="164" t="s">
        <v>61</v>
      </c>
      <c r="B55" s="165">
        <v>50</v>
      </c>
      <c r="C55" s="1"/>
      <c r="D55" s="1"/>
      <c r="E55" s="1"/>
      <c r="I55" s="19"/>
    </row>
    <row r="56" spans="1:11" ht="26.25" x14ac:dyDescent="0.4">
      <c r="A56" s="1"/>
      <c r="B56" s="196"/>
      <c r="C56" s="1"/>
      <c r="D56" s="1"/>
      <c r="E56" s="1"/>
      <c r="I56" s="19"/>
    </row>
    <row r="57" spans="1:11" ht="27" thickBot="1" x14ac:dyDescent="0.45">
      <c r="A57" s="164" t="s">
        <v>58</v>
      </c>
      <c r="B57" s="165">
        <f>250/50</f>
        <v>5</v>
      </c>
      <c r="C57" s="1"/>
      <c r="D57" s="1"/>
      <c r="E57" s="1"/>
      <c r="I57" s="19"/>
    </row>
    <row r="58" spans="1:11" ht="19.5" thickBot="1" x14ac:dyDescent="0.35">
      <c r="C58" s="1"/>
      <c r="D58" s="1"/>
      <c r="E58" s="1"/>
      <c r="F58" s="1"/>
      <c r="G58" s="1"/>
      <c r="H58" s="214" t="s">
        <v>37</v>
      </c>
      <c r="I58" s="215"/>
      <c r="K58" s="102"/>
    </row>
    <row r="59" spans="1:11" ht="19.5" thickBot="1" x14ac:dyDescent="0.35">
      <c r="A59" s="71" t="s">
        <v>31</v>
      </c>
      <c r="B59" s="20" t="s">
        <v>32</v>
      </c>
      <c r="C59" s="20" t="s">
        <v>33</v>
      </c>
      <c r="D59" s="20" t="s">
        <v>34</v>
      </c>
      <c r="E59" s="20" t="s">
        <v>54</v>
      </c>
      <c r="F59" s="20" t="s">
        <v>55</v>
      </c>
      <c r="G59" s="83" t="s">
        <v>35</v>
      </c>
      <c r="H59" s="20" t="s">
        <v>56</v>
      </c>
      <c r="I59" s="20" t="s">
        <v>41</v>
      </c>
      <c r="J59" s="108" t="s">
        <v>36</v>
      </c>
      <c r="K59" s="72"/>
    </row>
    <row r="60" spans="1:11" ht="26.25" x14ac:dyDescent="0.4">
      <c r="A60" s="73" t="s">
        <v>27</v>
      </c>
      <c r="B60" s="76">
        <v>889.88</v>
      </c>
      <c r="C60" s="51">
        <v>26.2</v>
      </c>
      <c r="D60" s="166">
        <v>50.3</v>
      </c>
      <c r="E60" s="172">
        <f>IF(ISBLANK(A60),"-",C60/$D$64*$B$55)</f>
        <v>26.043737574552683</v>
      </c>
      <c r="F60" s="169">
        <f>$B$55-E60</f>
        <v>23.956262425447317</v>
      </c>
      <c r="G60" s="176">
        <f>IF(ISBLANK(B60), "-",F60*$G$42)</f>
        <v>24.162685443583893</v>
      </c>
      <c r="H60" s="179">
        <f>IF(ISBLANK(B60),"-",G60*$B$53*$B$57)</f>
        <v>242.11010814471058</v>
      </c>
      <c r="I60" s="85">
        <f>IF(ISBLANK(B60),"-",H60*$B$51/B60)</f>
        <v>244.26381832594123</v>
      </c>
      <c r="J60" s="109">
        <f>IF(ISBLANK(B60),"-",I60/$B$49)</f>
        <v>0.97705527330376496</v>
      </c>
      <c r="K60" s="103"/>
    </row>
    <row r="61" spans="1:11" ht="26.25" x14ac:dyDescent="0.4">
      <c r="A61" s="74" t="s">
        <v>28</v>
      </c>
      <c r="B61" s="77">
        <v>903.51</v>
      </c>
      <c r="C61" s="49">
        <v>26.5</v>
      </c>
      <c r="D61" s="167">
        <v>50.4</v>
      </c>
      <c r="E61" s="173">
        <f>IF(ISBLANK(A61),"-",C61/$D$64*$B$55)</f>
        <v>26.34194831013917</v>
      </c>
      <c r="F61" s="170">
        <f>$B$55-E61</f>
        <v>23.65805168986083</v>
      </c>
      <c r="G61" s="177">
        <f>IF(ISBLANK(B61), "-",F61*$G$42)</f>
        <v>23.861905126858776</v>
      </c>
      <c r="H61" s="180">
        <f>IF(ISBLANK(B61),"-",G61*$B$53*$B$57)</f>
        <v>239.09628937112495</v>
      </c>
      <c r="I61" s="101">
        <f t="shared" ref="I61:I63" si="0">IF(ISBLANK(B61),"-",H61*$B$51/B61)</f>
        <v>237.58419078066484</v>
      </c>
      <c r="J61" s="110">
        <f t="shared" ref="J61:J63" si="1">IF(ISBLANK(B61),"-",I61/$B$49)</f>
        <v>0.95033676312265936</v>
      </c>
      <c r="K61" s="103"/>
    </row>
    <row r="62" spans="1:11" ht="26.25" x14ac:dyDescent="0.4">
      <c r="A62" s="74" t="s">
        <v>29</v>
      </c>
      <c r="B62" s="77">
        <v>896.15</v>
      </c>
      <c r="C62" s="49">
        <v>26.1</v>
      </c>
      <c r="D62" s="167">
        <v>50.3</v>
      </c>
      <c r="E62" s="173">
        <f>IF(ISBLANK(A62),"-",C62/$D$64*$B$55)</f>
        <v>25.944333996023861</v>
      </c>
      <c r="F62" s="170">
        <f>$B$55-E62</f>
        <v>24.055666003976139</v>
      </c>
      <c r="G62" s="177">
        <f>IF(ISBLANK(B62), "-",F62*$G$42)</f>
        <v>24.262945549158925</v>
      </c>
      <c r="H62" s="180">
        <f>IF(ISBLANK(B62),"-",G62*$B$53*$B$57)</f>
        <v>243.11471440257242</v>
      </c>
      <c r="I62" s="101">
        <f t="shared" si="0"/>
        <v>243.56125440135236</v>
      </c>
      <c r="J62" s="110">
        <f t="shared" si="1"/>
        <v>0.97424501760540938</v>
      </c>
      <c r="K62" s="103"/>
    </row>
    <row r="63" spans="1:11" ht="27" thickBot="1" x14ac:dyDescent="0.45">
      <c r="A63" s="75" t="s">
        <v>30</v>
      </c>
      <c r="B63" s="78">
        <v>888.69</v>
      </c>
      <c r="C63" s="50">
        <v>26.2</v>
      </c>
      <c r="D63" s="168">
        <v>50.2</v>
      </c>
      <c r="E63" s="174">
        <f>IF(ISBLANK(A63),"-",C63/$D$64*$B$55)</f>
        <v>26.043737574552683</v>
      </c>
      <c r="F63" s="171">
        <f>$B$55-E63</f>
        <v>23.956262425447317</v>
      </c>
      <c r="G63" s="178">
        <f>IF(ISBLANK(B63), "-",F63*$G$42)</f>
        <v>24.162685443583893</v>
      </c>
      <c r="H63" s="181">
        <f>IF(ISBLANK(B63),"-",G63*$B$53*$B$57)</f>
        <v>242.11010814471058</v>
      </c>
      <c r="I63" s="113">
        <f t="shared" si="0"/>
        <v>244.5908996971819</v>
      </c>
      <c r="J63" s="111">
        <f t="shared" si="1"/>
        <v>0.97836359878872758</v>
      </c>
      <c r="K63" s="104"/>
    </row>
    <row r="64" spans="1:11" ht="26.25" x14ac:dyDescent="0.4">
      <c r="C64" s="52" t="s">
        <v>25</v>
      </c>
      <c r="D64" s="79">
        <f>AVERAGE(D60:D63)</f>
        <v>50.3</v>
      </c>
      <c r="E64" s="175"/>
      <c r="G64" s="52" t="s">
        <v>25</v>
      </c>
      <c r="H64" s="84">
        <f>AVERAGE(H60:H63)</f>
        <v>241.60780501577963</v>
      </c>
      <c r="I64" s="84">
        <f>AVERAGE(I60:I63)</f>
        <v>242.50004080128508</v>
      </c>
      <c r="J64" s="112">
        <f t="shared" ref="J64" si="2">AVERAGE(J60:J63)</f>
        <v>0.97000016320514026</v>
      </c>
      <c r="K64" s="105"/>
    </row>
    <row r="65" spans="1:11" ht="26.25" x14ac:dyDescent="0.4">
      <c r="C65" s="53" t="s">
        <v>13</v>
      </c>
      <c r="D65" s="54">
        <f>IF(D64=0,"-",STDEV(D60:D63)/D64)</f>
        <v>1.6232536400153255E-3</v>
      </c>
      <c r="E65" s="95"/>
      <c r="G65" s="53" t="s">
        <v>13</v>
      </c>
      <c r="H65" s="100"/>
      <c r="I65" s="81">
        <f>STDEV(I60:I63)/I64</f>
        <v>1.3629962218751375E-2</v>
      </c>
      <c r="J65" s="81">
        <f t="shared" ref="J65" si="3">STDEV(J60:J63)/J64</f>
        <v>1.3629962218751381E-2</v>
      </c>
      <c r="K65" s="106"/>
    </row>
    <row r="66" spans="1:11" ht="27" thickBot="1" x14ac:dyDescent="0.45">
      <c r="C66" s="55" t="s">
        <v>6</v>
      </c>
      <c r="D66" s="56">
        <f>COUNT(D60:D63)</f>
        <v>4</v>
      </c>
      <c r="E66" s="96"/>
      <c r="G66" s="55" t="s">
        <v>6</v>
      </c>
      <c r="H66" s="82">
        <f>COUNT(H60:H63)</f>
        <v>4</v>
      </c>
      <c r="I66" s="82">
        <f>COUNT(I60:I63)</f>
        <v>4</v>
      </c>
      <c r="J66" s="82">
        <f t="shared" ref="J66" si="4">COUNT(J60:J63)</f>
        <v>4</v>
      </c>
      <c r="K66" s="107"/>
    </row>
    <row r="67" spans="1:11" x14ac:dyDescent="0.3">
      <c r="I67" s="19"/>
      <c r="K67" s="3"/>
    </row>
    <row r="68" spans="1:11" x14ac:dyDescent="0.3">
      <c r="I68" s="19"/>
    </row>
    <row r="69" spans="1:11" ht="19.5" thickBot="1" x14ac:dyDescent="0.35">
      <c r="A69" s="6"/>
      <c r="B69" s="6"/>
      <c r="C69" s="24"/>
      <c r="D69" s="24"/>
      <c r="E69" s="24"/>
      <c r="F69" s="24"/>
      <c r="G69" s="24"/>
      <c r="H69" s="24"/>
      <c r="I69" s="24"/>
    </row>
    <row r="70" spans="1:11" x14ac:dyDescent="0.3">
      <c r="B70" s="213" t="s">
        <v>14</v>
      </c>
      <c r="C70" s="213"/>
      <c r="F70" s="33" t="s">
        <v>16</v>
      </c>
      <c r="G70" s="25"/>
      <c r="H70" s="213" t="s">
        <v>15</v>
      </c>
      <c r="I70" s="213"/>
    </row>
    <row r="71" spans="1:11" ht="83.25" customHeight="1" x14ac:dyDescent="0.3">
      <c r="A71" s="26" t="s">
        <v>10</v>
      </c>
      <c r="B71" s="27"/>
      <c r="C71" s="27"/>
      <c r="F71" s="28"/>
      <c r="G71" s="23"/>
      <c r="H71" s="29"/>
      <c r="I71" s="29"/>
    </row>
    <row r="72" spans="1:11" ht="84" customHeight="1" x14ac:dyDescent="0.3">
      <c r="A72" s="26" t="s">
        <v>17</v>
      </c>
      <c r="B72" s="30"/>
      <c r="C72" s="30"/>
      <c r="F72" s="31"/>
      <c r="G72" s="23"/>
      <c r="H72" s="32"/>
      <c r="I72" s="32"/>
    </row>
    <row r="73" spans="1:11" x14ac:dyDescent="0.3">
      <c r="A73" s="21"/>
      <c r="B73" s="21"/>
      <c r="C73" s="15"/>
      <c r="D73" s="15"/>
      <c r="E73" s="15"/>
      <c r="F73" s="15"/>
      <c r="G73" s="22"/>
      <c r="H73" s="15"/>
      <c r="I73" s="15"/>
      <c r="J73" s="4"/>
    </row>
    <row r="74" spans="1:11" x14ac:dyDescent="0.3">
      <c r="A74" s="21"/>
      <c r="B74" s="21"/>
      <c r="C74" s="15"/>
      <c r="D74" s="15"/>
      <c r="E74" s="15"/>
      <c r="F74" s="15"/>
      <c r="G74" s="22"/>
      <c r="H74" s="15"/>
      <c r="I74" s="15"/>
      <c r="J74" s="4"/>
    </row>
    <row r="75" spans="1:11" x14ac:dyDescent="0.3">
      <c r="A75" s="21"/>
      <c r="B75" s="21"/>
      <c r="C75" s="15"/>
      <c r="D75" s="15"/>
      <c r="E75" s="15"/>
      <c r="F75" s="15"/>
      <c r="G75" s="22"/>
      <c r="H75" s="15"/>
      <c r="I75" s="15"/>
      <c r="J75" s="4"/>
    </row>
    <row r="76" spans="1:11" x14ac:dyDescent="0.3">
      <c r="A76" s="21"/>
      <c r="B76" s="21"/>
      <c r="C76" s="15"/>
      <c r="D76" s="15"/>
      <c r="E76" s="15"/>
      <c r="F76" s="15"/>
      <c r="G76" s="22"/>
      <c r="H76" s="15"/>
      <c r="I76" s="15"/>
      <c r="J76" s="4"/>
    </row>
    <row r="77" spans="1:11" x14ac:dyDescent="0.3">
      <c r="A77" s="21"/>
      <c r="B77" s="21"/>
      <c r="C77" s="15"/>
      <c r="D77" s="15"/>
      <c r="E77" s="15"/>
      <c r="F77" s="15"/>
      <c r="G77" s="22"/>
      <c r="H77" s="15"/>
      <c r="I77" s="15"/>
      <c r="J77" s="4"/>
    </row>
    <row r="78" spans="1:11" x14ac:dyDescent="0.3">
      <c r="A78" s="21"/>
      <c r="B78" s="21"/>
      <c r="C78" s="15"/>
      <c r="D78" s="15"/>
      <c r="E78" s="15"/>
      <c r="F78" s="15"/>
      <c r="G78" s="22"/>
      <c r="H78" s="15"/>
      <c r="I78" s="15"/>
      <c r="J78" s="4"/>
    </row>
    <row r="79" spans="1:11" x14ac:dyDescent="0.3">
      <c r="A79" s="21"/>
      <c r="B79" s="21"/>
      <c r="C79" s="15"/>
      <c r="D79" s="15"/>
      <c r="E79" s="15"/>
      <c r="F79" s="15"/>
      <c r="G79" s="22"/>
      <c r="H79" s="15"/>
      <c r="I79" s="15"/>
      <c r="J79" s="4"/>
    </row>
    <row r="80" spans="1:11" x14ac:dyDescent="0.3">
      <c r="A80" s="21"/>
      <c r="B80" s="21"/>
      <c r="C80" s="15"/>
      <c r="D80" s="15"/>
      <c r="E80" s="15"/>
      <c r="F80" s="15"/>
      <c r="G80" s="22"/>
      <c r="H80" s="15"/>
      <c r="I80" s="15"/>
      <c r="J80" s="4"/>
    </row>
    <row r="81" spans="1:10" x14ac:dyDescent="0.3">
      <c r="A81" s="21"/>
      <c r="B81" s="21"/>
      <c r="C81" s="15"/>
      <c r="D81" s="15"/>
      <c r="E81" s="15"/>
      <c r="F81" s="15"/>
      <c r="G81" s="22"/>
      <c r="H81" s="15"/>
      <c r="I81" s="15"/>
      <c r="J81" s="4"/>
    </row>
  </sheetData>
  <sheetProtection algorithmName="SHA-512" hashValue="HoP8lImiPZ8C7SjefI/Jpw1IBPAXnc+bcwUvt6PiIxKBIJIR96euaeIqNVnafoz8oMppPrGszzmcmGvNscUtfg==" saltValue="nry/I5lLG4d4vRo4y54csA==" spinCount="100000" sheet="1" objects="1" scenarios="1" formatCells="0" formatColumns="0" formatRows="0"/>
  <mergeCells count="7">
    <mergeCell ref="A8:J14"/>
    <mergeCell ref="A1:J7"/>
    <mergeCell ref="B70:C70"/>
    <mergeCell ref="H70:I70"/>
    <mergeCell ref="H58:I58"/>
    <mergeCell ref="A16:I16"/>
    <mergeCell ref="A17:I17"/>
  </mergeCells>
  <conditionalFormatting sqref="E43:F43">
    <cfRule type="cellIs" dxfId="2" priority="5" operator="greaterThan">
      <formula>0.002</formula>
    </cfRule>
  </conditionalFormatting>
  <conditionalFormatting sqref="H65:K65">
    <cfRule type="cellIs" dxfId="1" priority="3" operator="greaterThan">
      <formula>0.02</formula>
    </cfRule>
  </conditionalFormatting>
  <conditionalFormatting sqref="F42">
    <cfRule type="cellIs" dxfId="0" priority="2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29" orientation="landscape" horizontalDpi="4294967295" verticalDpi="4294967295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Component 1</vt:lpstr>
      <vt:lpstr>'Component 1'!Print_Area</vt:lpstr>
      <vt:lpstr>Uniformity!Print_Area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Dr. Ernest Mbae</cp:lastModifiedBy>
  <cp:lastPrinted>2018-01-23T12:57:33Z</cp:lastPrinted>
  <dcterms:created xsi:type="dcterms:W3CDTF">2005-07-05T10:19:27Z</dcterms:created>
  <dcterms:modified xsi:type="dcterms:W3CDTF">2018-01-25T09:06:55Z</dcterms:modified>
</cp:coreProperties>
</file>