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<sst xmlns="http://schemas.openxmlformats.org/spreadsheetml/2006/main" count="83" uniqueCount="65">
  <si>
    <t>D.4流动资金估算表(此表红色字体部分需要填写）</t>
  </si>
  <si>
    <t>序号</t>
  </si>
  <si>
    <t>项目</t>
  </si>
  <si>
    <t>最低周转天数(天)</t>
  </si>
  <si>
    <t>周转次数</t>
  </si>
  <si>
    <t>2025（建设期）</t>
  </si>
  <si>
    <t>......</t>
  </si>
  <si>
    <t>流动资产</t>
  </si>
  <si>
    <t>应收账款</t>
  </si>
  <si>
    <t>存货</t>
  </si>
  <si>
    <t>1.2.1</t>
  </si>
  <si>
    <t>原材料</t>
  </si>
  <si>
    <t>1.2.2</t>
  </si>
  <si>
    <t>燃料动力</t>
  </si>
  <si>
    <t>1.2.3</t>
  </si>
  <si>
    <t>在产品</t>
  </si>
  <si>
    <t>根据实际判断是否有</t>
  </si>
  <si>
    <t>1.2.4</t>
  </si>
  <si>
    <t>产成品</t>
  </si>
  <si>
    <t>现金</t>
  </si>
  <si>
    <t>流动负债</t>
  </si>
  <si>
    <t>应付账款</t>
  </si>
  <si>
    <t>流动资金（1-2）</t>
  </si>
  <si>
    <t>流动资金当年增加额</t>
  </si>
  <si>
    <t>流动资金贷款</t>
  </si>
  <si>
    <t>D.2项目总投资使用计划与资金筹措表（此表红色字体部分需要填写）</t>
  </si>
  <si>
    <t>科目</t>
  </si>
  <si>
    <t>合计</t>
  </si>
  <si>
    <t>总投资</t>
  </si>
  <si>
    <t>建设投资</t>
  </si>
  <si>
    <t>建设期利息</t>
  </si>
  <si>
    <t>流动资金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</si>
  <si>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</si>
  <si>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</si>
  <si>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</si>
  <si>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</si>
  <si>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</si>
  <si>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</si>
  <si>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</si>
  <si>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</si>
  <si>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债务资金</t>
  </si>
  <si>
    <t>2.2.1</t>
  </si>
  <si>
    <t>2.2.2</t>
  </si>
  <si>
    <t>2.2.3</t>
  </si>
  <si>
    <t>其他资金</t>
  </si>
  <si>
    <t>资本金基数总投资</t>
  </si>
  <si>
    <t>辅底流动资金</t>
  </si>
  <si>
    <t>资本金比例
（不能少于20%）</t>
  </si>
  <si>
    <t>/</t>
  </si>
  <si>
    <t>F项目收入（此表红色字体部分需要填写）</t>
  </si>
  <si>
    <t>收入类别</t>
  </si>
  <si>
    <t>含税/不含税</t>
  </si>
  <si>
    <t>2026（万元）</t>
  </si>
  <si>
    <t>2027(万元)</t>
  </si>
  <si>
    <t>2028(万元)</t>
  </si>
  <si>
    <t>...</t>
  </si>
  <si>
    <t>2045(万元)</t>
  </si>
  <si>
    <t>租赁收入</t>
  </si>
  <si>
    <t>含税</t>
  </si>
  <si>
    <t>不含税</t>
  </si>
  <si>
    <t>停车收入</t>
  </si>
  <si>
    <t>充电桩收入</t>
  </si>
  <si>
    <t>补贴收入</t>
  </si>
  <si>
    <t>年度合计（含税）</t>
  </si>
  <si>
    <t>年度合计（不含税）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</si>
</sst>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4"/>
      <color rgb="FFFFFFFF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6"/>
      <color rgb="FFFFFFFF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6" borderId="5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0">
      <alignment vertical="center"/>
    </xf>
    <xf numFmtId="0" fontId="15" fillId="7" borderId="8">
      <alignment vertical="center"/>
    </xf>
    <xf numFmtId="0" fontId="16" fillId="8" borderId="9">
      <alignment vertical="center"/>
    </xf>
    <xf numFmtId="0" fontId="17" fillId="8" borderId="8">
      <alignment vertical="center"/>
    </xf>
    <xf numFmtId="0" fontId="18" fillId="9" borderId="10">
      <alignment vertical="center"/>
    </xf>
    <xf numFmtId="0" fontId="19" fillId="0" borderId="11">
      <alignment vertical="center"/>
    </xf>
    <xf numFmtId="0" fontId="20" fillId="0" borderId="12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4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</cellStyleXfs>
  <cellXfs count="2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/>
    <xf numFmtId="176" fontId="4" fillId="0" borderId="1" xfId="0" applyNumberFormat="1" applyFont="1" applyBorder="1" applyAlignment="1">
      <alignment horizontal="center" vertical="center"/>
    </xf>
    <xf numFmtId="0" fontId="0" fillId="0" borderId="4" xfId="0" applyBorder="1" applyAlignment="1"/>
    <xf numFmtId="0" fontId="0" fillId="0" borderId="0" xfId="0" applyAlignment="1"/>
    <xf numFmtId="176" fontId="3" fillId="4" borderId="1" xfId="0" applyNumberFormat="1" applyFont="1" applyFill="1" applyBorder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PyCharm Project\pythonProject\&#36130;&#21153;&#20998;&#26512;&#22871;&#34920;(&#20462;&#25913;ver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财务假设"/>
      <sheetName val="B项目信息"/>
      <sheetName val="C.1项目融资信息"/>
      <sheetName val="C.2项目每年借款信息"/>
      <sheetName val="D.1建设投资"/>
      <sheetName val="D.2项目总投资使用计划与资金筹措表"/>
      <sheetName val="D.3建设投资计划分年计划表"/>
      <sheetName val="D.4流动资金估算表"/>
      <sheetName val="E总成本费用估算表"/>
      <sheetName val="E.1项目运营费用"/>
      <sheetName val="E.2固定资产折旧费估算表"/>
      <sheetName val="E.3无形资产和其他资产摊销费估算表"/>
      <sheetName val="E.4建设投资税后金额表"/>
      <sheetName val="F项目收入"/>
      <sheetName val="F.1项目单项收入信息"/>
      <sheetName val="G.税金及附加测算表"/>
      <sheetName val="G.1进项增值税率-建设投资"/>
      <sheetName val="G.2进项增值税率-运营成本"/>
      <sheetName val="G.3销项增值税率"/>
      <sheetName val="a财务现金流量表"/>
      <sheetName val="a.2项目资本金现金流量表"/>
      <sheetName val="b利润与利润分配表（损益和利润分配表）"/>
      <sheetName val="c借款还本付息计划表"/>
      <sheetName val="d财务计划现金流量表"/>
      <sheetName val="e资产负债表"/>
    </sheetNames>
    <sheetDataSet>
      <sheetData sheetId="0">
        <row r="14">
          <cell r="D14">
            <v>0.3</v>
          </cell>
        </row>
      </sheetData>
      <sheetData sheetId="1"/>
      <sheetData sheetId="2"/>
      <sheetData sheetId="3"/>
      <sheetData sheetId="4"/>
      <sheetData sheetId="5">
        <row r="15">
          <cell r="D15">
            <v>0</v>
          </cell>
          <cell r="E15">
            <v>11.7798401388889</v>
          </cell>
          <cell r="F15">
            <v>11.5900884166667</v>
          </cell>
        </row>
      </sheetData>
      <sheetData sheetId="6">
        <row r="22">
          <cell r="E22">
            <v>40.128</v>
          </cell>
          <cell r="F22">
            <v>88.512</v>
          </cell>
          <cell r="G22">
            <v>64.32</v>
          </cell>
        </row>
      </sheetData>
      <sheetData sheetId="7">
        <row r="14">
          <cell r="E14">
            <v>0</v>
          </cell>
          <cell r="F14">
            <v>16.8283430555556</v>
          </cell>
          <cell r="G14">
            <v>16.5572691666667</v>
          </cell>
        </row>
      </sheetData>
      <sheetData sheetId="8">
        <row r="3">
          <cell r="D3">
            <v>4</v>
          </cell>
          <cell r="E3">
            <v>2.8</v>
          </cell>
          <cell r="F3">
            <v>3.2</v>
          </cell>
          <cell r="G3">
            <v>4</v>
          </cell>
          <cell r="H3">
            <v>4</v>
          </cell>
        </row>
        <row r="4">
          <cell r="D4">
            <v>6</v>
          </cell>
          <cell r="E4">
            <v>4.2</v>
          </cell>
          <cell r="F4">
            <v>4.8</v>
          </cell>
          <cell r="G4">
            <v>6</v>
          </cell>
          <cell r="H4">
            <v>6</v>
          </cell>
        </row>
        <row r="5">
          <cell r="D5">
            <v>2</v>
          </cell>
          <cell r="E5">
            <v>1.4</v>
          </cell>
          <cell r="F5">
            <v>1.6</v>
          </cell>
          <cell r="G5">
            <v>2</v>
          </cell>
          <cell r="H5">
            <v>2</v>
          </cell>
        </row>
        <row r="7">
          <cell r="D7">
            <v>88.57345</v>
          </cell>
          <cell r="E7">
            <v>57.18723</v>
          </cell>
          <cell r="F7">
            <v>19.266285</v>
          </cell>
          <cell r="G7">
            <v>24.06534</v>
          </cell>
          <cell r="H7">
            <v>24.064395</v>
          </cell>
        </row>
        <row r="10">
          <cell r="D10">
            <v>2</v>
          </cell>
          <cell r="E10">
            <v>1.4</v>
          </cell>
          <cell r="F10">
            <v>1.6</v>
          </cell>
          <cell r="G10">
            <v>2</v>
          </cell>
          <cell r="H10">
            <v>2</v>
          </cell>
        </row>
        <row r="11">
          <cell r="D11">
            <v>104.57345</v>
          </cell>
          <cell r="E11">
            <v>68.38723</v>
          </cell>
          <cell r="F11">
            <v>32.066285</v>
          </cell>
          <cell r="G11">
            <v>40.06534</v>
          </cell>
          <cell r="H11">
            <v>40.064395</v>
          </cell>
        </row>
      </sheetData>
      <sheetData sheetId="9"/>
      <sheetData sheetId="10"/>
      <sheetData sheetId="11"/>
      <sheetData sheetId="12"/>
      <sheetData sheetId="13">
        <row r="10">
          <cell r="E10">
            <v>2981</v>
          </cell>
          <cell r="F10">
            <v>3951</v>
          </cell>
          <cell r="G10">
            <v>3081</v>
          </cell>
          <cell r="H10">
            <v>3901</v>
          </cell>
          <cell r="I10">
            <v>3951</v>
          </cell>
        </row>
      </sheetData>
      <sheetData sheetId="14">
        <row r="3">
          <cell r="H3">
            <v>300</v>
          </cell>
          <cell r="I3">
            <v>600</v>
          </cell>
          <cell r="J3">
            <v>480</v>
          </cell>
          <cell r="K3">
            <v>600</v>
          </cell>
          <cell r="L3">
            <v>600</v>
          </cell>
        </row>
        <row r="5">
          <cell r="H5">
            <v>640</v>
          </cell>
          <cell r="I5">
            <v>800</v>
          </cell>
          <cell r="J5">
            <v>560</v>
          </cell>
          <cell r="K5">
            <v>800</v>
          </cell>
          <cell r="L5">
            <v>800</v>
          </cell>
        </row>
        <row r="7">
          <cell r="H7">
            <v>2040</v>
          </cell>
          <cell r="I7">
            <v>2550</v>
          </cell>
          <cell r="J7">
            <v>2040</v>
          </cell>
          <cell r="K7">
            <v>2500</v>
          </cell>
          <cell r="L7">
            <v>2550</v>
          </cell>
        </row>
      </sheetData>
      <sheetData sheetId="15"/>
      <sheetData sheetId="16"/>
      <sheetData sheetId="17"/>
      <sheetData sheetId="18">
        <row r="3">
          <cell r="C3">
            <v>0.09</v>
          </cell>
        </row>
        <row r="4">
          <cell r="C4">
            <v>0.09</v>
          </cell>
        </row>
        <row r="5">
          <cell r="C5">
            <v>0.06</v>
          </cell>
        </row>
      </sheetData>
      <sheetData sheetId="19"/>
      <sheetData sheetId="20"/>
      <sheetData sheetId="21"/>
      <sheetData sheetId="22">
        <row r="24">
          <cell r="D24">
            <v>53.8</v>
          </cell>
          <cell r="E24">
            <v>229</v>
          </cell>
          <cell r="F24">
            <v>344.6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R11" sqref="R11"/>
    </sheetView>
  </sheetViews>
  <sheetFormatPr defaultColWidth="8.72727272727273" defaultRowHeight="14"/>
  <sheetData>
    <row r="1" ht="22.5" customHeight="1" spans="1:10">
      <c r="A1" s="20" t="s">
        <v>0</v>
      </c>
      <c r="B1" s="2"/>
      <c r="C1" s="2"/>
      <c r="D1" s="2"/>
      <c r="E1" s="2"/>
      <c r="F1" s="2"/>
      <c r="G1" s="2"/>
      <c r="H1" s="2"/>
      <c r="I1" s="2"/>
      <c r="J1" s="9"/>
    </row>
    <row r="2" ht="16.5" customHeight="1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>
        <v>2026</v>
      </c>
      <c r="G2" s="3">
        <v>2027</v>
      </c>
      <c r="H2" s="3">
        <v>2028</v>
      </c>
      <c r="I2" s="3" t="s">
        <v>6</v>
      </c>
      <c r="J2" s="3">
        <v>2045</v>
      </c>
    </row>
    <row r="3" ht="16.5" customHeight="1" spans="1:10">
      <c r="A3" s="4">
        <v>1</v>
      </c>
      <c r="B3" s="4" t="s">
        <v>7</v>
      </c>
      <c r="C3" s="21">
        <v>2</v>
      </c>
      <c r="D3" s="4">
        <f t="shared" ref="D3:D15" si="0">360/C3</f>
        <v>180</v>
      </c>
      <c r="E3" s="22">
        <v>0</v>
      </c>
      <c r="F3" s="6">
        <f>F4+F5+F10</f>
        <v>16.9116763888889</v>
      </c>
      <c r="G3" s="6">
        <f>G4+G5+G10</f>
        <v>16.6156025</v>
      </c>
      <c r="H3" s="6">
        <f>H4+H5+H10</f>
        <v>11.1638570833333</v>
      </c>
      <c r="I3" s="6">
        <f>I4+I5+I10</f>
        <v>14.0915561111111</v>
      </c>
      <c r="J3" s="6">
        <f>J4+J5+J10</f>
        <v>14.23036625</v>
      </c>
    </row>
    <row r="4" ht="16.5" customHeight="1" spans="1:10">
      <c r="A4" s="4">
        <v>1.1</v>
      </c>
      <c r="B4" s="4" t="s">
        <v>8</v>
      </c>
      <c r="C4" s="21">
        <v>1</v>
      </c>
      <c r="D4" s="4">
        <f t="shared" si="0"/>
        <v>360</v>
      </c>
      <c r="E4" s="22">
        <v>0</v>
      </c>
      <c r="F4" s="6">
        <f>[1]F项目收入!E10/D4</f>
        <v>8.28055555555555</v>
      </c>
      <c r="G4" s="6">
        <f>[1]F项目收入!F10/D4</f>
        <v>10.975</v>
      </c>
      <c r="H4" s="6">
        <f>[1]F项目收入!G10/D4</f>
        <v>8.55833333333333</v>
      </c>
      <c r="I4" s="6">
        <f>[1]F项目收入!H10/D4</f>
        <v>10.8361111111111</v>
      </c>
      <c r="J4" s="6">
        <f>[1]F项目收入!I10/D4</f>
        <v>10.975</v>
      </c>
    </row>
    <row r="5" ht="16.5" customHeight="1" spans="1:10">
      <c r="A5" s="4">
        <v>1.2</v>
      </c>
      <c r="B5" s="4" t="s">
        <v>9</v>
      </c>
      <c r="C5" s="21">
        <v>3</v>
      </c>
      <c r="D5" s="4">
        <f t="shared" si="0"/>
        <v>120</v>
      </c>
      <c r="E5" s="22">
        <v>0</v>
      </c>
      <c r="F5" s="6">
        <f>SUM(F6:F9)</f>
        <v>4.85722708333333</v>
      </c>
      <c r="G5" s="6">
        <f>SUM(G6:G9)</f>
        <v>3.19946791666667</v>
      </c>
      <c r="H5" s="6">
        <f>SUM(H6:H9)</f>
        <v>1.73609520833333</v>
      </c>
      <c r="I5" s="6">
        <f>SUM(I6:I9)</f>
        <v>2.16938916666667</v>
      </c>
      <c r="J5" s="6">
        <f>SUM(J6:J9)</f>
        <v>2.16934979166667</v>
      </c>
    </row>
    <row r="6" ht="16.5" customHeight="1" spans="1:10">
      <c r="A6" s="4" t="s">
        <v>10</v>
      </c>
      <c r="B6" s="4" t="s">
        <v>11</v>
      </c>
      <c r="C6" s="21">
        <v>30</v>
      </c>
      <c r="D6" s="4">
        <f t="shared" si="0"/>
        <v>12</v>
      </c>
      <c r="E6" s="22">
        <v>0</v>
      </c>
      <c r="F6" s="6">
        <f>[1]E总成本费用估算表!D3/D6</f>
        <v>0.333333333333333</v>
      </c>
      <c r="G6" s="6">
        <f>[1]E总成本费用估算表!E3/D6</f>
        <v>0.233333333333333</v>
      </c>
      <c r="H6" s="6">
        <f>[1]E总成本费用估算表!F3/D6</f>
        <v>0.266666666666667</v>
      </c>
      <c r="I6" s="6">
        <f>[1]E总成本费用估算表!G3/D6</f>
        <v>0.333333333333333</v>
      </c>
      <c r="J6" s="6">
        <f>[1]E总成本费用估算表!H3/D6</f>
        <v>0.333333333333333</v>
      </c>
    </row>
    <row r="7" ht="16.5" customHeight="1" spans="1:10">
      <c r="A7" s="4" t="s">
        <v>12</v>
      </c>
      <c r="B7" s="4" t="s">
        <v>13</v>
      </c>
      <c r="C7" s="21">
        <v>15</v>
      </c>
      <c r="D7" s="4">
        <f t="shared" si="0"/>
        <v>24</v>
      </c>
      <c r="E7" s="22">
        <v>0</v>
      </c>
      <c r="F7" s="6">
        <f>[1]E总成本费用估算表!D4/D7</f>
        <v>0.25</v>
      </c>
      <c r="G7" s="6">
        <f>[1]E总成本费用估算表!E4/D7</f>
        <v>0.175</v>
      </c>
      <c r="H7" s="6">
        <f>[1]E总成本费用估算表!F4/D7</f>
        <v>0.2</v>
      </c>
      <c r="I7" s="6">
        <f>[1]E总成本费用估算表!G4/D7</f>
        <v>0.25</v>
      </c>
      <c r="J7" s="6">
        <f>[1]E总成本费用估算表!H4/D7</f>
        <v>0.25</v>
      </c>
    </row>
    <row r="8" ht="16.5" customHeight="1" spans="1:10">
      <c r="A8" s="4" t="s">
        <v>14</v>
      </c>
      <c r="B8" s="4" t="s">
        <v>15</v>
      </c>
      <c r="C8" s="21">
        <v>3</v>
      </c>
      <c r="D8" s="4">
        <f t="shared" si="0"/>
        <v>120</v>
      </c>
      <c r="E8" s="22">
        <v>0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</row>
    <row r="9" ht="16.5" customHeight="1" spans="1:10">
      <c r="A9" s="4" t="s">
        <v>17</v>
      </c>
      <c r="B9" s="4" t="s">
        <v>18</v>
      </c>
      <c r="C9" s="21">
        <v>15</v>
      </c>
      <c r="D9" s="4">
        <f t="shared" si="0"/>
        <v>24</v>
      </c>
      <c r="E9" s="22">
        <v>0</v>
      </c>
      <c r="F9" s="6">
        <f>([1]E总成本费用估算表!D11-[1]E总成本费用估算表!D10)/D9</f>
        <v>4.27389375</v>
      </c>
      <c r="G9" s="6">
        <f>([1]E总成本费用估算表!E11-[1]E总成本费用估算表!E10)/D9</f>
        <v>2.79113458333333</v>
      </c>
      <c r="H9" s="6">
        <f>([1]E总成本费用估算表!F11-[1]E总成本费用估算表!F10)/D9</f>
        <v>1.26942854166667</v>
      </c>
      <c r="I9" s="6">
        <f>([1]E总成本费用估算表!G11-[1]E总成本费用估算表!G10)/D9</f>
        <v>1.58605583333333</v>
      </c>
      <c r="J9" s="6">
        <f>([1]E总成本费用估算表!H11-[1]E总成本费用估算表!H10)/D9</f>
        <v>1.58601645833333</v>
      </c>
    </row>
    <row r="10" ht="16.5" customHeight="1" spans="1:10">
      <c r="A10" s="4">
        <v>1.3</v>
      </c>
      <c r="B10" s="4" t="s">
        <v>19</v>
      </c>
      <c r="C10" s="21">
        <v>15</v>
      </c>
      <c r="D10" s="4">
        <f t="shared" si="0"/>
        <v>24</v>
      </c>
      <c r="E10" s="22">
        <v>0</v>
      </c>
      <c r="F10" s="6">
        <f>([1]E总成本费用估算表!D5+[1]E总成本费用估算表!D7)/D10</f>
        <v>3.77389375</v>
      </c>
      <c r="G10" s="6">
        <f>([1]E总成本费用估算表!E5+[1]E总成本费用估算表!E7)/D10</f>
        <v>2.44113458333333</v>
      </c>
      <c r="H10" s="6">
        <f>([1]E总成本费用估算表!F5+[1]E总成本费用估算表!F7)/D10</f>
        <v>0.869428541666667</v>
      </c>
      <c r="I10" s="6">
        <f>([1]E总成本费用估算表!G5+[1]E总成本费用估算表!G7)/D10</f>
        <v>1.08605583333333</v>
      </c>
      <c r="J10" s="6">
        <f>([1]E总成本费用估算表!H5+[1]E总成本费用估算表!H7)/D10</f>
        <v>1.08601645833333</v>
      </c>
    </row>
    <row r="11" ht="16.5" customHeight="1" spans="1:10">
      <c r="A11" s="4">
        <v>2</v>
      </c>
      <c r="B11" s="4" t="s">
        <v>20</v>
      </c>
      <c r="C11" s="21">
        <v>3</v>
      </c>
      <c r="D11" s="4">
        <f t="shared" si="0"/>
        <v>120</v>
      </c>
      <c r="E11" s="22">
        <v>0</v>
      </c>
      <c r="F11" s="6">
        <f>F12</f>
        <v>0.0833333333333333</v>
      </c>
      <c r="G11" s="6">
        <f>G12</f>
        <v>0.0583333333333333</v>
      </c>
      <c r="H11" s="6">
        <f>H12</f>
        <v>0.0666666666666667</v>
      </c>
      <c r="I11" s="6">
        <f>I12</f>
        <v>0.0833333333333333</v>
      </c>
      <c r="J11" s="6">
        <f>J12</f>
        <v>0.0833333333333333</v>
      </c>
    </row>
    <row r="12" ht="16.5" customHeight="1" spans="1:10">
      <c r="A12" s="4">
        <v>2.1</v>
      </c>
      <c r="B12" s="4" t="s">
        <v>21</v>
      </c>
      <c r="C12" s="21">
        <v>3</v>
      </c>
      <c r="D12" s="4">
        <f t="shared" si="0"/>
        <v>120</v>
      </c>
      <c r="E12" s="22">
        <v>0</v>
      </c>
      <c r="F12" s="6">
        <f>([1]E总成本费用估算表!D3+[1]E总成本费用估算表!D4)/D12</f>
        <v>0.0833333333333333</v>
      </c>
      <c r="G12" s="6">
        <f>([1]E总成本费用估算表!E3+[1]E总成本费用估算表!E4)/D12</f>
        <v>0.0583333333333333</v>
      </c>
      <c r="H12" s="6">
        <f>([1]E总成本费用估算表!F3+[1]E总成本费用估算表!F4)/D12</f>
        <v>0.0666666666666667</v>
      </c>
      <c r="I12" s="6">
        <f>([1]E总成本费用估算表!G3+[1]E总成本费用估算表!G4)/D12</f>
        <v>0.0833333333333333</v>
      </c>
      <c r="J12" s="6">
        <f>([1]E总成本费用估算表!H3+[1]E总成本费用估算表!H4)/D12</f>
        <v>0.0833333333333333</v>
      </c>
    </row>
    <row r="13" ht="16.5" customHeight="1" spans="1:10">
      <c r="A13" s="4">
        <v>3</v>
      </c>
      <c r="B13" s="4" t="s">
        <v>22</v>
      </c>
      <c r="C13" s="21">
        <v>3</v>
      </c>
      <c r="D13" s="4">
        <f t="shared" si="0"/>
        <v>120</v>
      </c>
      <c r="E13" s="22">
        <v>0</v>
      </c>
      <c r="F13" s="6">
        <f>F3-F11</f>
        <v>16.8283430555556</v>
      </c>
      <c r="G13" s="6">
        <f>G3-G11</f>
        <v>16.5572691666667</v>
      </c>
      <c r="H13" s="6">
        <f>H3-H11</f>
        <v>11.0971904166667</v>
      </c>
      <c r="I13" s="6">
        <f>I3-I11</f>
        <v>14.0082227777778</v>
      </c>
      <c r="J13" s="6">
        <f>J3-J11</f>
        <v>14.1470329166667</v>
      </c>
    </row>
    <row r="14" ht="16.5" customHeight="1" spans="1:10">
      <c r="A14" s="4">
        <v>4</v>
      </c>
      <c r="B14" s="4" t="s">
        <v>23</v>
      </c>
      <c r="C14" s="21">
        <v>3</v>
      </c>
      <c r="D14" s="4">
        <f t="shared" si="0"/>
        <v>120</v>
      </c>
      <c r="E14" s="22">
        <v>0</v>
      </c>
      <c r="F14" s="6">
        <f>F13</f>
        <v>16.8283430555556</v>
      </c>
      <c r="G14" s="6">
        <f>G13</f>
        <v>16.5572691666667</v>
      </c>
      <c r="H14" s="6">
        <f>H13</f>
        <v>11.0971904166667</v>
      </c>
      <c r="I14" s="6">
        <f>I13</f>
        <v>14.0082227777778</v>
      </c>
      <c r="J14" s="6">
        <f>J13</f>
        <v>14.1470329166667</v>
      </c>
    </row>
    <row r="15" ht="16.5" customHeight="1" spans="1:10">
      <c r="A15" s="4">
        <v>5</v>
      </c>
      <c r="B15" s="4" t="s">
        <v>24</v>
      </c>
      <c r="C15" s="21">
        <v>3</v>
      </c>
      <c r="D15" s="4">
        <f t="shared" si="0"/>
        <v>120</v>
      </c>
      <c r="E15" s="4">
        <f>[1]D.2项目总投资使用计划与资金筹措表!D15</f>
        <v>0</v>
      </c>
      <c r="F15" s="6">
        <f>[1]D.2项目总投资使用计划与资金筹措表!E15</f>
        <v>11.7798401388889</v>
      </c>
      <c r="G15" s="6">
        <f>[1]D.2项目总投资使用计划与资金筹措表!F15</f>
        <v>11.5900884166667</v>
      </c>
      <c r="H15" s="6">
        <f>[1]D.2项目总投资使用计划与资金筹措表!G15</f>
        <v>0</v>
      </c>
      <c r="I15" s="6">
        <f>[1]D.2项目总投资使用计划与资金筹措表!H15</f>
        <v>0</v>
      </c>
      <c r="J15" s="6">
        <f>[1]D.2项目总投资使用计划与资金筹措表!I15</f>
        <v>0</v>
      </c>
    </row>
  </sheetData>
  <mergeCells count="1">
    <mergeCell ref="A1:J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3" sqref="C3"/>
    </sheetView>
  </sheetViews>
  <sheetFormatPr defaultColWidth="8.72727272727273" defaultRowHeight="14" outlineLevelCol="5"/>
  <cols>
    <col min="2" max="2" width="22.9090909090909" style="10" customWidth="1"/>
  </cols>
  <sheetData>
    <row r="1" ht="20" customHeight="1" spans="1:6">
      <c r="A1" s="1" t="s">
        <v>25</v>
      </c>
      <c r="B1" s="2"/>
      <c r="C1" s="2"/>
      <c r="D1" s="2"/>
      <c r="E1" s="2"/>
      <c r="F1" s="9"/>
    </row>
    <row r="2" ht="16.5" customHeight="1" spans="1:6">
      <c r="A2" s="3" t="s">
        <v>1</v>
      </c>
      <c r="B2" s="3" t="s">
        <v>26</v>
      </c>
      <c r="C2" s="3" t="s">
        <v>27</v>
      </c>
      <c r="D2" s="3">
        <v>2025</v>
      </c>
      <c r="E2" s="3">
        <v>2026</v>
      </c>
      <c r="F2" s="3">
        <v>2027</v>
      </c>
    </row>
    <row r="3" ht="16.5" customHeight="1" spans="1:6">
      <c r="A3" s="5">
        <v>1</v>
      </c>
      <c r="B3" s="5" t="s">
        <v>28</v>
      </c>
      <c r="C3" s="11">
        <f>SUM(D3:F3)</f>
        <v>853.745612222222</v>
      </c>
      <c r="D3" s="11">
        <f>SUM(D4:D6)</f>
        <v>93.928</v>
      </c>
      <c r="E3" s="11">
        <f>SUM(E4:E6)</f>
        <v>334.340343055556</v>
      </c>
      <c r="F3" s="11">
        <f>SUM(F4:F6)</f>
        <v>425.477269166667</v>
      </c>
    </row>
    <row r="4" ht="16.5" customHeight="1" spans="1:6">
      <c r="A4" s="4">
        <v>1.1</v>
      </c>
      <c r="B4" s="4" t="s">
        <v>29</v>
      </c>
      <c r="C4" s="6">
        <f>SUM(D4:F4)</f>
        <v>192.96</v>
      </c>
      <c r="D4" s="6">
        <f>[1]D.3建设投资计划分年计划表!E22</f>
        <v>40.128</v>
      </c>
      <c r="E4" s="6">
        <f>[1]D.3建设投资计划分年计划表!F22</f>
        <v>88.512</v>
      </c>
      <c r="F4" s="6">
        <f>[1]D.3建设投资计划分年计划表!G22</f>
        <v>64.32</v>
      </c>
    </row>
    <row r="5" ht="16.5" customHeight="1" spans="1:6">
      <c r="A5" s="4">
        <v>1.2</v>
      </c>
      <c r="B5" s="4" t="s">
        <v>30</v>
      </c>
      <c r="C5" s="6">
        <f>SUM(D5:F5)</f>
        <v>627.4</v>
      </c>
      <c r="D5" s="6">
        <f>[1]c借款还本付息计划表!D24</f>
        <v>53.8</v>
      </c>
      <c r="E5" s="6">
        <f>[1]c借款还本付息计划表!E24</f>
        <v>229</v>
      </c>
      <c r="F5" s="6">
        <f>[1]c借款还本付息计划表!F24</f>
        <v>344.6</v>
      </c>
    </row>
    <row r="6" ht="16.5" customHeight="1" spans="1:6">
      <c r="A6" s="4">
        <v>1.3</v>
      </c>
      <c r="B6" s="4" t="s">
        <v>31</v>
      </c>
      <c r="C6" s="6">
        <f>SUM(D6:F6)</f>
        <v>33.3856122222223</v>
      </c>
      <c r="D6" s="6">
        <f>[1]D.4流动资金估算表!E14</f>
        <v>0</v>
      </c>
      <c r="E6" s="6">
        <f>[1]D.4流动资金估算表!F14</f>
        <v>16.8283430555556</v>
      </c>
      <c r="F6" s="6">
        <f>[1]D.4流动资金估算表!G14</f>
        <v>16.5572691666667</v>
      </c>
    </row>
    <row r="7" ht="16.5" customHeight="1" spans="1:6">
      <c r="A7" s="5">
        <v>2</v>
      </c>
      <c r="B7" s="5" t="s">
        <v>32</v>
      </c>
      <c r="C7" s="11">
        <f>SUM(C8+C12+C16)</f>
        <v>853.745612222222</v>
      </c>
      <c r="D7" s="11">
        <f>D8+D12+D16</f>
        <v>93.928</v>
      </c>
      <c r="E7" s="11">
        <f>E8+E12+E16</f>
        <v>334.340343055556</v>
      </c>
      <c r="F7" s="11">
        <f>F8+F12+F16</f>
        <v>425.477269166667</v>
      </c>
    </row>
    <row r="8" ht="16.5" customHeight="1" spans="1:6">
      <c r="A8" s="4">
        <v>2.1</v>
      </c>
      <c r="B8" s="4" t="s">
        <v>33</v>
      </c>
      <c r="C8" s="6">
        <f>SUM(C9:C11)</f>
        <v>707.415683666667</v>
      </c>
      <c r="D8" s="6">
        <f>SUM(D9:D11)</f>
        <v>73.8</v>
      </c>
      <c r="E8" s="6">
        <f>SUM(E9:E11)</f>
        <v>254.048502916667</v>
      </c>
      <c r="F8" s="6">
        <f>SUM(F9:F11)</f>
        <v>379.56718075</v>
      </c>
    </row>
    <row r="9" ht="16.5" customHeight="1" spans="1:6">
      <c r="A9" s="4" t="s">
        <v>34</v>
      </c>
      <c r="B9" s="4" t="s">
        <v>35</v>
      </c>
      <c r="C9" s="12">
        <f>SUM(D9:F9)</f>
        <v>70</v>
      </c>
      <c r="D9" s="13">
        <v>20</v>
      </c>
      <c r="E9" s="13">
        <v>20</v>
      </c>
      <c r="F9" s="13">
        <v>30</v>
      </c>
    </row>
    <row r="10" ht="16.5" customHeight="1" spans="1:6">
      <c r="A10" s="4" t="s">
        <v>36</v>
      </c>
      <c r="B10" s="4" t="s">
        <v>37</v>
      </c>
      <c r="C10" s="6">
        <f>SUM(D10:F10)</f>
        <v>627.4</v>
      </c>
      <c r="D10" s="14">
        <f>D5</f>
        <v>53.8</v>
      </c>
      <c r="E10" s="14">
        <f>E5</f>
        <v>229</v>
      </c>
      <c r="F10" s="14">
        <f>F5</f>
        <v>344.6</v>
      </c>
    </row>
    <row r="11" ht="16.5" customHeight="1" spans="1:6">
      <c r="A11" s="4" t="s">
        <v>38</v>
      </c>
      <c r="B11" s="4" t="s">
        <v>39</v>
      </c>
      <c r="C11" s="6">
        <f>C6*[1]A财务假设!D14</f>
        <v>10.0156836666667</v>
      </c>
      <c r="D11" s="6">
        <f>D6*[1]A财务假设!D14</f>
        <v>0</v>
      </c>
      <c r="E11" s="15">
        <f>E6*[1]A财务假设!D14</f>
        <v>5.04850291666668</v>
      </c>
      <c r="F11" s="6">
        <f>F6*[1]A财务假设!D14</f>
        <v>4.96718075000001</v>
      </c>
    </row>
    <row r="12" ht="16.5" customHeight="1" spans="1:6">
      <c r="A12" s="4">
        <v>2.2</v>
      </c>
      <c r="B12" s="4" t="s">
        <v>40</v>
      </c>
      <c r="C12" s="6">
        <f>SUM(D12:F12)</f>
        <v>146.329928555556</v>
      </c>
      <c r="D12" s="6">
        <f>SUM(D13:D15)</f>
        <v>20.128</v>
      </c>
      <c r="E12" s="6">
        <f>SUM(E13:E15)</f>
        <v>80.2918401388889</v>
      </c>
      <c r="F12" s="6">
        <f>SUM(F13:F15)</f>
        <v>45.9100884166667</v>
      </c>
    </row>
    <row r="13" ht="16.5" customHeight="1" spans="1:6">
      <c r="A13" s="4" t="s">
        <v>41</v>
      </c>
      <c r="B13" s="4" t="s">
        <v>35</v>
      </c>
      <c r="C13" s="12">
        <f>SUM(D13:F13)</f>
        <v>122.96</v>
      </c>
      <c r="D13" s="16">
        <f>D4-D9</f>
        <v>20.128</v>
      </c>
      <c r="E13" s="16">
        <f>E4-E9</f>
        <v>68.512</v>
      </c>
      <c r="F13" s="16">
        <f>F4-F9</f>
        <v>34.32</v>
      </c>
    </row>
    <row r="14" ht="16.5" customHeight="1" spans="1:6">
      <c r="A14" s="4" t="s">
        <v>42</v>
      </c>
      <c r="B14" s="4" t="s">
        <v>37</v>
      </c>
      <c r="C14" s="6">
        <f>SUM(D14:F14)</f>
        <v>0</v>
      </c>
      <c r="D14" s="8">
        <v>0</v>
      </c>
      <c r="E14" s="8">
        <v>0</v>
      </c>
      <c r="F14" s="8">
        <v>0</v>
      </c>
    </row>
    <row r="15" ht="16.5" customHeight="1" spans="1:6">
      <c r="A15" s="4" t="s">
        <v>43</v>
      </c>
      <c r="B15" s="4" t="s">
        <v>39</v>
      </c>
      <c r="C15" s="6">
        <f>SUM(D15:F15)</f>
        <v>23.3699285555556</v>
      </c>
      <c r="D15" s="6">
        <f>D6-D11</f>
        <v>0</v>
      </c>
      <c r="E15" s="6">
        <f>E6-E11</f>
        <v>11.7798401388889</v>
      </c>
      <c r="F15" s="6">
        <f>F6-F11</f>
        <v>11.5900884166667</v>
      </c>
    </row>
    <row r="16" ht="16.5" customHeight="1" spans="1:6">
      <c r="A16" s="4">
        <v>2.3</v>
      </c>
      <c r="B16" s="4" t="s">
        <v>44</v>
      </c>
      <c r="C16" s="6">
        <f>SUM(D16:F16)</f>
        <v>0</v>
      </c>
      <c r="D16" s="8">
        <v>0</v>
      </c>
      <c r="E16" s="8">
        <v>0</v>
      </c>
      <c r="F16" s="8">
        <v>0</v>
      </c>
    </row>
    <row r="17" ht="16.5" customHeight="1" spans="1:6">
      <c r="A17" s="5">
        <v>3</v>
      </c>
      <c r="B17" s="5" t="s">
        <v>45</v>
      </c>
      <c r="C17" s="11">
        <f>SUM(C18:C20)</f>
        <v>707.415683666667</v>
      </c>
      <c r="D17" s="11">
        <f>SUM(D18:D20)</f>
        <v>73.8</v>
      </c>
      <c r="E17" s="11">
        <f>SUM(E18:E20)</f>
        <v>254.048502916667</v>
      </c>
      <c r="F17" s="11">
        <f>SUM(F18:F20)</f>
        <v>379.56718075</v>
      </c>
    </row>
    <row r="18" ht="16.5" customHeight="1" spans="1:6">
      <c r="A18" s="4">
        <v>3.1</v>
      </c>
      <c r="B18" s="4" t="s">
        <v>29</v>
      </c>
      <c r="C18" s="17">
        <f>C9</f>
        <v>70</v>
      </c>
      <c r="D18" s="6">
        <f>D9</f>
        <v>20</v>
      </c>
      <c r="E18" s="6">
        <f>E9</f>
        <v>20</v>
      </c>
      <c r="F18" s="6">
        <f>F9</f>
        <v>30</v>
      </c>
    </row>
    <row r="19" ht="16.5" customHeight="1" spans="1:6">
      <c r="A19" s="4">
        <v>3.2</v>
      </c>
      <c r="B19" s="4" t="s">
        <v>30</v>
      </c>
      <c r="C19" s="6">
        <f>C10</f>
        <v>627.4</v>
      </c>
      <c r="D19" s="6">
        <f>D10</f>
        <v>53.8</v>
      </c>
      <c r="E19" s="6">
        <f>E10</f>
        <v>229</v>
      </c>
      <c r="F19" s="6">
        <f>F10</f>
        <v>344.6</v>
      </c>
    </row>
    <row r="20" ht="16.5" customHeight="1" spans="1:6">
      <c r="A20" s="4">
        <v>3.3</v>
      </c>
      <c r="B20" s="4" t="s">
        <v>46</v>
      </c>
      <c r="C20" s="6">
        <f>C11</f>
        <v>10.0156836666667</v>
      </c>
      <c r="D20" s="6">
        <f>D11</f>
        <v>0</v>
      </c>
      <c r="E20" s="6">
        <f>E11</f>
        <v>5.04850291666668</v>
      </c>
      <c r="F20" s="6">
        <f>F11</f>
        <v>4.96718075000001</v>
      </c>
    </row>
    <row r="21" ht="33" customHeight="1" spans="1:6">
      <c r="A21" s="5">
        <v>4</v>
      </c>
      <c r="B21" s="18" t="s">
        <v>47</v>
      </c>
      <c r="C21" s="19">
        <f>C17/C3</f>
        <v>0.828602423882833</v>
      </c>
      <c r="D21" s="19" t="s">
        <v>48</v>
      </c>
      <c r="E21" s="19" t="s">
        <v>48</v>
      </c>
      <c r="F21" s="19" t="s">
        <v>48</v>
      </c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F11" sqref="F11"/>
    </sheetView>
  </sheetViews>
  <sheetFormatPr defaultColWidth="8.72727272727273" defaultRowHeight="14"/>
  <sheetData>
    <row r="1" ht="20" customHeight="1" spans="1:9">
      <c r="A1" s="1" t="s">
        <v>49</v>
      </c>
      <c r="B1" s="2"/>
      <c r="C1" s="2"/>
      <c r="D1" s="2"/>
      <c r="E1" s="2"/>
      <c r="F1" s="2"/>
      <c r="G1" s="2"/>
      <c r="H1" s="2"/>
      <c r="I1" s="9"/>
    </row>
    <row r="2" ht="16.5" customHeight="1" spans="1:9">
      <c r="A2" s="3" t="s">
        <v>1</v>
      </c>
      <c r="B2" s="3" t="s">
        <v>50</v>
      </c>
      <c r="C2" s="3" t="s">
        <v>51</v>
      </c>
      <c r="D2" s="3" t="s">
        <v>5</v>
      </c>
      <c r="E2" s="3" t="s">
        <v>52</v>
      </c>
      <c r="F2" s="3" t="s">
        <v>53</v>
      </c>
      <c r="G2" s="3" t="s">
        <v>54</v>
      </c>
      <c r="H2" s="3" t="s">
        <v>55</v>
      </c>
      <c r="I2" s="3" t="s">
        <v>56</v>
      </c>
    </row>
    <row r="3" ht="16.5" customHeight="1" spans="1:9">
      <c r="A3" s="4">
        <v>1</v>
      </c>
      <c r="B3" s="4" t="s">
        <v>57</v>
      </c>
      <c r="C3" s="4" t="s">
        <v>58</v>
      </c>
      <c r="D3" s="5">
        <v>0</v>
      </c>
      <c r="E3" s="6">
        <f>[1]F.1项目单项收入信息!H3</f>
        <v>300</v>
      </c>
      <c r="F3" s="6">
        <f>[1]F.1项目单项收入信息!I3</f>
        <v>600</v>
      </c>
      <c r="G3" s="6">
        <f>[1]F.1项目单项收入信息!J3</f>
        <v>480</v>
      </c>
      <c r="H3" s="6">
        <f>[1]F.1项目单项收入信息!K3</f>
        <v>600</v>
      </c>
      <c r="I3" s="6">
        <f>[1]F.1项目单项收入信息!L3</f>
        <v>600</v>
      </c>
    </row>
    <row r="4" ht="16.5" customHeight="1" spans="1:9">
      <c r="A4" s="7"/>
      <c r="B4" s="7"/>
      <c r="C4" s="4" t="s">
        <v>59</v>
      </c>
      <c r="D4" s="5">
        <v>0</v>
      </c>
      <c r="E4" s="6">
        <f>E3/(1+[1]G.3销项增值税率!C3)</f>
        <v>275.229357798165</v>
      </c>
      <c r="F4" s="6">
        <f>F3/(1+[1]G.3销项增值税率!C3)</f>
        <v>550.45871559633</v>
      </c>
      <c r="G4" s="6">
        <f>G3/(1+[1]G.3销项增值税率!C3)</f>
        <v>440.366972477064</v>
      </c>
      <c r="H4" s="6">
        <f>H3/(1+[1]G.3销项增值税率!C3)</f>
        <v>550.45871559633</v>
      </c>
      <c r="I4" s="6">
        <f>I3/(1+[1]G.3销项增值税率!C3)</f>
        <v>550.45871559633</v>
      </c>
    </row>
    <row r="5" ht="16.5" customHeight="1" spans="1:9">
      <c r="A5" s="4">
        <v>2</v>
      </c>
      <c r="B5" s="4" t="s">
        <v>60</v>
      </c>
      <c r="C5" s="4" t="s">
        <v>58</v>
      </c>
      <c r="D5" s="5">
        <v>0</v>
      </c>
      <c r="E5" s="6">
        <f>[1]F.1项目单项收入信息!H5</f>
        <v>640</v>
      </c>
      <c r="F5" s="6">
        <f>[1]F.1项目单项收入信息!I5</f>
        <v>800</v>
      </c>
      <c r="G5" s="6">
        <f>[1]F.1项目单项收入信息!J5</f>
        <v>560</v>
      </c>
      <c r="H5" s="6">
        <f>[1]F.1项目单项收入信息!K5</f>
        <v>800</v>
      </c>
      <c r="I5" s="6">
        <f>[1]F.1项目单项收入信息!L5</f>
        <v>800</v>
      </c>
    </row>
    <row r="6" ht="16.5" customHeight="1" spans="1:9">
      <c r="A6" s="7"/>
      <c r="B6" s="7"/>
      <c r="C6" s="4" t="s">
        <v>59</v>
      </c>
      <c r="D6" s="5">
        <v>0</v>
      </c>
      <c r="E6" s="6">
        <f>E5/(1+[1]G.3销项增值税率!C4)</f>
        <v>587.155963302752</v>
      </c>
      <c r="F6" s="6">
        <f>F5/(1+[1]G.3销项增值税率!C4)</f>
        <v>733.94495412844</v>
      </c>
      <c r="G6" s="6">
        <f>G5/(1+[1]G.3销项增值税率!C4)</f>
        <v>513.761467889908</v>
      </c>
      <c r="H6" s="6">
        <f>H5/(1+[1]G.3销项增值税率!C4)</f>
        <v>733.94495412844</v>
      </c>
      <c r="I6" s="6">
        <f>I5/(1+[1]G.3销项增值税率!C4)</f>
        <v>733.94495412844</v>
      </c>
    </row>
    <row r="7" ht="16.5" customHeight="1" spans="1:9">
      <c r="A7" s="4">
        <v>3</v>
      </c>
      <c r="B7" s="4" t="s">
        <v>61</v>
      </c>
      <c r="C7" s="4" t="s">
        <v>58</v>
      </c>
      <c r="D7" s="5">
        <v>0</v>
      </c>
      <c r="E7" s="6">
        <f>[1]F.1项目单项收入信息!H7</f>
        <v>2040</v>
      </c>
      <c r="F7" s="6">
        <f>[1]F.1项目单项收入信息!I7</f>
        <v>2550</v>
      </c>
      <c r="G7" s="6">
        <f>[1]F.1项目单项收入信息!J7</f>
        <v>2040</v>
      </c>
      <c r="H7" s="6">
        <f>[1]F.1项目单项收入信息!K7</f>
        <v>2500</v>
      </c>
      <c r="I7" s="6">
        <f>[1]F.1项目单项收入信息!L7</f>
        <v>2550</v>
      </c>
    </row>
    <row r="8" ht="16.5" customHeight="1" spans="1:9">
      <c r="A8" s="7"/>
      <c r="B8" s="7"/>
      <c r="C8" s="4" t="s">
        <v>59</v>
      </c>
      <c r="D8" s="5">
        <v>0</v>
      </c>
      <c r="E8" s="6">
        <f>E7/(1+[1]G.3销项增值税率!C5)</f>
        <v>1924.52830188679</v>
      </c>
      <c r="F8" s="6">
        <f>F7/(1+[1]G.3销项增值税率!C5)</f>
        <v>2405.66037735849</v>
      </c>
      <c r="G8" s="6">
        <f>G7/(1+[1]G.3销项增值税率!C5)</f>
        <v>1924.52830188679</v>
      </c>
      <c r="H8" s="6">
        <f>H7/(1+[1]G.3销项增值税率!C5)</f>
        <v>2358.49056603774</v>
      </c>
      <c r="I8" s="6">
        <f>I7/(1+[1]G.3销项增值税率!C5)</f>
        <v>2405.66037735849</v>
      </c>
    </row>
    <row r="9" ht="16.5" customHeight="1" spans="1:9">
      <c r="A9" s="4">
        <v>4</v>
      </c>
      <c r="B9" s="4" t="s">
        <v>62</v>
      </c>
      <c r="C9" s="4"/>
      <c r="D9" s="5">
        <v>0</v>
      </c>
      <c r="E9" s="8">
        <v>1</v>
      </c>
      <c r="F9" s="8">
        <v>1</v>
      </c>
      <c r="G9" s="8">
        <v>1</v>
      </c>
      <c r="H9" s="8">
        <v>1</v>
      </c>
      <c r="I9" s="8">
        <v>1</v>
      </c>
    </row>
    <row r="10" ht="16.5" customHeight="1" spans="1:9">
      <c r="A10" s="4">
        <v>5</v>
      </c>
      <c r="B10" s="4" t="s">
        <v>63</v>
      </c>
      <c r="C10" s="9"/>
      <c r="D10" s="5">
        <v>0</v>
      </c>
      <c r="E10" s="6">
        <f>SUM(E3+E5+E7+E9)</f>
        <v>2981</v>
      </c>
      <c r="F10" s="6">
        <f>F3+F5+F7+F9</f>
        <v>3951</v>
      </c>
      <c r="G10" s="6">
        <f>G3+G5+G7+G9</f>
        <v>3081</v>
      </c>
      <c r="H10" s="6">
        <f>H3+H5+H7+H9</f>
        <v>3901</v>
      </c>
      <c r="I10" s="6">
        <f>I3+I5+I7+I9</f>
        <v>3951</v>
      </c>
    </row>
    <row r="11" ht="16.5" customHeight="1" spans="1:9">
      <c r="A11" s="4">
        <v>6</v>
      </c>
      <c r="B11" s="4" t="s">
        <v>64</v>
      </c>
      <c r="C11" s="9"/>
      <c r="D11" s="5">
        <v>0</v>
      </c>
      <c r="E11" s="6">
        <f>E4+E6+E8+E9</f>
        <v>2787.91362298771</v>
      </c>
      <c r="F11" s="6">
        <f>F4+F6+F8+F9</f>
        <v>3691.06404708326</v>
      </c>
      <c r="G11" s="6">
        <f>G4+G6+G8+G9</f>
        <v>2879.65674225376</v>
      </c>
      <c r="H11" s="6">
        <f>H4+H6+H8+H9</f>
        <v>3643.89423576251</v>
      </c>
      <c r="I11" s="6">
        <f>I4+I6+I8+I9</f>
        <v>3691.06404708326</v>
      </c>
    </row>
  </sheetData>
  <mergeCells count="9">
    <mergeCell ref="A1:I1"/>
    <mergeCell ref="B10:C10"/>
    <mergeCell ref="B11:C11"/>
    <mergeCell ref="A3:A4"/>
    <mergeCell ref="A5:A6"/>
    <mergeCell ref="A7:A8"/>
    <mergeCell ref="B3:B4"/>
    <mergeCell ref="B5:B6"/>
    <mergeCell ref="B7:B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6" sqref="G6"/>
    </sheetView>
  </sheetViews>
  <sheetFormatPr defaultColWidth="8.72727272727273" defaultRowHeight="14" outlineLevelRow="5" outlineLevelCol="6"/>
  <sheetData>
    <row r="1" spans="1:1">
      <c r="A1">
        <v>123</v>
      </c>
    </row>
    <row r="4" spans="5:7">
      <c r="E4">
        <f>(Sheet1!F3*Sheet2!C3)+Sheet3!E3</f>
        <v>14738.269512336</v>
      </c>
      <c r="F4">
        <f>(Sheet1!G3*Sheet2!D3)+Sheet3!F3</f>
        <v>2160.67031162</v>
      </c>
      <c r="G4">
        <f>(Sheet1!H3*Sheet2!E3)+Sheet3!G3</f>
        <v>4212.52780706486</v>
      </c>
    </row>
    <row r="5" spans="5:7">
      <c r="E5">
        <f>(Sheet1!F3*Sheet2!C3)+Sheet3!E4</f>
        <v>14713.4988701342</v>
      </c>
      <c r="F5">
        <f>(Sheet1!G3*Sheet2!D3)+Sheet3!F4</f>
        <v>2111.12902721633</v>
      </c>
      <c r="G5">
        <f>(Sheet1!H3*Sheet2!E3)+Sheet3!G4</f>
        <v>4172.89477954193</v>
      </c>
    </row>
    <row r="6" spans="5:7">
      <c r="E6">
        <f>(Sheet1!F3*Sheet2!C3)-Sheet3!E3</f>
        <v>14138.269512336</v>
      </c>
      <c r="F6">
        <f>(Sheet1!G3*Sheet2!D3)-Sheet3!F3</f>
        <v>960.67031162</v>
      </c>
      <c r="G6">
        <f>(Sheet1!H3*Sheet2!E3)-Sheet3!G3</f>
        <v>3252.52780706486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H15"/>
  <sheetViews>
    <sheetView tabSelected="1" workbookViewId="0">
      <selection activeCell="F5" sqref="F5"/>
    </sheetView>
  </sheetViews>
  <sheetFormatPr defaultColWidth="8.72727272727273" defaultRowHeight="14" outlineLevelCol="7"/>
  <cols>
    <col min="6" max="7" width="12.8181818181818"/>
  </cols>
  <sheetData>
    <row r="5" spans="6:8">
      <c r="F5">
        <f>((Sheet1!F4*Sheet2!C4)+(Sheet3!E4*Sheet4!E4))</f>
        <v>4058002.26893653</v>
      </c>
      <c r="G5">
        <f>((Sheet1!G4*Sheet2!D4)+(Sheet3!F4*Sheet4!F4))</f>
        <v>1189800.20936147</v>
      </c>
      <c r="H5">
        <f>((Sheet1!H4*Sheet2!E4)+(Sheet3!G4*Sheet4!G4))</f>
        <v>1855815.6320726</v>
      </c>
    </row>
    <row r="6" spans="6:8">
      <c r="F6">
        <f>((Sheet1!F5*Sheet2!C5)+(Sheet3!E5*Sheet4!E5))</f>
        <v>9419686.70115798</v>
      </c>
      <c r="G6">
        <f>((Sheet1!G6*Sheet2!D5)+(Sheet3!F5*Sheet4!F5))</f>
        <v>1688915.7751064</v>
      </c>
      <c r="H6">
        <f>((Sheet1!H7*Sheet2!E5)+(Sheet3!G5*Sheet4!G5))</f>
        <v>2336866.87654348</v>
      </c>
    </row>
    <row r="7" spans="6:6">
      <c r="F7">
        <f>((Sheet1!F5*Sheet2!C5)+(Sheet3!E5*Sheet4!E5))</f>
        <v>9419686.70115798</v>
      </c>
    </row>
    <row r="8" spans="7:7">
      <c r="G8">
        <f>((Sheet1!F6*Sheet2!D5)+(Sheet3!F5*Sheet4!F5))</f>
        <v>1688921.1551064</v>
      </c>
    </row>
    <row r="9" spans="8:8">
      <c r="H9">
        <f>((Sheet1!F7*Sheet2!E5)+(Sheet3!G5*Sheet4!G5))</f>
        <v>2336878.32654348</v>
      </c>
    </row>
    <row r="10" spans="6:8">
      <c r="F10">
        <f>(Sheet5!F5+Sheet5!G5+Sheet5!H5)</f>
        <v>7103618.11037059</v>
      </c>
      <c r="G10">
        <f>(Sheet5!F6+Sheet5!G6+Sheet5!H6)</f>
        <v>13445469.3528079</v>
      </c>
      <c r="H10">
        <f>(Sheet5!F7+Sheet5!G7+Sheet5!H7)</f>
        <v>9419686.70115798</v>
      </c>
    </row>
    <row r="12" spans="6:8">
      <c r="F12">
        <f>(Sheet5!F5+Sheet5!G5+SUM(Sheet4!E4:G4))</f>
        <v>5268913.94592901</v>
      </c>
      <c r="G12">
        <f>(Sheet5!F6+Sheet5!G6+SUM(Sheet4!E5:G5))</f>
        <v>11129599.9989413</v>
      </c>
      <c r="H12">
        <f>(Sheet5!F7+Sheet5!G7+SUM(Sheet4!E6:G6))</f>
        <v>9438038.168789</v>
      </c>
    </row>
    <row r="13" spans="6:8">
      <c r="F13">
        <f>MAX(Sheet5!F5,Sheet5!G5)</f>
        <v>4058002.26893653</v>
      </c>
      <c r="G13">
        <f>MAX(Sheet5!F6,Sheet5!G6)</f>
        <v>9419686.70115798</v>
      </c>
      <c r="H13">
        <f>MAX(Sheet5!F7,Sheet5!G7)</f>
        <v>9419686.70115798</v>
      </c>
    </row>
    <row r="15" spans="6:6">
      <c r="F15">
        <f>SUM(Sheet1!F5:F9)</f>
        <v>9.71445416666667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2025-08-05T01:44:00Z</dcterms:created>
  <dcterms:modified xsi:type="dcterms:W3CDTF">2025-08-05T09:37:47Z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0948729B02664C41B92BEE25CBE94A54_11</vt:lpwstr>
  </property>
  <property fmtid="{D5CDD505-2E9C-101B-9397-08002B2CF9AE}" pid="3" name="KSOProductBuildVer">
    <vt:lpwstr>2052-12.8.2.18205</vt:lpwstr>
  </property>
</Properties>
</file>