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 tabRatio="692" firstSheet="6" activeTab="8"/>
  </bookViews>
  <sheets>
    <sheet name="A财务假设" sheetId="1" r:id="rId1"/>
    <sheet name="B项目信息" sheetId="2" r:id="rId2"/>
    <sheet name="C.1项目融资信息" sheetId="3" r:id="rId3"/>
    <sheet name="C.2项目每年借款信息" sheetId="4" r:id="rId4"/>
    <sheet name="D.1建设投资" sheetId="5" r:id="rId5"/>
    <sheet name="D.2项目总投资使用计划与资金筹措表" sheetId="6" r:id="rId6"/>
    <sheet name="D.3建设投资计划分年计划表" sheetId="7" r:id="rId7"/>
    <sheet name="D.4流动资金估算表" sheetId="8" r:id="rId8"/>
    <sheet name="E总成本费用估算表" sheetId="10" r:id="rId9"/>
    <sheet name="E.1项目运营费用" sheetId="9" r:id="rId10"/>
    <sheet name="E.2固定资产折旧费估算表" sheetId="11" r:id="rId11"/>
    <sheet name="E.3无形资产和其他资产摊销费估算表" sheetId="12" r:id="rId12"/>
    <sheet name="E.4建设投资税后金额表" sheetId="13" r:id="rId13"/>
    <sheet name="F项目收入" sheetId="14" r:id="rId14"/>
    <sheet name="F.1项目单项收入信息" sheetId="15" r:id="rId15"/>
    <sheet name="G.税金及附加测算表" sheetId="19" r:id="rId16"/>
    <sheet name="G.1进项增值税率-建设投资" sheetId="16" r:id="rId17"/>
    <sheet name="G.2进项增值税率-运营成本" sheetId="17" r:id="rId18"/>
    <sheet name="G.3销项增值税率" sheetId="18" r:id="rId19"/>
    <sheet name="a财务现金流量表" sheetId="20" r:id="rId20"/>
    <sheet name="a.2项目资本金现金流量表" sheetId="22" r:id="rId21"/>
    <sheet name="b利润与利润分配表（损益和利润分配表）" sheetId="23" r:id="rId22"/>
    <sheet name="c借款还本付息计划表" sheetId="21" r:id="rId23"/>
    <sheet name="d财务计划现金流量表" sheetId="24" r:id="rId24"/>
    <sheet name="e资产负债表" sheetId="25" r:id="rId25"/>
  </sheets>
  <calcPr calcId="144525"/>
</workbook>
</file>

<file path=xl/comments1.xml><?xml version="1.0" encoding="utf-8"?>
<comments xmlns="http://schemas.openxmlformats.org/spreadsheetml/2006/main">
  <authors>
    <author>谢玉君</author>
  </authors>
  <commentList>
    <comment ref="F7" authorId="0">
      <text>
        <r>
          <rPr>
            <b/>
            <sz val="9"/>
            <rFont val="宋体"/>
            <charset val="134"/>
          </rPr>
          <t>谢玉君:</t>
        </r>
        <r>
          <rPr>
            <sz val="9"/>
            <rFont val="宋体"/>
            <charset val="134"/>
          </rPr>
          <t xml:space="preserve">
为计算方便，每年算的数据都是在5的基础上增长2%</t>
        </r>
      </text>
    </comment>
  </commentList>
</comments>
</file>

<file path=xl/comments2.xml><?xml version="1.0" encoding="utf-8"?>
<comments xmlns="http://schemas.openxmlformats.org/spreadsheetml/2006/main">
  <authors>
    <author>谢玉君</author>
  </authors>
  <commentList>
    <comment ref="I29" authorId="0">
      <text>
        <r>
          <rPr>
            <b/>
            <sz val="12"/>
            <rFont val="宋体"/>
            <charset val="134"/>
          </rPr>
          <t>谢玉君:</t>
        </r>
        <r>
          <rPr>
            <sz val="12"/>
            <rFont val="宋体"/>
            <charset val="134"/>
          </rPr>
          <t xml:space="preserve">
其他表格中没有这三个年份</t>
        </r>
      </text>
    </comment>
  </commentList>
</comments>
</file>

<file path=xl/sharedStrings.xml><?xml version="1.0" encoding="utf-8"?>
<sst xmlns="http://schemas.openxmlformats.org/spreadsheetml/2006/main" count="832" uniqueCount="467">
  <si>
    <r>
      <rPr>
        <b/>
        <sz val="16"/>
        <color theme="0"/>
        <rFont val="微软雅黑"/>
        <charset val="134"/>
      </rPr>
      <t>A财务假设（此表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</si>
  <si>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序号</t>
  </si>
  <si>
    <t>名称</t>
  </si>
  <si>
    <t>解释</t>
  </si>
  <si>
    <t>参考值</t>
  </si>
  <si>
    <t>项目投资财务基准收益率(税前)</t>
  </si>
  <si>
    <t>国家发改委《建设项目财务基准收益率取值表》</t>
  </si>
  <si>
    <t>项目投资财务基准收益率(税后)</t>
  </si>
  <si>
    <t>项目资本金财务基准收益率</t>
  </si>
  <si>
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</si>
  <si>
    <t>城市维护建设税税率</t>
  </si>
  <si>
    <t>市区：7%；县城、镇：5%；
不在市区、县城或者镇：1% ；
缴纳基数为：增值税税额+营业税税额+消费税税额</t>
  </si>
  <si>
    <t>教育费附加费率</t>
  </si>
  <si>
    <t>缴纳基数为：增值税税额+营业税税额+消费税税额</t>
  </si>
  <si>
    <t>地方教育费附加费率</t>
  </si>
  <si>
    <t>企业所得税率</t>
  </si>
  <si>
    <t>是针对企业应纳税所得额征收的税种</t>
  </si>
  <si>
    <t>法定盈余公积提取比例</t>
  </si>
  <si>
    <t>企业应按照一定的比例从税后利润中提取盈余公积</t>
  </si>
  <si>
    <t>任意盈余公积提取比例</t>
  </si>
  <si>
    <t>提取比例由企业自主决定，没有固定标</t>
  </si>
  <si>
    <t>残值率</t>
  </si>
  <si>
    <t>资产在预计使用寿命结束时的剩余价值占其原始成本的百分比</t>
  </si>
  <si>
    <t>折旧年限（年）</t>
  </si>
  <si>
    <t>可与运营期对齐</t>
  </si>
  <si>
    <t>资本金用于流动资金比例</t>
  </si>
  <si>
    <t>不低于30%</t>
  </si>
  <si>
    <t>折现率</t>
  </si>
  <si>
    <t>投资者要求的最低收益率，可参考基准收益率，是由国家或行业主管部门制
定的，针对特定行业的标准折现率（如《建设项目经济评价方法与参数》中
规定的行业基准值）</t>
  </si>
  <si>
    <t>债券发行手续费率</t>
  </si>
  <si>
    <t xml:space="preserve"> 3年期及以下债券发行手续费为发行额的0.04%，
5年期及以上债券发行手续费为发行额的0.08%</t>
  </si>
  <si>
    <t>债券发行登记服务费率</t>
  </si>
  <si>
    <t>债券发行登记服务费为发行额的0.0064%</t>
  </si>
  <si>
    <t>债券还本付息兑付手续费率</t>
  </si>
  <si>
    <t>金额为本息和的0.005%</t>
  </si>
  <si>
    <r>
      <rPr>
        <b/>
        <sz val="16"/>
        <color theme="0"/>
        <rFont val="微软雅黑"/>
        <charset val="134"/>
      </rPr>
      <t>B项目信息（此表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</si>
  <si>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建设分期一</t>
  </si>
  <si>
    <t>建设开始年月</t>
  </si>
  <si>
    <t>建设完成年月</t>
  </si>
  <si>
    <t>建设期</t>
  </si>
  <si>
    <t>建设完成年月-建设开始年月</t>
  </si>
  <si>
    <t>12个月</t>
  </si>
  <si>
    <t>运营开始年月</t>
  </si>
  <si>
    <t>开始有运营收入的时间，可以在建设期间</t>
  </si>
  <si>
    <t>运营期</t>
  </si>
  <si>
    <t>按照债务周期为截止时间</t>
  </si>
  <si>
    <t>19年</t>
  </si>
  <si>
    <t>建设分期二</t>
  </si>
  <si>
    <t>15个月</t>
  </si>
  <si>
    <t>17年</t>
  </si>
  <si>
    <t>n</t>
  </si>
  <si>
    <t>建设分期n</t>
  </si>
  <si>
    <t>......</t>
  </si>
  <si>
    <t>Ⅰ</t>
  </si>
  <si>
    <t>项目总体周期</t>
  </si>
  <si>
    <t>求取整个项目的周期（建设+运营，以所有债务结束为截至）</t>
  </si>
  <si>
    <t>31年</t>
  </si>
  <si>
    <t>Ⅱ</t>
  </si>
  <si>
    <t>项目总体建设开始年份</t>
  </si>
  <si>
    <t>整个项目建设的时间</t>
  </si>
  <si>
    <t>Ⅲ</t>
  </si>
  <si>
    <t>项目总体建设结束年份</t>
  </si>
  <si>
    <t>整个项目建设完毕的时间</t>
  </si>
  <si>
    <t>Ⅳ</t>
  </si>
  <si>
    <t>项目起始运营期</t>
  </si>
  <si>
    <t>第一次进入运营期的年份</t>
  </si>
  <si>
    <r>
      <rPr>
        <b/>
        <sz val="16"/>
        <color theme="0"/>
        <rFont val="微软雅黑"/>
        <charset val="134"/>
      </rPr>
      <t>C.1项目融资信息（此表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</si>
  <si>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借款名称</t>
  </si>
  <si>
    <t>借款类别</t>
  </si>
  <si>
    <t>借款金额
（万元）</t>
  </si>
  <si>
    <t>开始时间</t>
  </si>
  <si>
    <t>结束时间</t>
  </si>
  <si>
    <t>借款周期（年）</t>
  </si>
  <si>
    <t>借款利率</t>
  </si>
  <si>
    <t>还款方式</t>
  </si>
  <si>
    <t>首年计息月份</t>
  </si>
  <si>
    <t>债券发行费（万元）</t>
  </si>
  <si>
    <t>债券发行登记服务费
（万元）</t>
  </si>
  <si>
    <t>债券还本付息兑付手续费
（万元）</t>
  </si>
  <si>
    <t>地方政府专项债
/市场化融资</t>
  </si>
  <si>
    <t>1,2,3,5,7,10,15,20,30.
根据实际需要选择</t>
  </si>
  <si>
    <t>专项债按发行前5个
工作日国债均价利率，
选择性上浮15%-30%</t>
  </si>
  <si>
    <t>允许地方结合实际情况，采取
到期还本（10年期以下按年付息，10年期以上按半年付息）、提前还本、分年还本等不同还本方式</t>
  </si>
  <si>
    <t>3年期及以下债券发行手续费
为发行额的0.04%，5年期及以
上债券发行手续费为发行额的0.08%</t>
  </si>
  <si>
    <t>发行额的0.0064%</t>
  </si>
  <si>
    <t>在每年还本付息时支付，
金额为本息和的0.005%</t>
  </si>
  <si>
    <t>借款1</t>
  </si>
  <si>
    <t>地方政府专项债</t>
  </si>
  <si>
    <t>到期一次性还清</t>
  </si>
  <si>
    <t>借款2</t>
  </si>
  <si>
    <t>贷款期内等额本金还款</t>
  </si>
  <si>
    <t>借款n</t>
  </si>
  <si>
    <t>市场化融资</t>
  </si>
  <si>
    <r>
      <rPr>
        <b/>
        <sz val="14"/>
        <color theme="0"/>
        <rFont val="微软雅黑"/>
        <charset val="134"/>
      </rPr>
      <t>C.2项目每年借款信息</t>
    </r>
    <r>
      <rPr>
        <b/>
        <sz val="12"/>
        <color theme="0"/>
        <rFont val="微软雅黑"/>
        <charset val="134"/>
      </rPr>
      <t>（此表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部分需要填写）</t>
    </r>
  </si>
  <si>
    <t>计算期年序</t>
  </si>
  <si>
    <t>2025（万元）</t>
  </si>
  <si>
    <t>2026（万元）</t>
  </si>
  <si>
    <t>2027（万元）</t>
  </si>
  <si>
    <t>/</t>
  </si>
  <si>
    <t>注：年份列数=B项目信息表中建设期年数之和（如建设期3年，此表是3列年份）</t>
  </si>
  <si>
    <t>D.1建设投资（此表不需要填写）</t>
  </si>
  <si>
    <t>分项费用</t>
  </si>
  <si>
    <t>说明</t>
  </si>
  <si>
    <t>金额（万元）</t>
  </si>
  <si>
    <t>一</t>
  </si>
  <si>
    <t>工程建设费用</t>
  </si>
  <si>
    <t>工程类费用</t>
  </si>
  <si>
    <t>建筑工程费</t>
  </si>
  <si>
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</si>
  <si>
    <t>设备购置费</t>
  </si>
  <si>
    <t>安装工程费</t>
  </si>
  <si>
    <t>指的是建筑工程中的管线安装、设备安装（如空调、电线、水管等），以及室内装修、园林绿化等方面的费用。</t>
  </si>
  <si>
    <t>信息化建设费用</t>
  </si>
  <si>
    <t>硬件类</t>
  </si>
  <si>
    <t>软件类</t>
  </si>
  <si>
    <t>安全类</t>
  </si>
  <si>
    <t>数据类</t>
  </si>
  <si>
    <t>二</t>
  </si>
  <si>
    <t>工程建设其他费用</t>
  </si>
  <si>
    <t>建设单位管理费</t>
  </si>
  <si>
    <t>前期咨询费</t>
  </si>
  <si>
    <t>工程设计费</t>
  </si>
  <si>
    <t>工程监理费</t>
  </si>
  <si>
    <t>专项债发行及服务费</t>
  </si>
  <si>
    <t>三</t>
  </si>
  <si>
    <t>预备费</t>
  </si>
  <si>
    <t>基本预备费</t>
  </si>
  <si>
    <t>总计</t>
  </si>
  <si>
    <r>
      <rPr>
        <b/>
        <sz val="14"/>
        <color theme="0"/>
        <rFont val="微软雅黑"/>
        <charset val="134"/>
      </rPr>
      <t>D.2项目总投资使用计划与资金筹措表</t>
    </r>
    <r>
      <rPr>
        <b/>
        <sz val="12"/>
        <color theme="0"/>
        <rFont val="微软雅黑"/>
        <charset val="134"/>
      </rPr>
      <t>（此表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部分需要填写）</t>
    </r>
  </si>
  <si>
    <t>科目</t>
  </si>
  <si>
    <t>合计</t>
  </si>
  <si>
    <t>总投资</t>
  </si>
  <si>
    <t>建设投资</t>
  </si>
  <si>
    <t>建设期利息</t>
  </si>
  <si>
    <t>流动资金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</si>
  <si>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</si>
  <si>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</si>
  <si>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</si>
  <si>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</si>
  <si>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</si>
  <si>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</si>
  <si>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</si>
  <si>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</si>
  <si>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债务资金</t>
  </si>
  <si>
    <t>2.2.1</t>
  </si>
  <si>
    <t>2.2.2</t>
  </si>
  <si>
    <t>2.2.3</t>
  </si>
  <si>
    <t>其他资金</t>
  </si>
  <si>
    <t>资本金基数总投资</t>
  </si>
  <si>
    <t>辅底流动资金</t>
  </si>
  <si>
    <t>资本金比例
（不能少于20%）</t>
  </si>
  <si>
    <r>
      <rPr>
        <b/>
        <sz val="16"/>
        <color theme="0"/>
        <rFont val="微软雅黑"/>
        <charset val="134"/>
      </rPr>
      <t>D.3建设投资分年计划表（万元）（此表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</si>
  <si>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</si>
  <si>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</si>
  <si>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</si>
  <si>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</si>
  <si>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</si>
  <si>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</si>
  <si>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</si>
  <si>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</si>
  <si>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</si>
  <si>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</si>
  <si>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</si>
  <si>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</si>
  <si>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</si>
  <si>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包括服务器、存储、网络等设备</t>
  </si>
  <si>
    <r>
      <rPr>
        <b/>
        <sz val="16"/>
        <color theme="0"/>
        <rFont val="微软雅黑"/>
        <charset val="134"/>
      </rPr>
      <t>D.4流动资金估算表</t>
    </r>
    <r>
      <rPr>
        <b/>
        <sz val="12"/>
        <color theme="0"/>
        <rFont val="微软雅黑"/>
        <charset val="134"/>
      </rPr>
      <t>(此表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部分需要填写）</t>
    </r>
  </si>
  <si>
    <t>项目</t>
  </si>
  <si>
    <t>最低周转天数(天)</t>
  </si>
  <si>
    <t>周转次数</t>
  </si>
  <si>
    <t>2025（建设期）</t>
  </si>
  <si>
    <t>流动资产</t>
  </si>
  <si>
    <t>应收账款</t>
  </si>
  <si>
    <t>存货</t>
  </si>
  <si>
    <t>原材料</t>
  </si>
  <si>
    <t>燃料动力</t>
  </si>
  <si>
    <t>在产品</t>
  </si>
  <si>
    <t>根据实际判断是否有</t>
  </si>
  <si>
    <t>产成品</t>
  </si>
  <si>
    <t>现金</t>
  </si>
  <si>
    <t>流动负债</t>
  </si>
  <si>
    <t>应付账款</t>
  </si>
  <si>
    <t>流动资金（1-2）</t>
  </si>
  <si>
    <t>流动资金当年增加额</t>
  </si>
  <si>
    <t>流动资金贷款</t>
  </si>
  <si>
    <t>注：一次性投入，进入运营的第一年才有。最低周转天数可问AI</t>
  </si>
  <si>
    <r>
      <rPr>
        <b/>
        <sz val="14"/>
        <color theme="0"/>
        <rFont val="微软雅黑"/>
        <charset val="134"/>
      </rPr>
      <t>E总成本费用估算表</t>
    </r>
    <r>
      <rPr>
        <b/>
        <sz val="12"/>
        <color theme="0"/>
        <rFont val="微软雅黑"/>
        <charset val="134"/>
      </rPr>
      <t>(此表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部分需要填写，2026、2027无折旧摊销费)</t>
    </r>
  </si>
  <si>
    <t>2025(万元）建设期不计算</t>
  </si>
  <si>
    <t>2026(万元）</t>
  </si>
  <si>
    <t>2027(万元）</t>
  </si>
  <si>
    <t>2028(万元）</t>
  </si>
  <si>
    <t>....(万元）</t>
  </si>
  <si>
    <t>2045(万元）</t>
  </si>
  <si>
    <t>外购原材料费</t>
  </si>
  <si>
    <t>外购燃料及动力费</t>
  </si>
  <si>
    <t>工资福利费</t>
  </si>
  <si>
    <t>修理费</t>
  </si>
  <si>
    <t>其他费用 （5.1+5.2+5.3）</t>
  </si>
  <si>
    <t>其他制造费用</t>
  </si>
  <si>
    <t>其他管理费用</t>
  </si>
  <si>
    <t>其他营业费用</t>
  </si>
  <si>
    <t>经营成本 （1+2+3+4+5）</t>
  </si>
  <si>
    <t>折旧费</t>
  </si>
  <si>
    <t>摊销费</t>
  </si>
  <si>
    <t>利息支出</t>
  </si>
  <si>
    <t>总成本费用 （6+7+8+9）</t>
  </si>
  <si>
    <t>其中固定成本 （10-10.2）</t>
  </si>
  <si>
    <t>其中可变成本 （1+2+3+5.3）</t>
  </si>
  <si>
    <r>
      <rPr>
        <b/>
        <sz val="16"/>
        <color theme="0"/>
        <rFont val="微软雅黑"/>
        <charset val="134"/>
      </rPr>
      <t>E.1项目运营期费用</t>
    </r>
    <r>
      <rPr>
        <b/>
        <sz val="12"/>
        <color theme="0"/>
        <rFont val="微软雅黑"/>
        <charset val="134"/>
      </rPr>
      <t>(此表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部分需要填写）</t>
    </r>
  </si>
  <si>
    <t>成本类别</t>
  </si>
  <si>
    <t>取费计算方式</t>
  </si>
  <si>
    <t>数量</t>
  </si>
  <si>
    <t>单价
（万元）</t>
  </si>
  <si>
    <t>2028（万元）</t>
  </si>
  <si>
    <t>....</t>
  </si>
  <si>
    <t>2045（万元）</t>
  </si>
  <si>
    <t>负荷系数</t>
  </si>
  <si>
    <t>场地维护成本</t>
  </si>
  <si>
    <t>场地租金</t>
  </si>
  <si>
    <t>按面积×租金单价</t>
  </si>
  <si>
    <t>建设期不计算</t>
  </si>
  <si>
    <t>场地日常维护（停机坪/起降场/交通枢纽/飞行营地/指挥中心等）</t>
  </si>
  <si>
    <t>按面积 × 单位维护单价（元 / ㎡・年）</t>
  </si>
  <si>
    <t>消防设施年检</t>
  </si>
  <si>
    <t>按设备数量 × 单台年检费（元 / 台・次）</t>
  </si>
  <si>
    <t>防鸟措施（驱鸟器维护）</t>
  </si>
  <si>
    <t>按套数 × 年费（元 / 套・年）+ 耗材费（如驱鸟剂）</t>
  </si>
  <si>
    <t>燃料动力费</t>
  </si>
  <si>
    <t>飞行器能耗</t>
  </si>
  <si>
    <t>按电耗或油耗计算</t>
  </si>
  <si>
    <t>核心设备电力能耗</t>
  </si>
  <si>
    <t>按实际用电量 × 电价（元 / 千瓦 时）</t>
  </si>
  <si>
    <t>水电能耗</t>
  </si>
  <si>
    <t>按面积估算</t>
  </si>
  <si>
    <t>网络费</t>
  </si>
  <si>
    <t>网络通信费用</t>
  </si>
  <si>
    <t>按年计算租金</t>
  </si>
  <si>
    <t>硬件维护成本</t>
  </si>
  <si>
    <t>硬件设备维护</t>
  </si>
  <si>
    <t>按照固定资产15%计算</t>
  </si>
  <si>
    <t>备品备件储备</t>
  </si>
  <si>
    <t>按年度设备维护预算 × 储备比例 （10%-20%）</t>
  </si>
  <si>
    <t>软件维护费</t>
  </si>
  <si>
    <t>软件维护</t>
  </si>
  <si>
    <t>按无形资产造价的20%计算</t>
  </si>
  <si>
    <t>营销费用</t>
  </si>
  <si>
    <t>营销及活动</t>
  </si>
  <si>
    <t>按年平均营业收入的2%计算</t>
  </si>
  <si>
    <t>工资及福利费</t>
  </si>
  <si>
    <t>人员薪酬</t>
  </si>
  <si>
    <t>按岗位月薪 ×12 + 福利（月薪 ×20%-30%）</t>
  </si>
  <si>
    <t>培训与资质认证</t>
  </si>
  <si>
    <t>按人次 × 人均培训费（元 / 人 次）</t>
  </si>
  <si>
    <t>办公与行政支出</t>
  </si>
  <si>
    <t>按人员数量 × 人均办公费（元 / 人・月）</t>
  </si>
  <si>
    <t>合规性与安全成本</t>
  </si>
  <si>
    <t>空域使用审批费</t>
  </si>
  <si>
    <t>按空域面积 × 年费率（元 / 平方 公里・年）</t>
  </si>
  <si>
    <t>场地责任险</t>
  </si>
  <si>
    <t>按保额 × 保险费率（年费率 0.1%-0.3%）</t>
  </si>
  <si>
    <t>安全演练与应急处置</t>
  </si>
  <si>
    <t>按次数 × 单次演练成本（元 / 次）</t>
  </si>
  <si>
    <t>其他费用</t>
  </si>
  <si>
    <t>第三方安全评估</t>
  </si>
  <si>
    <t>按项目投资额 × 评估费率 （0.1%-0.3%）</t>
  </si>
  <si>
    <t>不可预见支出</t>
  </si>
  <si>
    <t>按年度总成本 × 计提比例 （5%-10%）</t>
  </si>
  <si>
    <t>E.2固定资产折旧费估算表</t>
  </si>
  <si>
    <t>原值</t>
  </si>
  <si>
    <t>年折旧率</t>
  </si>
  <si>
    <t>年折旧额</t>
  </si>
  <si>
    <t>净值（原值-年折旧额*n）</t>
  </si>
  <si>
    <t>不含税（固定资产金额）+不含税（工程其他费）+预备费 + c建设期利息</t>
  </si>
  <si>
    <t xml:space="preserve"> =1 /A 折旧年折旧年限 × 100%</t>
  </si>
  <si>
    <t>原值 × A~（1-残值残值率）× 年折旧率）</t>
  </si>
  <si>
    <t>定资产投资</t>
  </si>
  <si>
    <r>
      <rPr>
        <b/>
        <sz val="16"/>
        <color theme="0"/>
        <rFont val="微软雅黑"/>
        <charset val="134"/>
      </rPr>
      <t>E.3无形资产和其他资产摊销费估算表</t>
    </r>
    <r>
      <rPr>
        <b/>
        <sz val="14"/>
        <color theme="0"/>
        <rFont val="微软雅黑"/>
        <charset val="134"/>
      </rPr>
      <t>（此表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部分需要填）</t>
    </r>
  </si>
  <si>
    <t>净值</t>
  </si>
  <si>
    <t>不含税(软件类)+不含税(安全类软件)+不含税 (数据类)+专利费+土地使用权费+商标权、著作权费</t>
  </si>
  <si>
    <t>1/A折旧年限×100%</t>
  </si>
  <si>
    <t>原值×年折旧率</t>
  </si>
  <si>
    <t>无形资产</t>
  </si>
  <si>
    <t>土地使用权</t>
  </si>
  <si>
    <t>专利技术</t>
  </si>
  <si>
    <t>软件及其他无形资产
(不一定全是软件，作判别）</t>
  </si>
  <si>
    <t>其他资产</t>
  </si>
  <si>
    <t>项目开办费</t>
  </si>
  <si>
    <t>E.4建设投资税后金额表(不用填)</t>
  </si>
  <si>
    <t>增值税率</t>
  </si>
  <si>
    <t>税后金额(万元)</t>
  </si>
  <si>
    <r>
      <rPr>
        <b/>
        <sz val="14"/>
        <color theme="0"/>
        <rFont val="微软雅黑"/>
        <charset val="134"/>
      </rPr>
      <t>F项目收入（此表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部分需要填写）</t>
    </r>
  </si>
  <si>
    <t>收入类别</t>
  </si>
  <si>
    <t>含税/不含税</t>
  </si>
  <si>
    <t>2027(万元)</t>
  </si>
  <si>
    <t>2028(万元)</t>
  </si>
  <si>
    <t>...</t>
  </si>
  <si>
    <t>2045(万元)</t>
  </si>
  <si>
    <t>租赁收入</t>
  </si>
  <si>
    <t>含税</t>
  </si>
  <si>
    <t>不含税</t>
  </si>
  <si>
    <t>停车收入</t>
  </si>
  <si>
    <t>充电桩收入</t>
  </si>
  <si>
    <t>补贴收入</t>
  </si>
  <si>
    <t>年度合计（含税）</t>
  </si>
  <si>
    <t>年度合计（不含税）</t>
  </si>
  <si>
    <t>注：表头年份，以所有借款起始时间为开始，以所有借款结束时间为终止</t>
  </si>
  <si>
    <r>
      <rPr>
        <b/>
        <sz val="14"/>
        <color theme="0"/>
        <rFont val="微软雅黑"/>
        <charset val="134"/>
      </rPr>
      <t>F.1项目单项收入信息</t>
    </r>
    <r>
      <rPr>
        <b/>
        <sz val="12"/>
        <color theme="0"/>
        <rFont val="微软雅黑"/>
        <charset val="134"/>
      </rPr>
      <t>（此表</t>
    </r>
    <r>
      <rPr>
        <b/>
        <sz val="12"/>
        <color rgb="FFFF0000"/>
        <rFont val="微软雅黑"/>
        <charset val="134"/>
      </rPr>
      <t>红色部分</t>
    </r>
    <r>
      <rPr>
        <b/>
        <sz val="12"/>
        <color theme="0"/>
        <rFont val="微软雅黑"/>
        <charset val="134"/>
      </rPr>
      <t>需要填写）</t>
    </r>
  </si>
  <si>
    <t>单价（万元/年）</t>
  </si>
  <si>
    <t>单价年增长情况</t>
  </si>
  <si>
    <t>增长比例</t>
  </si>
  <si>
    <t>....（万元）</t>
  </si>
  <si>
    <t>不增长</t>
  </si>
  <si>
    <t>年度负荷</t>
  </si>
  <si>
    <t>每年增长</t>
  </si>
  <si>
    <t>G.税金及附加测算表（万元）</t>
  </si>
  <si>
    <t>建设投资进项税</t>
  </si>
  <si>
    <t>2025
（建设期不计算）</t>
  </si>
  <si>
    <t>G.1 进项税总计-建设投资
可一直累进抵扣，直至为0</t>
  </si>
  <si>
    <t>当期进项税额</t>
  </si>
  <si>
    <t>当期销项税额</t>
  </si>
  <si>
    <t xml:space="preserve">当期应缴增值税 </t>
  </si>
  <si>
    <t>城建税及教育费附加</t>
  </si>
  <si>
    <r>
      <rPr>
        <b/>
        <sz val="14"/>
        <color theme="0"/>
        <rFont val="微软雅黑"/>
        <charset val="134"/>
      </rPr>
      <t>G.1进项增值税率-建设投资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</si>
  <si>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增值税（万元）</t>
  </si>
  <si>
    <t>工程类</t>
  </si>
  <si>
    <t>进项税总计-建设投资</t>
  </si>
  <si>
    <r>
      <rPr>
        <b/>
        <sz val="14"/>
        <color theme="0"/>
        <rFont val="微软雅黑"/>
        <charset val="134"/>
      </rPr>
      <t xml:space="preserve">G.2进项增值税率-运营成本
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</si>
  <si>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水9% 电13%</t>
  </si>
  <si>
    <r>
      <rPr>
        <b/>
        <sz val="14"/>
        <color theme="0"/>
        <rFont val="微软雅黑"/>
        <charset val="134"/>
      </rPr>
      <t xml:space="preserve">G.3销项增值税率
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</si>
  <si>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广告收入</t>
  </si>
  <si>
    <t>政务服务收入</t>
  </si>
  <si>
    <t>企业服务收入</t>
  </si>
  <si>
    <t>文旅服务收入</t>
  </si>
  <si>
    <t>飞行服务收入</t>
  </si>
  <si>
    <t>数据收入</t>
  </si>
  <si>
    <t>产学研成果转化及输入收入</t>
  </si>
  <si>
    <t>a财务现金流量表</t>
  </si>
  <si>
    <t>现金流入</t>
  </si>
  <si>
    <t>营业收入</t>
  </si>
  <si>
    <t>回收固定资产余值</t>
  </si>
  <si>
    <t>回收流动资金</t>
  </si>
  <si>
    <t>现金流出</t>
  </si>
  <si>
    <t>经营成本</t>
  </si>
  <si>
    <t>营业税金及附加</t>
  </si>
  <si>
    <t>维持运营投资</t>
  </si>
  <si>
    <t>所得税前净现金流量（1-2）</t>
  </si>
  <si>
    <t>累计所得税前净现金流量</t>
  </si>
  <si>
    <t>调整所得税</t>
  </si>
  <si>
    <t>所得税后净现金流量（3-5）</t>
  </si>
  <si>
    <t>累计所得税后净现金流量</t>
  </si>
  <si>
    <t>折现值-所得税前净现金流量</t>
  </si>
  <si>
    <t>折现值-累计所得税前净现金流量</t>
  </si>
  <si>
    <t>折现值-所得税后净现金流量</t>
  </si>
  <si>
    <t>折现值-累计所得税后净现金流量</t>
  </si>
  <si>
    <t>项目投资财务内部收益率（%）
（所得税前）</t>
  </si>
  <si>
    <t>项目投资财务内部收益率（%）
（所得税后）</t>
  </si>
  <si>
    <t>项目投资财务净现值（所得税前）
（ic = %）</t>
  </si>
  <si>
    <t>ic参考表A</t>
  </si>
  <si>
    <t>项目投资财务净现值（所得税后）
（ic = %）</t>
  </si>
  <si>
    <t>Ⅴ</t>
  </si>
  <si>
    <t>项目静态投资回收期（年）
（所得税前）</t>
  </si>
  <si>
    <t>行4转正年份 - 1 + 行4[行4转正年份-1] / 行3[行4转正年份]</t>
  </si>
  <si>
    <t>Ⅵ</t>
  </si>
  <si>
    <t>项目动态投资回收期（年）
（所得税前）</t>
  </si>
  <si>
    <t>行9转正年份 - 1 + 行9[行9转正年份-1] / 行8[行9转正年份]</t>
  </si>
  <si>
    <t>Ⅶ</t>
  </si>
  <si>
    <t>★项目静态投资回收期（年）
（所得税后）</t>
  </si>
  <si>
    <t>行7转正年份 - 1 + 行7[行7转正年份-1] / 行6[行7转正年份]</t>
  </si>
  <si>
    <t>Ⅷ</t>
  </si>
  <si>
    <t>★项目动态投资回收期（年）
（所得税后）</t>
  </si>
  <si>
    <t>行11转正年份 - 1 + 行11[行11转正年份-1] / 行10[行11转正年份]</t>
  </si>
  <si>
    <t>a.2项目资本金现金流量表</t>
  </si>
  <si>
    <t>回收流动资产</t>
  </si>
  <si>
    <t>借款本金偿还</t>
  </si>
  <si>
    <t>借款利息支付</t>
  </si>
  <si>
    <t>所得税</t>
  </si>
  <si>
    <t>净现金流量</t>
  </si>
  <si>
    <t>资本金财务内部收益率（%）</t>
  </si>
  <si>
    <r>
      <rPr>
        <b/>
        <sz val="14"/>
        <color theme="0"/>
        <rFont val="微软雅黑"/>
        <charset val="134"/>
      </rPr>
      <t>b利润与利润分配表（万元）（损益和利润分配表）（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需要填写）</t>
    </r>
  </si>
  <si>
    <t>营业收入（不含增值税）</t>
  </si>
  <si>
    <t>总成本费用（不含增值税）</t>
  </si>
  <si>
    <t>利润总额</t>
  </si>
  <si>
    <t>弥补以前年度亏损</t>
  </si>
  <si>
    <t>期末未弥补亏损</t>
  </si>
  <si>
    <t>应纳税所得额</t>
  </si>
  <si>
    <t>所得税
（大于0才交税，税率见表A）</t>
  </si>
  <si>
    <t>净利润</t>
  </si>
  <si>
    <t>期初未分配利润</t>
  </si>
  <si>
    <t>可供分配的利润</t>
  </si>
  <si>
    <t>提取法定盈余公积金</t>
  </si>
  <si>
    <t>可供投资者分配的利润</t>
  </si>
  <si>
    <t>应付优先股股利</t>
  </si>
  <si>
    <t>提取任意盈余公积金</t>
  </si>
  <si>
    <t>应付普通股股利</t>
  </si>
  <si>
    <t>各投资方利润分配：</t>
  </si>
  <si>
    <t>其中：投资方</t>
  </si>
  <si>
    <t>未分配利润</t>
  </si>
  <si>
    <t>其中：偿还借款</t>
  </si>
  <si>
    <t>累计未分配利润</t>
  </si>
  <si>
    <t>息税前利润
（利润总额+利息支出）</t>
  </si>
  <si>
    <t>息税折旧摊销前利润
（息税前利润+折旧+摊销）</t>
  </si>
  <si>
    <r>
      <rPr>
        <b/>
        <sz val="14"/>
        <color theme="0"/>
        <rFont val="微软雅黑"/>
        <charset val="134"/>
      </rPr>
      <t>c借款还本付息计划表（万元）</t>
    </r>
    <r>
      <rPr>
        <b/>
        <sz val="11"/>
        <color theme="0"/>
        <rFont val="微软雅黑"/>
        <charset val="134"/>
      </rPr>
      <t>（此表</t>
    </r>
    <r>
      <rPr>
        <b/>
        <sz val="11"/>
        <color rgb="FFFF0000"/>
        <rFont val="微软雅黑"/>
        <charset val="134"/>
      </rPr>
      <t>红色字体</t>
    </r>
    <r>
      <rPr>
        <b/>
        <sz val="11"/>
        <color theme="0"/>
        <rFont val="微软雅黑"/>
        <charset val="134"/>
      </rPr>
      <t>部分需要填写）</t>
    </r>
  </si>
  <si>
    <r>
      <rPr>
        <sz val="11"/>
        <color theme="1"/>
        <rFont val="微软雅黑"/>
        <charset val="134"/>
      </rPr>
      <t>（还款方式为</t>
    </r>
    <r>
      <rPr>
        <sz val="11"/>
        <color rgb="FFFF0000"/>
        <rFont val="微软雅黑"/>
        <charset val="134"/>
      </rPr>
      <t>到期还本</t>
    </r>
    <r>
      <rPr>
        <sz val="11"/>
        <color theme="1"/>
        <rFont val="微软雅黑"/>
        <charset val="134"/>
      </rPr>
      <t>）</t>
    </r>
  </si>
  <si>
    <t>期初借款余额</t>
  </si>
  <si>
    <t>当期还本付息</t>
  </si>
  <si>
    <t>其中：还本</t>
  </si>
  <si>
    <t>付息</t>
  </si>
  <si>
    <t>期末借款余额</t>
  </si>
  <si>
    <t>还本付息兑付手续费</t>
  </si>
  <si>
    <t>债券发行及服务费</t>
  </si>
  <si>
    <r>
      <rPr>
        <sz val="11"/>
        <color theme="1"/>
        <rFont val="微软雅黑"/>
        <charset val="134"/>
      </rPr>
      <t>（还款方式为</t>
    </r>
    <r>
      <rPr>
        <sz val="11"/>
        <color rgb="FFFF0000"/>
        <rFont val="微软雅黑"/>
        <charset val="134"/>
      </rPr>
      <t>等额本金</t>
    </r>
    <r>
      <rPr>
        <sz val="11"/>
        <color theme="1"/>
        <rFont val="微软雅黑"/>
        <charset val="134"/>
      </rPr>
      <t>）</t>
    </r>
  </si>
  <si>
    <t>借款合计</t>
  </si>
  <si>
    <t>n.1</t>
  </si>
  <si>
    <t>n.2</t>
  </si>
  <si>
    <t>n.2.1</t>
  </si>
  <si>
    <t>n.2.2</t>
  </si>
  <si>
    <t>n.3</t>
  </si>
  <si>
    <t>n.4</t>
  </si>
  <si>
    <t>n.5</t>
  </si>
  <si>
    <t>计算指标</t>
  </si>
  <si>
    <t>利息备付率（%）</t>
  </si>
  <si>
    <t>偿债备付率（%）</t>
  </si>
  <si>
    <r>
      <rPr>
        <b/>
        <sz val="11"/>
        <color rgb="FFFF0000"/>
        <rFont val="微软雅黑"/>
        <charset val="134"/>
      </rPr>
      <t>注</t>
    </r>
    <r>
      <rPr>
        <b/>
        <sz val="11"/>
        <color theme="1"/>
        <rFont val="微软雅黑"/>
        <charset val="134"/>
      </rPr>
      <t>：表头年份，以所有借款起始时间为开始，以所有借款结束时间为终止</t>
    </r>
  </si>
  <si>
    <t>d财务计划现金流量表（万元）</t>
  </si>
  <si>
    <t>经营活动净现金流量</t>
  </si>
  <si>
    <t>其他流入</t>
  </si>
  <si>
    <t>增值税</t>
  </si>
  <si>
    <t>1.2.5</t>
  </si>
  <si>
    <t>其他流出</t>
  </si>
  <si>
    <t>投资活动净现金流量</t>
  </si>
  <si>
    <t>现金流入
（卖资产收回的钱）</t>
  </si>
  <si>
    <t>2.2.4</t>
  </si>
  <si>
    <t>筹资活动净现金流量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</si>
  <si>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</si>
  <si>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</si>
  <si>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</si>
  <si>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</si>
  <si>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</si>
  <si>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</si>
  <si>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</si>
  <si>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</si>
  <si>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累计盈余资金</t>
  </si>
  <si>
    <t>e资产负债表</t>
  </si>
  <si>
    <t>资产</t>
  </si>
  <si>
    <t>流动资产总额</t>
  </si>
  <si>
    <t>货币资金</t>
  </si>
  <si>
    <t>预付账款</t>
  </si>
  <si>
    <t>其他</t>
  </si>
  <si>
    <t>在建工程</t>
  </si>
  <si>
    <t>固定资产净值</t>
  </si>
  <si>
    <t>无形及其他资产净值</t>
  </si>
  <si>
    <t>负债及所有者权益</t>
  </si>
  <si>
    <t>流动负债总额</t>
  </si>
  <si>
    <t>短期借款</t>
  </si>
  <si>
    <t>预收账款</t>
  </si>
  <si>
    <t>2.1.4</t>
  </si>
  <si>
    <t>流动资金借款</t>
  </si>
  <si>
    <t>负债小计</t>
  </si>
  <si>
    <t>所有者权益</t>
  </si>
  <si>
    <t>2.5.1</t>
  </si>
  <si>
    <t>资本金</t>
  </si>
  <si>
    <t>2.5.2</t>
  </si>
  <si>
    <t>资本公积</t>
  </si>
  <si>
    <t>2.5.3</t>
  </si>
  <si>
    <t>累计盈余公积金</t>
  </si>
  <si>
    <t>2.5.4</t>
  </si>
  <si>
    <t>计算指标：资产负债率</t>
  </si>
</sst>
</file>

<file path=xl/styles.xml><?xml version="1.0" encoding="utf-8"?>
<styleSheet xmlns="http://schemas.openxmlformats.org/spreadsheetml/2006/main">
  <numFmts count="8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%"/>
    <numFmt numFmtId="178" formatCode="0.000%"/>
  </numFmts>
  <fonts count="42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6"/>
      <color theme="0"/>
      <name val="微软雅黑"/>
      <charset val="134"/>
    </font>
    <font>
      <sz val="11"/>
      <color rgb="FF494949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rgb="FF40404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rgb="FFFF0000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0000"/>
      <name val="微软雅黑"/>
      <charset val="134"/>
    </font>
    <font>
      <b/>
      <sz val="16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8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3" fillId="5" borderId="0" xfId="0" applyNumberFormat="1" applyFont="1" applyFill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A1:D18"/>
  <sheetViews>
    <sheetView zoomScale="70" zoomScaleNormal="70" workbookViewId="0">
      <selection activeCell="D3" sqref="D3:D18"/>
    </sheetView>
  </sheetViews>
  <sheetFormatPr defaultColWidth="8.88888888888889" defaultRowHeight="30" customHeight="1" outlineLevelCol="3"/>
  <cols>
    <col min="2" max="2" width="30.3333333333333" customWidth="1"/>
    <col min="3" max="3" width="70.712962962963" customWidth="1"/>
    <col min="4" max="4" width="12.8055555555556" customWidth="1"/>
  </cols>
  <sheetData>
    <row r="1" s="19" customFormat="1" customHeight="1" spans="1:4">
      <c r="A1" s="89" t="s">
        <v>0</v>
      </c>
      <c r="B1" s="89"/>
      <c r="C1" s="89"/>
      <c r="D1" s="90"/>
    </row>
    <row r="2" s="19" customFormat="1" customHeight="1" spans="1:4">
      <c r="A2" s="91" t="s">
        <v>1</v>
      </c>
      <c r="B2" s="91" t="s">
        <v>2</v>
      </c>
      <c r="C2" s="91" t="s">
        <v>3</v>
      </c>
      <c r="D2" s="91" t="s">
        <v>4</v>
      </c>
    </row>
    <row r="3" s="19" customFormat="1" customHeight="1" spans="1:4">
      <c r="A3" s="3">
        <v>1</v>
      </c>
      <c r="B3" s="3" t="s">
        <v>5</v>
      </c>
      <c r="C3" s="3" t="s">
        <v>6</v>
      </c>
      <c r="D3" s="39">
        <v>0.05</v>
      </c>
    </row>
    <row r="4" s="19" customFormat="1" customHeight="1" spans="1:4">
      <c r="A4" s="3">
        <v>2</v>
      </c>
      <c r="B4" s="3" t="s">
        <v>7</v>
      </c>
      <c r="C4" s="3" t="s">
        <v>6</v>
      </c>
      <c r="D4" s="39">
        <v>0.03</v>
      </c>
    </row>
    <row r="5" s="19" customFormat="1" ht="78" customHeight="1" spans="1:4">
      <c r="A5" s="3">
        <v>3</v>
      </c>
      <c r="B5" s="3" t="s">
        <v>8</v>
      </c>
      <c r="C5" s="47" t="s">
        <v>9</v>
      </c>
      <c r="D5" s="39">
        <v>0.08</v>
      </c>
    </row>
    <row r="6" s="19" customFormat="1" ht="55" customHeight="1" spans="1:4">
      <c r="A6" s="3">
        <v>4</v>
      </c>
      <c r="B6" s="3" t="s">
        <v>10</v>
      </c>
      <c r="C6" s="9" t="s">
        <v>11</v>
      </c>
      <c r="D6" s="39">
        <v>0.07</v>
      </c>
    </row>
    <row r="7" s="19" customFormat="1" customHeight="1" spans="1:4">
      <c r="A7" s="3">
        <v>5</v>
      </c>
      <c r="B7" s="3" t="s">
        <v>12</v>
      </c>
      <c r="C7" s="3" t="s">
        <v>13</v>
      </c>
      <c r="D7" s="39">
        <v>0.03</v>
      </c>
    </row>
    <row r="8" s="19" customFormat="1" customHeight="1" spans="1:4">
      <c r="A8" s="3">
        <v>6</v>
      </c>
      <c r="B8" s="3" t="s">
        <v>14</v>
      </c>
      <c r="C8" s="3" t="s">
        <v>13</v>
      </c>
      <c r="D8" s="39">
        <v>0.02</v>
      </c>
    </row>
    <row r="9" s="19" customFormat="1" customHeight="1" spans="1:4">
      <c r="A9" s="3">
        <v>7</v>
      </c>
      <c r="B9" s="3" t="s">
        <v>15</v>
      </c>
      <c r="C9" s="3" t="s">
        <v>16</v>
      </c>
      <c r="D9" s="39">
        <v>0.25</v>
      </c>
    </row>
    <row r="10" s="19" customFormat="1" customHeight="1" spans="1:4">
      <c r="A10" s="3">
        <v>8</v>
      </c>
      <c r="B10" s="3" t="s">
        <v>17</v>
      </c>
      <c r="C10" s="3" t="s">
        <v>18</v>
      </c>
      <c r="D10" s="39">
        <v>0.1</v>
      </c>
    </row>
    <row r="11" s="19" customFormat="1" customHeight="1" spans="1:4">
      <c r="A11" s="3">
        <v>9</v>
      </c>
      <c r="B11" s="3" t="s">
        <v>19</v>
      </c>
      <c r="C11" s="3" t="s">
        <v>20</v>
      </c>
      <c r="D11" s="39">
        <v>0.05</v>
      </c>
    </row>
    <row r="12" s="19" customFormat="1" customHeight="1" spans="1:4">
      <c r="A12" s="3">
        <v>10</v>
      </c>
      <c r="B12" s="3" t="s">
        <v>21</v>
      </c>
      <c r="C12" s="92" t="s">
        <v>22</v>
      </c>
      <c r="D12" s="39">
        <v>0.05</v>
      </c>
    </row>
    <row r="13" s="19" customFormat="1" customHeight="1" spans="1:4">
      <c r="A13" s="3">
        <v>11</v>
      </c>
      <c r="B13" s="3" t="s">
        <v>23</v>
      </c>
      <c r="C13" s="3" t="s">
        <v>24</v>
      </c>
      <c r="D13" s="43">
        <v>17</v>
      </c>
    </row>
    <row r="14" s="19" customFormat="1" customHeight="1" spans="1:4">
      <c r="A14" s="3">
        <v>12</v>
      </c>
      <c r="B14" s="3" t="s">
        <v>25</v>
      </c>
      <c r="C14" s="3" t="s">
        <v>26</v>
      </c>
      <c r="D14" s="39">
        <v>0.3</v>
      </c>
    </row>
    <row r="15" ht="62" customHeight="1" spans="1:4">
      <c r="A15" s="3">
        <v>13</v>
      </c>
      <c r="B15" s="3" t="s">
        <v>27</v>
      </c>
      <c r="C15" s="47" t="s">
        <v>28</v>
      </c>
      <c r="D15" s="39">
        <v>0.03</v>
      </c>
    </row>
    <row r="16" ht="41" customHeight="1" spans="1:4">
      <c r="A16" s="3">
        <v>14</v>
      </c>
      <c r="B16" s="3" t="s">
        <v>29</v>
      </c>
      <c r="C16" s="9" t="s">
        <v>30</v>
      </c>
      <c r="D16" s="86">
        <v>0.0008</v>
      </c>
    </row>
    <row r="17" customHeight="1" spans="1:4">
      <c r="A17" s="3">
        <v>16</v>
      </c>
      <c r="B17" s="3" t="s">
        <v>31</v>
      </c>
      <c r="C17" s="3" t="s">
        <v>32</v>
      </c>
      <c r="D17" s="93">
        <v>6.4e-5</v>
      </c>
    </row>
    <row r="18" customHeight="1" spans="1:4">
      <c r="A18" s="3">
        <v>17</v>
      </c>
      <c r="B18" s="3" t="s">
        <v>33</v>
      </c>
      <c r="C18" s="3" t="s">
        <v>34</v>
      </c>
      <c r="D18" s="94">
        <v>5e-5</v>
      </c>
    </row>
  </sheetData>
  <mergeCells count="1">
    <mergeCell ref="A1:D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FF00"/>
  </sheetPr>
  <dimension ref="A1:L23"/>
  <sheetViews>
    <sheetView zoomScale="70" zoomScaleNormal="70" workbookViewId="0">
      <selection activeCell="F12" sqref="F12"/>
    </sheetView>
  </sheetViews>
  <sheetFormatPr defaultColWidth="8.88888888888889" defaultRowHeight="28" customHeight="1"/>
  <cols>
    <col min="1" max="1" width="14.7777777777778" customWidth="1"/>
    <col min="3" max="3" width="23.3333333333333" customWidth="1"/>
    <col min="4" max="4" width="50.8425925925926" customWidth="1"/>
    <col min="5" max="5" width="13.3333333333333" customWidth="1"/>
    <col min="6" max="6" width="12.287037037037" customWidth="1"/>
    <col min="7" max="7" width="15.1574074074074" customWidth="1"/>
    <col min="8" max="8" width="15.4166666666667" customWidth="1"/>
    <col min="9" max="9" width="16.0740740740741" customWidth="1"/>
    <col min="10" max="10" width="17" customWidth="1"/>
    <col min="11" max="11" width="16.7222222222222" customWidth="1"/>
    <col min="12" max="12" width="17.1203703703704" customWidth="1"/>
  </cols>
  <sheetData>
    <row r="1" s="21" customFormat="1" customHeight="1" spans="1:12">
      <c r="A1" s="31" t="s">
        <v>208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="21" customFormat="1" customHeight="1" spans="1:12">
      <c r="A2" s="65" t="s">
        <v>209</v>
      </c>
      <c r="B2" s="65" t="s">
        <v>1</v>
      </c>
      <c r="C2" s="65" t="s">
        <v>129</v>
      </c>
      <c r="D2" s="65" t="s">
        <v>210</v>
      </c>
      <c r="E2" s="65" t="s">
        <v>211</v>
      </c>
      <c r="F2" s="66" t="s">
        <v>212</v>
      </c>
      <c r="G2" s="2" t="s">
        <v>95</v>
      </c>
      <c r="H2" s="2" t="s">
        <v>96</v>
      </c>
      <c r="I2" s="2" t="s">
        <v>97</v>
      </c>
      <c r="J2" s="2" t="s">
        <v>213</v>
      </c>
      <c r="K2" s="2" t="s">
        <v>214</v>
      </c>
      <c r="L2" s="2" t="s">
        <v>215</v>
      </c>
    </row>
    <row r="3" s="21" customFormat="1" customHeight="1" spans="1:12">
      <c r="A3" s="67"/>
      <c r="B3" s="67"/>
      <c r="C3" s="67"/>
      <c r="D3" s="67"/>
      <c r="E3" s="67"/>
      <c r="F3" s="67"/>
      <c r="G3" s="68" t="s">
        <v>216</v>
      </c>
      <c r="H3" s="39">
        <v>1</v>
      </c>
      <c r="I3" s="39">
        <v>0.7</v>
      </c>
      <c r="J3" s="39">
        <v>0.8</v>
      </c>
      <c r="K3" s="39">
        <v>1</v>
      </c>
      <c r="L3" s="39">
        <v>1</v>
      </c>
    </row>
    <row r="4" s="21" customFormat="1" customHeight="1" spans="1:12">
      <c r="A4" s="3" t="s">
        <v>217</v>
      </c>
      <c r="B4" s="3">
        <v>1</v>
      </c>
      <c r="C4" s="3" t="s">
        <v>218</v>
      </c>
      <c r="D4" s="3" t="s">
        <v>219</v>
      </c>
      <c r="E4" s="5">
        <v>1</v>
      </c>
      <c r="F4" s="5">
        <v>2</v>
      </c>
      <c r="G4" s="69" t="s">
        <v>220</v>
      </c>
      <c r="H4" s="4">
        <f>E4*F4*H3</f>
        <v>2</v>
      </c>
      <c r="I4" s="4">
        <f>E4*F4*I3</f>
        <v>1.4</v>
      </c>
      <c r="J4" s="4">
        <f>E4*F4*J3</f>
        <v>1.6</v>
      </c>
      <c r="K4" s="4">
        <f>E4*F4*K3</f>
        <v>2</v>
      </c>
      <c r="L4" s="4">
        <f>E4*F4*L3</f>
        <v>2</v>
      </c>
    </row>
    <row r="5" s="21" customFormat="1" ht="61" customHeight="1" spans="1:12">
      <c r="A5" s="3"/>
      <c r="B5" s="3">
        <v>2</v>
      </c>
      <c r="C5" s="9" t="s">
        <v>221</v>
      </c>
      <c r="D5" s="3" t="s">
        <v>222</v>
      </c>
      <c r="E5" s="5">
        <v>1</v>
      </c>
      <c r="F5" s="5">
        <v>2</v>
      </c>
      <c r="G5" s="70"/>
      <c r="H5" s="4">
        <f>E5*F5*H3</f>
        <v>2</v>
      </c>
      <c r="I5" s="4">
        <f>E5*F5*I3</f>
        <v>1.4</v>
      </c>
      <c r="J5" s="4">
        <f>E5*F5*J3</f>
        <v>1.6</v>
      </c>
      <c r="K5" s="4">
        <f>E5*F5*K3</f>
        <v>2</v>
      </c>
      <c r="L5" s="4">
        <f>E5*F5*L3</f>
        <v>2</v>
      </c>
    </row>
    <row r="6" s="21" customFormat="1" customHeight="1" spans="1:12">
      <c r="A6" s="3"/>
      <c r="B6" s="3">
        <v>3</v>
      </c>
      <c r="C6" s="3" t="s">
        <v>223</v>
      </c>
      <c r="D6" s="3" t="s">
        <v>224</v>
      </c>
      <c r="E6" s="5">
        <v>1</v>
      </c>
      <c r="F6" s="5">
        <v>2</v>
      </c>
      <c r="G6" s="70"/>
      <c r="H6" s="4">
        <f>E6*F6*H3</f>
        <v>2</v>
      </c>
      <c r="I6" s="4">
        <f>E6*F6*I3</f>
        <v>1.4</v>
      </c>
      <c r="J6" s="4">
        <f>E6*F6*J3</f>
        <v>1.6</v>
      </c>
      <c r="K6" s="4">
        <f>E6*F6*K3</f>
        <v>2</v>
      </c>
      <c r="L6" s="4">
        <f>E6*F6*L3</f>
        <v>2</v>
      </c>
    </row>
    <row r="7" s="21" customFormat="1" customHeight="1" spans="1:12">
      <c r="A7" s="3"/>
      <c r="B7" s="3">
        <v>4</v>
      </c>
      <c r="C7" s="3" t="s">
        <v>225</v>
      </c>
      <c r="D7" s="3" t="s">
        <v>226</v>
      </c>
      <c r="E7" s="5">
        <v>1</v>
      </c>
      <c r="F7" s="5">
        <v>2</v>
      </c>
      <c r="G7" s="70"/>
      <c r="H7" s="4">
        <f>E7*F7*H3</f>
        <v>2</v>
      </c>
      <c r="I7" s="4">
        <f>E7*F7*I3</f>
        <v>1.4</v>
      </c>
      <c r="J7" s="4">
        <f>E7*F7*J3</f>
        <v>1.6</v>
      </c>
      <c r="K7" s="4">
        <f>E7*F7*K3</f>
        <v>2</v>
      </c>
      <c r="L7" s="4">
        <f>E7*F7*L3</f>
        <v>2</v>
      </c>
    </row>
    <row r="8" s="21" customFormat="1" customHeight="1" spans="1:12">
      <c r="A8" s="3" t="s">
        <v>227</v>
      </c>
      <c r="B8" s="3">
        <v>5</v>
      </c>
      <c r="C8" s="3" t="s">
        <v>228</v>
      </c>
      <c r="D8" s="3" t="s">
        <v>229</v>
      </c>
      <c r="E8" s="5">
        <v>1</v>
      </c>
      <c r="F8" s="5">
        <v>2</v>
      </c>
      <c r="G8" s="70"/>
      <c r="H8" s="4">
        <f>E8*F8*H3</f>
        <v>2</v>
      </c>
      <c r="I8" s="4">
        <f>E8*F8*I3</f>
        <v>1.4</v>
      </c>
      <c r="J8" s="4">
        <f>E8*F8*J3</f>
        <v>1.6</v>
      </c>
      <c r="K8" s="4">
        <f>E8*F8*K3</f>
        <v>2</v>
      </c>
      <c r="L8" s="4">
        <f>E8*F8*L3</f>
        <v>2</v>
      </c>
    </row>
    <row r="9" s="21" customFormat="1" customHeight="1" spans="1:12">
      <c r="A9" s="3"/>
      <c r="B9" s="3">
        <v>6</v>
      </c>
      <c r="C9" s="3" t="s">
        <v>230</v>
      </c>
      <c r="D9" s="3" t="s">
        <v>231</v>
      </c>
      <c r="E9" s="5">
        <v>1</v>
      </c>
      <c r="F9" s="5">
        <v>2</v>
      </c>
      <c r="G9" s="70"/>
      <c r="H9" s="4">
        <f>E9*F9*H3</f>
        <v>2</v>
      </c>
      <c r="I9" s="4">
        <f>E9*F9*I3</f>
        <v>1.4</v>
      </c>
      <c r="J9" s="4">
        <f>E9*F9*J3</f>
        <v>1.6</v>
      </c>
      <c r="K9" s="4">
        <f>E9*F9*K3</f>
        <v>2</v>
      </c>
      <c r="L9" s="4">
        <f>E9*F9*L3</f>
        <v>2</v>
      </c>
    </row>
    <row r="10" s="21" customFormat="1" customHeight="1" spans="1:12">
      <c r="A10" s="3"/>
      <c r="B10" s="3">
        <v>7</v>
      </c>
      <c r="C10" s="3" t="s">
        <v>232</v>
      </c>
      <c r="D10" s="3" t="s">
        <v>233</v>
      </c>
      <c r="E10" s="5">
        <v>1</v>
      </c>
      <c r="F10" s="5">
        <v>2</v>
      </c>
      <c r="G10" s="70"/>
      <c r="H10" s="4">
        <f>E10*F10*H3</f>
        <v>2</v>
      </c>
      <c r="I10" s="4">
        <f>E10*F10*I3</f>
        <v>1.4</v>
      </c>
      <c r="J10" s="4">
        <f>E10*F10*J3</f>
        <v>1.6</v>
      </c>
      <c r="K10" s="4">
        <f>E10*F10*K3</f>
        <v>2</v>
      </c>
      <c r="L10" s="4">
        <f>E10*F10*L3</f>
        <v>2</v>
      </c>
    </row>
    <row r="11" s="21" customFormat="1" customHeight="1" spans="1:12">
      <c r="A11" s="3" t="s">
        <v>234</v>
      </c>
      <c r="B11" s="3">
        <v>8</v>
      </c>
      <c r="C11" s="3" t="s">
        <v>235</v>
      </c>
      <c r="D11" s="3" t="s">
        <v>236</v>
      </c>
      <c r="E11" s="5">
        <v>1</v>
      </c>
      <c r="F11" s="5">
        <v>2</v>
      </c>
      <c r="G11" s="70"/>
      <c r="H11" s="4">
        <f>E11*F11*H3</f>
        <v>2</v>
      </c>
      <c r="I11" s="4">
        <f>E11*F11*I3</f>
        <v>1.4</v>
      </c>
      <c r="J11" s="4">
        <f>E11*F11*J3</f>
        <v>1.6</v>
      </c>
      <c r="K11" s="4">
        <f>E11*F11*K3</f>
        <v>2</v>
      </c>
      <c r="L11" s="4">
        <f>E11*F11*L3</f>
        <v>2</v>
      </c>
    </row>
    <row r="12" s="21" customFormat="1" customHeight="1" spans="1:12">
      <c r="A12" s="3" t="s">
        <v>237</v>
      </c>
      <c r="B12" s="3">
        <v>9</v>
      </c>
      <c r="C12" s="3" t="s">
        <v>238</v>
      </c>
      <c r="D12" s="3" t="s">
        <v>239</v>
      </c>
      <c r="E12" s="5">
        <v>1</v>
      </c>
      <c r="F12" s="5">
        <v>2</v>
      </c>
      <c r="G12" s="70"/>
      <c r="H12" s="4">
        <f>E12*F12*H3</f>
        <v>2</v>
      </c>
      <c r="I12" s="4">
        <f>E12*F12*I3</f>
        <v>1.4</v>
      </c>
      <c r="J12" s="4">
        <f>E12*F12*J3</f>
        <v>1.6</v>
      </c>
      <c r="K12" s="4">
        <f>E12*F12*K3</f>
        <v>2</v>
      </c>
      <c r="L12" s="4">
        <f>E12*F12*L3</f>
        <v>2</v>
      </c>
    </row>
    <row r="13" s="21" customFormat="1" customHeight="1" spans="1:12">
      <c r="A13" s="3"/>
      <c r="B13" s="3">
        <v>10</v>
      </c>
      <c r="C13" s="3" t="s">
        <v>240</v>
      </c>
      <c r="D13" s="3" t="s">
        <v>241</v>
      </c>
      <c r="E13" s="5">
        <v>1</v>
      </c>
      <c r="F13" s="5">
        <v>2</v>
      </c>
      <c r="G13" s="70"/>
      <c r="H13" s="4">
        <f>E13*F13*H3</f>
        <v>2</v>
      </c>
      <c r="I13" s="4">
        <f>E13*F13*I3</f>
        <v>1.4</v>
      </c>
      <c r="J13" s="4">
        <f>E13*F13*J3</f>
        <v>1.6</v>
      </c>
      <c r="K13" s="4">
        <f>E13*F13*K3</f>
        <v>2</v>
      </c>
      <c r="L13" s="4">
        <f>E13*F13*L3</f>
        <v>2</v>
      </c>
    </row>
    <row r="14" s="21" customFormat="1" customHeight="1" spans="1:12">
      <c r="A14" s="3" t="s">
        <v>242</v>
      </c>
      <c r="B14" s="3">
        <v>11</v>
      </c>
      <c r="C14" s="3" t="s">
        <v>243</v>
      </c>
      <c r="D14" s="3" t="s">
        <v>244</v>
      </c>
      <c r="E14" s="5">
        <v>1</v>
      </c>
      <c r="F14" s="5">
        <v>2</v>
      </c>
      <c r="G14" s="70"/>
      <c r="H14" s="4">
        <f>E14*F14*H3</f>
        <v>2</v>
      </c>
      <c r="I14" s="4">
        <f>E14*F14*I3</f>
        <v>1.4</v>
      </c>
      <c r="J14" s="4">
        <f>E14*F14*J3</f>
        <v>1.6</v>
      </c>
      <c r="K14" s="4">
        <f>E14*F14*K3</f>
        <v>2</v>
      </c>
      <c r="L14" s="4">
        <f>E14*F14*L3</f>
        <v>2</v>
      </c>
    </row>
    <row r="15" s="21" customFormat="1" customHeight="1" spans="1:12">
      <c r="A15" s="3" t="s">
        <v>245</v>
      </c>
      <c r="B15" s="3">
        <v>12</v>
      </c>
      <c r="C15" s="3" t="s">
        <v>246</v>
      </c>
      <c r="D15" s="3" t="s">
        <v>247</v>
      </c>
      <c r="E15" s="5">
        <v>1</v>
      </c>
      <c r="F15" s="5">
        <v>2</v>
      </c>
      <c r="G15" s="70"/>
      <c r="H15" s="4">
        <f>E15*F15*H3</f>
        <v>2</v>
      </c>
      <c r="I15" s="4">
        <f>E15*F15*I3</f>
        <v>1.4</v>
      </c>
      <c r="J15" s="4">
        <f>E15*F15*J3</f>
        <v>1.6</v>
      </c>
      <c r="K15" s="4">
        <f>E15*F15*K3</f>
        <v>2</v>
      </c>
      <c r="L15" s="4">
        <f>E15*F15*L3</f>
        <v>2</v>
      </c>
    </row>
    <row r="16" s="21" customFormat="1" customHeight="1" spans="1:12">
      <c r="A16" s="3" t="s">
        <v>248</v>
      </c>
      <c r="B16" s="3">
        <v>13</v>
      </c>
      <c r="C16" s="3" t="s">
        <v>249</v>
      </c>
      <c r="D16" s="3" t="s">
        <v>250</v>
      </c>
      <c r="E16" s="5">
        <v>1</v>
      </c>
      <c r="F16" s="5">
        <v>2</v>
      </c>
      <c r="G16" s="70"/>
      <c r="H16" s="4">
        <f>E16*F16*H3</f>
        <v>2</v>
      </c>
      <c r="I16" s="4">
        <f>E16*F16*I3</f>
        <v>1.4</v>
      </c>
      <c r="J16" s="4">
        <f>E16*F16*J3</f>
        <v>1.6</v>
      </c>
      <c r="K16" s="4">
        <f>E16*F16*K3</f>
        <v>2</v>
      </c>
      <c r="L16" s="4">
        <f>E16*F16*L3</f>
        <v>2</v>
      </c>
    </row>
    <row r="17" s="21" customFormat="1" customHeight="1" spans="1:12">
      <c r="A17" s="3"/>
      <c r="B17" s="3">
        <v>14</v>
      </c>
      <c r="C17" s="3" t="s">
        <v>251</v>
      </c>
      <c r="D17" s="3" t="s">
        <v>252</v>
      </c>
      <c r="E17" s="5">
        <v>1</v>
      </c>
      <c r="F17" s="5">
        <v>2</v>
      </c>
      <c r="G17" s="70"/>
      <c r="H17" s="4">
        <f>E17*F17*H3</f>
        <v>2</v>
      </c>
      <c r="I17" s="4">
        <f>E17*F17*I3</f>
        <v>1.4</v>
      </c>
      <c r="J17" s="4">
        <f>E17*F17*J3</f>
        <v>1.6</v>
      </c>
      <c r="K17" s="4">
        <f>E17*F17*K3</f>
        <v>2</v>
      </c>
      <c r="L17" s="4">
        <f>E17*F17*L3</f>
        <v>2</v>
      </c>
    </row>
    <row r="18" s="21" customFormat="1" customHeight="1" spans="1:12">
      <c r="A18" s="3"/>
      <c r="B18" s="3">
        <v>15</v>
      </c>
      <c r="C18" s="3" t="s">
        <v>253</v>
      </c>
      <c r="D18" s="3" t="s">
        <v>254</v>
      </c>
      <c r="E18" s="5">
        <v>1</v>
      </c>
      <c r="F18" s="5">
        <v>2</v>
      </c>
      <c r="G18" s="70"/>
      <c r="H18" s="4">
        <f>E18*F18*H3</f>
        <v>2</v>
      </c>
      <c r="I18" s="4">
        <f>E18*F18*I3</f>
        <v>1.4</v>
      </c>
      <c r="J18" s="4">
        <f>E18*F18*J3</f>
        <v>1.6</v>
      </c>
      <c r="K18" s="4">
        <f>E18*F18*K3</f>
        <v>2</v>
      </c>
      <c r="L18" s="4">
        <f>E18*F18*L3</f>
        <v>2</v>
      </c>
    </row>
    <row r="19" s="21" customFormat="1" customHeight="1" spans="1:12">
      <c r="A19" s="3" t="s">
        <v>255</v>
      </c>
      <c r="B19" s="3">
        <v>16</v>
      </c>
      <c r="C19" s="3" t="s">
        <v>256</v>
      </c>
      <c r="D19" s="3" t="s">
        <v>257</v>
      </c>
      <c r="E19" s="5">
        <v>1</v>
      </c>
      <c r="F19" s="5">
        <v>2</v>
      </c>
      <c r="G19" s="70"/>
      <c r="H19" s="4">
        <f>E19*F19*H3</f>
        <v>2</v>
      </c>
      <c r="I19" s="4">
        <f>E19*F19*I3</f>
        <v>1.4</v>
      </c>
      <c r="J19" s="4">
        <f>E19*F19*J3</f>
        <v>1.6</v>
      </c>
      <c r="K19" s="4">
        <f>E19*F19*K3</f>
        <v>2</v>
      </c>
      <c r="L19" s="4">
        <f>E19*F19*L3</f>
        <v>2</v>
      </c>
    </row>
    <row r="20" s="21" customFormat="1" customHeight="1" spans="1:12">
      <c r="A20" s="3"/>
      <c r="B20" s="3">
        <v>17</v>
      </c>
      <c r="C20" s="3" t="s">
        <v>258</v>
      </c>
      <c r="D20" s="3" t="s">
        <v>259</v>
      </c>
      <c r="E20" s="5">
        <v>1</v>
      </c>
      <c r="F20" s="5">
        <v>2</v>
      </c>
      <c r="G20" s="70"/>
      <c r="H20" s="4">
        <f>E20*F20*H3</f>
        <v>2</v>
      </c>
      <c r="I20" s="4">
        <f>E20*F20*I3</f>
        <v>1.4</v>
      </c>
      <c r="J20" s="4">
        <f>E20*F20*J3</f>
        <v>1.6</v>
      </c>
      <c r="K20" s="4">
        <f>E20*F20*K3</f>
        <v>2</v>
      </c>
      <c r="L20" s="4">
        <f>E20*F20*L3</f>
        <v>2</v>
      </c>
    </row>
    <row r="21" s="21" customFormat="1" customHeight="1" spans="1:12">
      <c r="A21" s="3"/>
      <c r="B21" s="3">
        <v>18</v>
      </c>
      <c r="C21" s="3" t="s">
        <v>260</v>
      </c>
      <c r="D21" s="3" t="s">
        <v>261</v>
      </c>
      <c r="E21" s="5">
        <v>1</v>
      </c>
      <c r="F21" s="5">
        <v>2</v>
      </c>
      <c r="G21" s="70"/>
      <c r="H21" s="4">
        <f>E21*F21*H3</f>
        <v>2</v>
      </c>
      <c r="I21" s="4">
        <f>E21*F21*I3</f>
        <v>1.4</v>
      </c>
      <c r="J21" s="4">
        <f>E21*F21*J3</f>
        <v>1.6</v>
      </c>
      <c r="K21" s="4">
        <f>E21*F21*K3</f>
        <v>2</v>
      </c>
      <c r="L21" s="4">
        <f>E21*F21*L3</f>
        <v>2</v>
      </c>
    </row>
    <row r="22" s="21" customFormat="1" customHeight="1" spans="1:12">
      <c r="A22" s="3" t="s">
        <v>262</v>
      </c>
      <c r="B22" s="3">
        <v>19</v>
      </c>
      <c r="C22" s="3" t="s">
        <v>263</v>
      </c>
      <c r="D22" s="3" t="s">
        <v>264</v>
      </c>
      <c r="E22" s="5">
        <v>1</v>
      </c>
      <c r="F22" s="5">
        <v>2</v>
      </c>
      <c r="G22" s="70"/>
      <c r="H22" s="4">
        <f>E22*F22*H3</f>
        <v>2</v>
      </c>
      <c r="I22" s="4">
        <f>E22*F22*I3</f>
        <v>1.4</v>
      </c>
      <c r="J22" s="4">
        <f>E22*F22*J3</f>
        <v>1.6</v>
      </c>
      <c r="K22" s="4">
        <f>E22*F22*K3</f>
        <v>2</v>
      </c>
      <c r="L22" s="4">
        <f>E22*F22*L3</f>
        <v>2</v>
      </c>
    </row>
    <row r="23" s="21" customFormat="1" customHeight="1" spans="1:12">
      <c r="A23" s="3"/>
      <c r="B23" s="3">
        <v>20</v>
      </c>
      <c r="C23" s="3" t="s">
        <v>265</v>
      </c>
      <c r="D23" s="3" t="s">
        <v>266</v>
      </c>
      <c r="E23" s="5">
        <v>1</v>
      </c>
      <c r="F23" s="5">
        <v>2</v>
      </c>
      <c r="G23" s="71"/>
      <c r="H23" s="4">
        <f>E23*F23*H3</f>
        <v>2</v>
      </c>
      <c r="I23" s="4">
        <f>E23*F23*I3</f>
        <v>1.4</v>
      </c>
      <c r="J23" s="4">
        <f>E23*F23*J3</f>
        <v>1.6</v>
      </c>
      <c r="K23" s="4">
        <f>E23*F23*K3</f>
        <v>2</v>
      </c>
      <c r="L23" s="4">
        <f>E23*F23*L3</f>
        <v>2</v>
      </c>
    </row>
  </sheetData>
  <mergeCells count="14">
    <mergeCell ref="A1:L1"/>
    <mergeCell ref="A2:A3"/>
    <mergeCell ref="A4:A7"/>
    <mergeCell ref="A8:A10"/>
    <mergeCell ref="A12:A13"/>
    <mergeCell ref="A16:A18"/>
    <mergeCell ref="A19:A21"/>
    <mergeCell ref="A22:A23"/>
    <mergeCell ref="B2:B3"/>
    <mergeCell ref="C2:C3"/>
    <mergeCell ref="D2:D3"/>
    <mergeCell ref="E2:E3"/>
    <mergeCell ref="F2:F3"/>
    <mergeCell ref="G4:G2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4" tint="-0.25"/>
  </sheetPr>
  <dimension ref="A1:I4"/>
  <sheetViews>
    <sheetView zoomScale="115" zoomScaleNormal="115" workbookViewId="0">
      <selection activeCell="H8" sqref="H8"/>
    </sheetView>
  </sheetViews>
  <sheetFormatPr defaultColWidth="8.88888888888889" defaultRowHeight="28" customHeight="1" outlineLevelRow="3"/>
  <cols>
    <col min="2" max="2" width="12.2222222222222" customWidth="1"/>
    <col min="3" max="3" width="23.8888888888889" customWidth="1"/>
    <col min="4" max="4" width="14.2222222222222" customWidth="1"/>
    <col min="5" max="5" width="17.5555555555556" customWidth="1"/>
    <col min="6" max="6" width="13.2314814814815" customWidth="1"/>
    <col min="7" max="7" width="14.1944444444444" customWidth="1"/>
    <col min="8" max="8" width="9.88888888888889"/>
    <col min="9" max="9" width="17.1111111111111"/>
  </cols>
  <sheetData>
    <row r="1" s="21" customFormat="1" customHeight="1" spans="1:9">
      <c r="A1" s="1" t="s">
        <v>267</v>
      </c>
      <c r="B1" s="1"/>
      <c r="C1" s="1"/>
      <c r="D1" s="1"/>
      <c r="E1" s="1"/>
      <c r="F1" s="1"/>
      <c r="G1" s="1"/>
      <c r="H1" s="1"/>
      <c r="I1" s="1"/>
    </row>
    <row r="2" s="21" customFormat="1" customHeight="1" spans="1:9">
      <c r="A2" s="62" t="s">
        <v>1</v>
      </c>
      <c r="B2" s="62" t="s">
        <v>167</v>
      </c>
      <c r="C2" s="62" t="s">
        <v>268</v>
      </c>
      <c r="D2" s="62" t="s">
        <v>269</v>
      </c>
      <c r="E2" s="62" t="s">
        <v>270</v>
      </c>
      <c r="F2" s="63" t="s">
        <v>271</v>
      </c>
      <c r="G2" s="63"/>
      <c r="H2" s="63"/>
      <c r="I2" s="64"/>
    </row>
    <row r="3" s="21" customFormat="1" ht="83" customHeight="1" spans="1:9">
      <c r="A3" s="3"/>
      <c r="B3" s="3"/>
      <c r="C3" s="9" t="s">
        <v>272</v>
      </c>
      <c r="D3" s="9" t="s">
        <v>273</v>
      </c>
      <c r="E3" s="9" t="s">
        <v>274</v>
      </c>
      <c r="F3" s="3">
        <v>2028</v>
      </c>
      <c r="G3" s="3">
        <v>2029</v>
      </c>
      <c r="H3" s="3" t="s">
        <v>52</v>
      </c>
      <c r="I3" s="3">
        <v>2045</v>
      </c>
    </row>
    <row r="4" s="21" customFormat="1" ht="61" customHeight="1" spans="1:9">
      <c r="A4" s="3">
        <v>1</v>
      </c>
      <c r="B4" s="3" t="s">
        <v>275</v>
      </c>
      <c r="C4" s="48">
        <f>E.4建设投资税后金额表!E4+E.4建设投资税后金额表!E9+E.4建设投资税后金额表!E13+E.4建设投资税后金额表!E19+c借款还本付息计划表!D24+c借款还本付息计划表!E24+c借款还本付息计划表!F24</f>
        <v>1087.44526034733</v>
      </c>
      <c r="D4" s="7">
        <f>1/A财务假设!D13*100%</f>
        <v>0.0588235294117647</v>
      </c>
      <c r="E4" s="48">
        <f>C4*(1-A财务假设!D12)*D4</f>
        <v>60.7689998429393</v>
      </c>
      <c r="F4" s="48">
        <f>C4-E4*(F3-2027)</f>
        <v>1026.6762605044</v>
      </c>
      <c r="G4" s="48">
        <f>C4-E4*(G3-2027)</f>
        <v>965.907260661456</v>
      </c>
      <c r="H4" s="4" t="e">
        <f>C4-E4*(H3-2027)</f>
        <v>#VALUE!</v>
      </c>
      <c r="I4" s="4">
        <f>C4-E4*(I3-2027)</f>
        <v>-6.39673682557236</v>
      </c>
    </row>
  </sheetData>
  <mergeCells count="2">
    <mergeCell ref="A1:I1"/>
    <mergeCell ref="F2:I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4" tint="-0.25"/>
  </sheetPr>
  <dimension ref="A1:I11"/>
  <sheetViews>
    <sheetView zoomScale="85" zoomScaleNormal="85" workbookViewId="0">
      <selection activeCell="F7" sqref="F7"/>
    </sheetView>
  </sheetViews>
  <sheetFormatPr defaultColWidth="8.88888888888889" defaultRowHeight="28" customHeight="1"/>
  <cols>
    <col min="1" max="1" width="8.88888888888889" style="21"/>
    <col min="2" max="2" width="28.5648148148148" style="21" customWidth="1"/>
    <col min="3" max="3" width="33.8518518518519" style="21" customWidth="1"/>
    <col min="4" max="4" width="11.8888888888889" style="21" customWidth="1"/>
    <col min="5" max="5" width="15.8055555555556" style="21" customWidth="1"/>
    <col min="6" max="7" width="13.1944444444444" style="21" customWidth="1"/>
    <col min="8" max="8" width="13.2037037037037" style="21" customWidth="1"/>
    <col min="9" max="9" width="13.0648148148148" style="21" customWidth="1"/>
    <col min="10" max="16384" width="8.88888888888889" style="21"/>
  </cols>
  <sheetData>
    <row r="1" customHeight="1" spans="1:9">
      <c r="A1" s="31" t="s">
        <v>276</v>
      </c>
      <c r="B1" s="31"/>
      <c r="C1" s="31"/>
      <c r="D1" s="31"/>
      <c r="E1" s="31"/>
      <c r="F1" s="31"/>
      <c r="G1" s="31"/>
      <c r="H1" s="31"/>
      <c r="I1" s="31"/>
    </row>
    <row r="2" customHeight="1" spans="1:9">
      <c r="A2" s="2" t="s">
        <v>1</v>
      </c>
      <c r="B2" s="2" t="s">
        <v>167</v>
      </c>
      <c r="C2" s="2" t="s">
        <v>268</v>
      </c>
      <c r="D2" s="2" t="s">
        <v>269</v>
      </c>
      <c r="E2" s="2" t="s">
        <v>270</v>
      </c>
      <c r="F2" s="2" t="s">
        <v>277</v>
      </c>
      <c r="G2" s="2"/>
      <c r="H2" s="2"/>
      <c r="I2" s="2"/>
    </row>
    <row r="3" ht="66" customHeight="1" spans="1:9">
      <c r="A3" s="3"/>
      <c r="B3" s="3"/>
      <c r="C3" s="9" t="s">
        <v>278</v>
      </c>
      <c r="D3" s="53" t="s">
        <v>279</v>
      </c>
      <c r="E3" s="9" t="s">
        <v>280</v>
      </c>
      <c r="F3" s="3">
        <v>2028</v>
      </c>
      <c r="G3" s="3">
        <v>2029</v>
      </c>
      <c r="H3" s="3" t="s">
        <v>52</v>
      </c>
      <c r="I3" s="3">
        <v>2045</v>
      </c>
    </row>
    <row r="4" customHeight="1" spans="1:9">
      <c r="A4" s="3">
        <v>1</v>
      </c>
      <c r="B4" s="3" t="s">
        <v>281</v>
      </c>
      <c r="C4" s="4">
        <f>SUM(C5:C7)</f>
        <v>16.6304892302555</v>
      </c>
      <c r="D4" s="60">
        <f>1/A财务假设!D13*100%</f>
        <v>0.0588235294117647</v>
      </c>
      <c r="E4" s="4">
        <f>SUM(E5:E7)</f>
        <v>0.978264072367969</v>
      </c>
      <c r="F4" s="48">
        <f>SUM(F5:F7)</f>
        <v>15.6522251578875</v>
      </c>
      <c r="G4" s="48">
        <f>SUM(G5:G7)</f>
        <v>14.6739610855195</v>
      </c>
      <c r="H4" s="48" t="e">
        <f>SUM(H5:H7)</f>
        <v>#VALUE!</v>
      </c>
      <c r="I4" s="48">
        <f>SUM(I5:I7)</f>
        <v>-0.978264072367967</v>
      </c>
    </row>
    <row r="5" customHeight="1" spans="1:9">
      <c r="A5" s="3">
        <v>1.1</v>
      </c>
      <c r="B5" s="3" t="s">
        <v>282</v>
      </c>
      <c r="C5" s="5">
        <v>0</v>
      </c>
      <c r="D5" s="60">
        <f>1/A财务假设!D13*100%</f>
        <v>0.0588235294117647</v>
      </c>
      <c r="E5" s="4">
        <f>C5*D5</f>
        <v>0</v>
      </c>
      <c r="F5" s="4">
        <f>C5-E5*(F3-2027)</f>
        <v>0</v>
      </c>
      <c r="G5" s="4">
        <f>C5-E5*(G3-2027)</f>
        <v>0</v>
      </c>
      <c r="H5" s="48" t="e">
        <f>C5-E5*(H3-2027)</f>
        <v>#VALUE!</v>
      </c>
      <c r="I5" s="4">
        <f>C5-E5*(I3-2027)</f>
        <v>0</v>
      </c>
    </row>
    <row r="6" customHeight="1" spans="1:9">
      <c r="A6" s="3">
        <v>1.2</v>
      </c>
      <c r="B6" s="3" t="s">
        <v>283</v>
      </c>
      <c r="C6" s="5">
        <v>0</v>
      </c>
      <c r="D6" s="60">
        <f>1/A财务假设!D13*100%</f>
        <v>0.0588235294117647</v>
      </c>
      <c r="E6" s="4">
        <f>C6*D6</f>
        <v>0</v>
      </c>
      <c r="F6" s="4">
        <f>C6-E6*(F3-2027)</f>
        <v>0</v>
      </c>
      <c r="G6" s="4">
        <f>C6-E6*(G3-2027)</f>
        <v>0</v>
      </c>
      <c r="H6" s="48" t="e">
        <f>C6-E6*(H3-2027)</f>
        <v>#VALUE!</v>
      </c>
      <c r="I6" s="4">
        <f>C6-E6*(I3-2027)</f>
        <v>0</v>
      </c>
    </row>
    <row r="7" ht="51" customHeight="1" spans="1:9">
      <c r="A7" s="3">
        <v>1.3</v>
      </c>
      <c r="B7" s="61" t="s">
        <v>284</v>
      </c>
      <c r="C7" s="48">
        <f>E.4建设投资税后金额表!E10+E.4建设投资税后金额表!E11+E.4建设投资税后金额表!E12</f>
        <v>16.6304892302555</v>
      </c>
      <c r="D7" s="60">
        <f>1/A财务假设!D13*100%</f>
        <v>0.0588235294117647</v>
      </c>
      <c r="E7" s="4">
        <f>C7*D7</f>
        <v>0.978264072367969</v>
      </c>
      <c r="F7" s="4">
        <f>C7-E7*(F3-2027)</f>
        <v>15.6522251578875</v>
      </c>
      <c r="G7" s="4">
        <f>C7-E7*(G3-2027)</f>
        <v>14.6739610855195</v>
      </c>
      <c r="H7" s="48" t="e">
        <f>C7-E7*(H3-2027)</f>
        <v>#VALUE!</v>
      </c>
      <c r="I7" s="4">
        <f>C7-E7*(I3-2027)</f>
        <v>-0.978264072367967</v>
      </c>
    </row>
    <row r="8" customHeight="1" spans="1:9">
      <c r="A8" s="3">
        <v>2</v>
      </c>
      <c r="B8" s="3" t="s">
        <v>285</v>
      </c>
      <c r="C8" s="4">
        <f>SUM(C9:C10)</f>
        <v>120.96</v>
      </c>
      <c r="D8" s="60">
        <f>1/A财务假设!D13*100%</f>
        <v>0.0588235294117647</v>
      </c>
      <c r="E8" s="4">
        <f>SUM(E9:E10)</f>
        <v>7.11529411764706</v>
      </c>
      <c r="F8" s="4">
        <f>SUM(F9:F10)</f>
        <v>113.844705882353</v>
      </c>
      <c r="G8" s="4">
        <f>SUM(G9:G10)</f>
        <v>106.729411764706</v>
      </c>
      <c r="H8" s="48" t="e">
        <f>SUM(H9:H10)</f>
        <v>#VALUE!</v>
      </c>
      <c r="I8" s="4">
        <f>SUM(I9:I10)</f>
        <v>-7.11529411764704</v>
      </c>
    </row>
    <row r="9" customHeight="1" spans="1:9">
      <c r="A9" s="3">
        <v>2.1</v>
      </c>
      <c r="B9" s="3" t="s">
        <v>123</v>
      </c>
      <c r="C9" s="4">
        <f>c借款还本付息计划表!C27</f>
        <v>120.96</v>
      </c>
      <c r="D9" s="60">
        <f>1/A财务假设!D13*100%</f>
        <v>0.0588235294117647</v>
      </c>
      <c r="E9" s="4">
        <f>C9*D9</f>
        <v>7.11529411764706</v>
      </c>
      <c r="F9" s="4">
        <f>C9-E9*(F3-2027)</f>
        <v>113.844705882353</v>
      </c>
      <c r="G9" s="4">
        <f>C9-E9*(G3-2027)</f>
        <v>106.729411764706</v>
      </c>
      <c r="H9" s="48" t="e">
        <f>C9-E9*(H3-2027)</f>
        <v>#VALUE!</v>
      </c>
      <c r="I9" s="4">
        <f>C9-E9*(I3-2027)</f>
        <v>-7.11529411764704</v>
      </c>
    </row>
    <row r="10" customHeight="1" spans="1:9">
      <c r="A10" s="3">
        <v>2.2</v>
      </c>
      <c r="B10" s="3" t="s">
        <v>286</v>
      </c>
      <c r="C10" s="5">
        <v>0</v>
      </c>
      <c r="D10" s="60">
        <f>1/A财务假设!D13*100%</f>
        <v>0.0588235294117647</v>
      </c>
      <c r="E10" s="4">
        <f>C10*D10</f>
        <v>0</v>
      </c>
      <c r="F10" s="4">
        <f>C10-E10*(F3-2027)</f>
        <v>0</v>
      </c>
      <c r="G10" s="4">
        <f>C10-E10*(G3-2027)</f>
        <v>0</v>
      </c>
      <c r="H10" s="48" t="e">
        <f>C10-E10*(H3-2027)</f>
        <v>#VALUE!</v>
      </c>
      <c r="I10" s="4">
        <f>C10-E10*(I3-20227)</f>
        <v>0</v>
      </c>
    </row>
    <row r="11" customHeight="1" spans="1:9">
      <c r="A11" s="36" t="s">
        <v>130</v>
      </c>
      <c r="B11" s="37"/>
      <c r="C11" s="4">
        <f>C4+C8</f>
        <v>137.590489230255</v>
      </c>
      <c r="D11" s="32" t="s">
        <v>98</v>
      </c>
      <c r="E11" s="4">
        <f>E4+E8</f>
        <v>8.09355819001503</v>
      </c>
      <c r="F11" s="4">
        <f>F4+F8</f>
        <v>129.49693104024</v>
      </c>
      <c r="G11" s="4">
        <f>G4+G8</f>
        <v>121.403372850225</v>
      </c>
      <c r="H11" s="48" t="e">
        <f>H4+H8</f>
        <v>#VALUE!</v>
      </c>
      <c r="I11" s="4">
        <f>I4+I8</f>
        <v>-8.09355819001501</v>
      </c>
    </row>
  </sheetData>
  <mergeCells count="3">
    <mergeCell ref="A1:I1"/>
    <mergeCell ref="F2:I2"/>
    <mergeCell ref="A11:B1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rgb="FFFFFF00"/>
  </sheetPr>
  <dimension ref="A1:E21"/>
  <sheetViews>
    <sheetView zoomScale="85" zoomScaleNormal="85" workbookViewId="0">
      <selection activeCell="L25" sqref="L25"/>
    </sheetView>
  </sheetViews>
  <sheetFormatPr defaultColWidth="8.88888888888889" defaultRowHeight="28" customHeight="1" outlineLevelCol="4"/>
  <cols>
    <col min="2" max="2" width="18.3333333333333" customWidth="1"/>
    <col min="3" max="3" width="12.6666666666667" customWidth="1"/>
    <col min="5" max="5" width="23.6666666666667" customWidth="1"/>
  </cols>
  <sheetData>
    <row r="1" s="21" customFormat="1" customHeight="1" spans="1:5">
      <c r="A1" s="1" t="s">
        <v>287</v>
      </c>
      <c r="B1" s="1"/>
      <c r="C1" s="1"/>
      <c r="D1" s="1"/>
      <c r="E1" s="1"/>
    </row>
    <row r="2" s="21" customFormat="1" customHeight="1" spans="1:5">
      <c r="A2" s="2" t="s">
        <v>1</v>
      </c>
      <c r="B2" s="2" t="s">
        <v>101</v>
      </c>
      <c r="C2" s="2" t="s">
        <v>103</v>
      </c>
      <c r="D2" s="2" t="s">
        <v>288</v>
      </c>
      <c r="E2" s="2" t="s">
        <v>289</v>
      </c>
    </row>
    <row r="3" s="21" customFormat="1" customHeight="1" spans="1:5">
      <c r="A3" s="3" t="s">
        <v>104</v>
      </c>
      <c r="B3" s="3" t="s">
        <v>105</v>
      </c>
      <c r="C3" s="4">
        <f>'G.1进项增值税率-建设投资'!D3</f>
        <v>498</v>
      </c>
      <c r="D3" s="3" t="str">
        <f>'G.1进项增值税率-建设投资'!E3</f>
        <v>/</v>
      </c>
      <c r="E3" s="4">
        <f>E4+E8</f>
        <v>448.034240143627</v>
      </c>
    </row>
    <row r="4" s="21" customFormat="1" customHeight="1" spans="1:5">
      <c r="A4" s="22">
        <v>1</v>
      </c>
      <c r="B4" s="22" t="s">
        <v>106</v>
      </c>
      <c r="C4" s="58">
        <f>'G.1进项增值税率-建设投资'!D4</f>
        <v>474</v>
      </c>
      <c r="D4" s="22" t="str">
        <f>'G.1进项增值税率-建设投资'!E4</f>
        <v>/</v>
      </c>
      <c r="E4" s="58">
        <f>SUM(E5:E7)</f>
        <v>426.094016400097</v>
      </c>
    </row>
    <row r="5" s="21" customFormat="1" customHeight="1" spans="1:5">
      <c r="A5" s="3">
        <v>1.1</v>
      </c>
      <c r="B5" s="3" t="s">
        <v>107</v>
      </c>
      <c r="C5" s="4">
        <f>'G.1进项增值税率-建设投资'!D5</f>
        <v>165</v>
      </c>
      <c r="D5" s="59">
        <f>'G.1进项增值税率-建设投资'!E5</f>
        <v>0.09</v>
      </c>
      <c r="E5" s="4">
        <f>C5/(1+'G.1进项增值税率-建设投资'!E5)</f>
        <v>151.376146788991</v>
      </c>
    </row>
    <row r="6" s="21" customFormat="1" customHeight="1" spans="1:5">
      <c r="A6" s="3">
        <v>1.2</v>
      </c>
      <c r="B6" s="3" t="s">
        <v>109</v>
      </c>
      <c r="C6" s="4">
        <f>'G.1进项增值税率-建设投资'!D6</f>
        <v>270</v>
      </c>
      <c r="D6" s="59">
        <f>'G.1进项增值税率-建设投资'!E6</f>
        <v>0.13</v>
      </c>
      <c r="E6" s="4">
        <f>C6/(1+'G.1进项增值税率-建设投资'!E6)</f>
        <v>238.938053097345</v>
      </c>
    </row>
    <row r="7" s="21" customFormat="1" customHeight="1" spans="1:5">
      <c r="A7" s="3">
        <v>1.3</v>
      </c>
      <c r="B7" s="3" t="s">
        <v>110</v>
      </c>
      <c r="C7" s="4">
        <f>'G.1进项增值税率-建设投资'!D7</f>
        <v>39</v>
      </c>
      <c r="D7" s="59">
        <f>'G.1进项增值税率-建设投资'!E7</f>
        <v>0.09</v>
      </c>
      <c r="E7" s="4">
        <f>C7/(1+'G.1进项增值税率-建设投资'!E7)</f>
        <v>35.7798165137615</v>
      </c>
    </row>
    <row r="8" s="21" customFormat="1" customHeight="1" spans="1:5">
      <c r="A8" s="22">
        <v>2</v>
      </c>
      <c r="B8" s="22" t="s">
        <v>112</v>
      </c>
      <c r="C8" s="58">
        <f>'G.1进项增值税率-建设投资'!D8</f>
        <v>24</v>
      </c>
      <c r="D8" s="22" t="str">
        <f>'G.1进项增值税率-建设投资'!E8</f>
        <v>/</v>
      </c>
      <c r="E8" s="58">
        <f>SUM(E9:E12)</f>
        <v>21.9402237435298</v>
      </c>
    </row>
    <row r="9" s="21" customFormat="1" customHeight="1" spans="1:5">
      <c r="A9" s="3">
        <v>2.1</v>
      </c>
      <c r="B9" s="3" t="s">
        <v>113</v>
      </c>
      <c r="C9" s="4">
        <f>'G.1进项增值税率-建设投资'!D9</f>
        <v>6</v>
      </c>
      <c r="D9" s="59">
        <f>'G.1进项增值税率-建设投资'!E9</f>
        <v>0.13</v>
      </c>
      <c r="E9" s="4">
        <f>C9/(1+'G.1进项增值税率-建设投资'!E9)</f>
        <v>5.30973451327434</v>
      </c>
    </row>
    <row r="10" s="21" customFormat="1" customHeight="1" spans="1:5">
      <c r="A10" s="3">
        <v>2.2</v>
      </c>
      <c r="B10" s="3" t="s">
        <v>114</v>
      </c>
      <c r="C10" s="4">
        <f>'G.1进项增值税率-建设投资'!D10</f>
        <v>6</v>
      </c>
      <c r="D10" s="59">
        <f>'G.1进项增值税率-建设投资'!E10</f>
        <v>0.06</v>
      </c>
      <c r="E10" s="4">
        <f>C10/(1+'G.1进项增值税率-建设投资'!E10)</f>
        <v>5.66037735849057</v>
      </c>
    </row>
    <row r="11" s="21" customFormat="1" customHeight="1" spans="1:5">
      <c r="A11" s="3">
        <v>2.3</v>
      </c>
      <c r="B11" s="3" t="s">
        <v>115</v>
      </c>
      <c r="C11" s="4">
        <f>'G.1进项增值税率-建设投资'!D11</f>
        <v>6</v>
      </c>
      <c r="D11" s="59">
        <f>'G.1进项增值税率-建设投资'!E11</f>
        <v>0.13</v>
      </c>
      <c r="E11" s="4">
        <f>C11/(1+'G.1进项增值税率-建设投资'!E11)</f>
        <v>5.30973451327434</v>
      </c>
    </row>
    <row r="12" s="21" customFormat="1" customHeight="1" spans="1:5">
      <c r="A12" s="3">
        <v>2.4</v>
      </c>
      <c r="B12" s="3" t="s">
        <v>116</v>
      </c>
      <c r="C12" s="4">
        <f>'G.1进项增值税率-建设投资'!D12</f>
        <v>6</v>
      </c>
      <c r="D12" s="59">
        <f>'G.1进项增值税率-建设投资'!E12</f>
        <v>0.06</v>
      </c>
      <c r="E12" s="4">
        <f>C12/(1+'G.1进项增值税率-建设投资'!E12)</f>
        <v>5.66037735849057</v>
      </c>
    </row>
    <row r="13" s="21" customFormat="1" customHeight="1" spans="1:5">
      <c r="A13" s="22" t="s">
        <v>117</v>
      </c>
      <c r="B13" s="22" t="s">
        <v>118</v>
      </c>
      <c r="C13" s="58">
        <f>'G.1进项增值税率-建设投资'!D13</f>
        <v>24</v>
      </c>
      <c r="D13" s="22" t="str">
        <f>'G.1进项增值税率-建设投资'!E13</f>
        <v>/</v>
      </c>
      <c r="E13" s="58">
        <f>SUM(E14:E18)</f>
        <v>22.6415094339623</v>
      </c>
    </row>
    <row r="14" s="21" customFormat="1" customHeight="1" spans="1:5">
      <c r="A14" s="3">
        <v>1</v>
      </c>
      <c r="B14" s="3" t="s">
        <v>119</v>
      </c>
      <c r="C14" s="4">
        <f>'G.1进项增值税率-建设投资'!D14</f>
        <v>6</v>
      </c>
      <c r="D14" s="59">
        <f>'G.1进项增值税率-建设投资'!E14</f>
        <v>0.06</v>
      </c>
      <c r="E14" s="4">
        <f>C14/(1+'G.1进项增值税率-建设投资'!E14)</f>
        <v>5.66037735849057</v>
      </c>
    </row>
    <row r="15" s="21" customFormat="1" customHeight="1" spans="1:5">
      <c r="A15" s="3">
        <v>2</v>
      </c>
      <c r="B15" s="3" t="s">
        <v>120</v>
      </c>
      <c r="C15" s="4">
        <f>'G.1进项增值税率-建设投资'!D15</f>
        <v>6</v>
      </c>
      <c r="D15" s="59">
        <f>'G.1进项增值税率-建设投资'!E15</f>
        <v>0.06</v>
      </c>
      <c r="E15" s="4">
        <f>C15/(1+'G.1进项增值税率-建设投资'!E15)</f>
        <v>5.66037735849057</v>
      </c>
    </row>
    <row r="16" s="21" customFormat="1" customHeight="1" spans="1:5">
      <c r="A16" s="3">
        <v>3</v>
      </c>
      <c r="B16" s="3" t="s">
        <v>121</v>
      </c>
      <c r="C16" s="4">
        <f>'G.1进项增值税率-建设投资'!D16</f>
        <v>6</v>
      </c>
      <c r="D16" s="59">
        <f>'G.1进项增值税率-建设投资'!E16</f>
        <v>0.06</v>
      </c>
      <c r="E16" s="4">
        <f>C16/(1+'G.1进项增值税率-建设投资'!E16)</f>
        <v>5.66037735849057</v>
      </c>
    </row>
    <row r="17" s="21" customFormat="1" customHeight="1" spans="1:5">
      <c r="A17" s="3">
        <v>4</v>
      </c>
      <c r="B17" s="3" t="s">
        <v>122</v>
      </c>
      <c r="C17" s="4">
        <f>'G.1进项增值税率-建设投资'!D17</f>
        <v>6</v>
      </c>
      <c r="D17" s="59">
        <f>'G.1进项增值税率-建设投资'!E17</f>
        <v>0.06</v>
      </c>
      <c r="E17" s="4">
        <f>C17/(1+'G.1进项增值税率-建设投资'!E17)</f>
        <v>5.66037735849057</v>
      </c>
    </row>
    <row r="18" s="21" customFormat="1" customHeight="1" spans="1:5">
      <c r="A18" s="3">
        <v>5</v>
      </c>
      <c r="B18" s="3" t="s">
        <v>52</v>
      </c>
      <c r="C18" s="4">
        <f>'G.1进项增值税率-建设投资'!D18</f>
        <v>0</v>
      </c>
      <c r="D18" s="59">
        <f>'G.1进项增值税率-建设投资'!E18</f>
        <v>0.06</v>
      </c>
      <c r="E18" s="4">
        <f>C18/(1+'G.1进项增值税率-建设投资'!E18)</f>
        <v>0</v>
      </c>
    </row>
    <row r="19" s="21" customFormat="1" customHeight="1" spans="1:5">
      <c r="A19" s="22" t="s">
        <v>124</v>
      </c>
      <c r="B19" s="22" t="s">
        <v>125</v>
      </c>
      <c r="C19" s="58">
        <f>'G.1进项增值税率-建设投资'!D19</f>
        <v>6</v>
      </c>
      <c r="D19" s="22" t="str">
        <f>'G.1进项增值税率-建设投资'!E19</f>
        <v>/</v>
      </c>
      <c r="E19" s="58">
        <f>SUM(E20)</f>
        <v>6</v>
      </c>
    </row>
    <row r="20" s="21" customFormat="1" customHeight="1" spans="1:5">
      <c r="A20" s="3">
        <v>1</v>
      </c>
      <c r="B20" s="3" t="s">
        <v>126</v>
      </c>
      <c r="C20" s="4">
        <f>'G.1进项增值税率-建设投资'!D20</f>
        <v>6</v>
      </c>
      <c r="D20" s="59">
        <f>'G.1进项增值税率-建设投资'!E20</f>
        <v>0</v>
      </c>
      <c r="E20" s="4">
        <f>C20/(1+'G.1进项增值税率-建设投资'!E20)</f>
        <v>6</v>
      </c>
    </row>
    <row r="21" s="21" customFormat="1" customHeight="1" spans="1:5">
      <c r="A21" s="3"/>
      <c r="B21" s="3" t="s">
        <v>130</v>
      </c>
      <c r="C21" s="4">
        <f>C3+C13+C19</f>
        <v>528</v>
      </c>
      <c r="D21" s="3" t="s">
        <v>98</v>
      </c>
      <c r="E21" s="4">
        <f>E3+E13+E19</f>
        <v>476.67574957759</v>
      </c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rgb="FFFFFF00"/>
  </sheetPr>
  <dimension ref="A1:I12"/>
  <sheetViews>
    <sheetView zoomScale="115" zoomScaleNormal="115" workbookViewId="0">
      <selection activeCell="E3" sqref="E3"/>
    </sheetView>
  </sheetViews>
  <sheetFormatPr defaultColWidth="8.88888888888889" defaultRowHeight="28" customHeight="1"/>
  <cols>
    <col min="1" max="1" width="8.88888888888889" style="21"/>
    <col min="2" max="2" width="13" style="21" customWidth="1"/>
    <col min="3" max="3" width="12.2222222222222" style="21" customWidth="1"/>
    <col min="4" max="4" width="16.6666666666667" style="21" customWidth="1"/>
    <col min="5" max="6" width="15.6666666666667" style="21"/>
    <col min="7" max="7" width="13.9907407407407" style="21" customWidth="1"/>
    <col min="8" max="9" width="15.6666666666667" style="21"/>
    <col min="10" max="16384" width="8.88888888888889" style="21"/>
  </cols>
  <sheetData>
    <row r="1" customHeight="1" spans="1:9">
      <c r="A1" s="1" t="s">
        <v>290</v>
      </c>
      <c r="B1" s="1"/>
      <c r="C1" s="1"/>
      <c r="D1" s="1"/>
      <c r="E1" s="1"/>
      <c r="F1" s="1"/>
      <c r="G1" s="1"/>
      <c r="H1" s="1"/>
      <c r="I1" s="1"/>
    </row>
    <row r="2" customHeight="1" spans="1:9">
      <c r="A2" s="2" t="s">
        <v>1</v>
      </c>
      <c r="B2" s="2" t="s">
        <v>291</v>
      </c>
      <c r="C2" s="2" t="s">
        <v>292</v>
      </c>
      <c r="D2" s="2" t="s">
        <v>170</v>
      </c>
      <c r="E2" s="2" t="s">
        <v>96</v>
      </c>
      <c r="F2" s="2" t="s">
        <v>293</v>
      </c>
      <c r="G2" s="2" t="s">
        <v>294</v>
      </c>
      <c r="H2" s="2" t="s">
        <v>295</v>
      </c>
      <c r="I2" s="2" t="s">
        <v>296</v>
      </c>
    </row>
    <row r="3" customHeight="1" spans="1:9">
      <c r="A3" s="14">
        <v>1</v>
      </c>
      <c r="B3" s="14" t="s">
        <v>297</v>
      </c>
      <c r="C3" s="3" t="s">
        <v>298</v>
      </c>
      <c r="D3" s="22">
        <v>0</v>
      </c>
      <c r="E3" s="4">
        <f>F.1项目单项收入信息!H3</f>
        <v>140</v>
      </c>
      <c r="F3" s="4">
        <f>F.1项目单项收入信息!I3</f>
        <v>200</v>
      </c>
      <c r="G3" s="4">
        <f>F.1项目单项收入信息!J3</f>
        <v>160</v>
      </c>
      <c r="H3" s="4">
        <f>F.1项目单项收入信息!K3</f>
        <v>200</v>
      </c>
      <c r="I3" s="4">
        <f>F.1项目单项收入信息!L3</f>
        <v>200</v>
      </c>
    </row>
    <row r="4" customHeight="1" spans="1:9">
      <c r="A4" s="56"/>
      <c r="B4" s="56"/>
      <c r="C4" s="3" t="s">
        <v>299</v>
      </c>
      <c r="D4" s="22">
        <v>0</v>
      </c>
      <c r="E4" s="4">
        <f>E3/(1+G.3销项增值税率!C3)</f>
        <v>128.440366972477</v>
      </c>
      <c r="F4" s="4">
        <f>F3/(1+G.3销项增值税率!C3)</f>
        <v>183.48623853211</v>
      </c>
      <c r="G4" s="4">
        <f>G3/(1+G.3销项增值税率!C3)</f>
        <v>146.788990825688</v>
      </c>
      <c r="H4" s="4">
        <f>H3/(1+G.3销项增值税率!C3)</f>
        <v>183.48623853211</v>
      </c>
      <c r="I4" s="4">
        <f>I3/(1+G.3销项增值税率!C3)</f>
        <v>183.48623853211</v>
      </c>
    </row>
    <row r="5" customHeight="1" spans="1:9">
      <c r="A5" s="14">
        <v>2</v>
      </c>
      <c r="B5" s="14" t="s">
        <v>300</v>
      </c>
      <c r="C5" s="3" t="s">
        <v>298</v>
      </c>
      <c r="D5" s="22">
        <v>0</v>
      </c>
      <c r="E5" s="4">
        <f>F.1项目单项收入信息!H5</f>
        <v>320</v>
      </c>
      <c r="F5" s="4">
        <f>F.1项目单项收入信息!I5</f>
        <v>400</v>
      </c>
      <c r="G5" s="4">
        <f>F.1项目单项收入信息!J5</f>
        <v>280</v>
      </c>
      <c r="H5" s="4">
        <f>F.1项目单项收入信息!K5</f>
        <v>400</v>
      </c>
      <c r="I5" s="4">
        <f>F.1项目单项收入信息!L5</f>
        <v>400</v>
      </c>
    </row>
    <row r="6" customHeight="1" spans="1:9">
      <c r="A6" s="56"/>
      <c r="B6" s="56"/>
      <c r="C6" s="3" t="s">
        <v>299</v>
      </c>
      <c r="D6" s="22">
        <v>0</v>
      </c>
      <c r="E6" s="4">
        <f>E5/(1+G.3销项增值税率!C4)</f>
        <v>293.577981651376</v>
      </c>
      <c r="F6" s="4">
        <f>F5/(1+G.3销项增值税率!C4)</f>
        <v>366.97247706422</v>
      </c>
      <c r="G6" s="4">
        <f>G5/(1+G.3销项增值税率!C4)</f>
        <v>256.880733944954</v>
      </c>
      <c r="H6" s="4">
        <f>H5/(1+G.3销项增值税率!C4)</f>
        <v>366.97247706422</v>
      </c>
      <c r="I6" s="4">
        <f>I5/(1+G.3销项增值税率!C4)</f>
        <v>366.97247706422</v>
      </c>
    </row>
    <row r="7" customHeight="1" spans="1:9">
      <c r="A7" s="14">
        <v>3</v>
      </c>
      <c r="B7" s="14" t="s">
        <v>301</v>
      </c>
      <c r="C7" s="3" t="s">
        <v>298</v>
      </c>
      <c r="D7" s="22">
        <v>0</v>
      </c>
      <c r="E7" s="4">
        <f>F.1项目单项收入信息!H7</f>
        <v>1224</v>
      </c>
      <c r="F7" s="4">
        <f>F.1项目单项收入信息!I7</f>
        <v>1530</v>
      </c>
      <c r="G7" s="4">
        <f>F.1项目单项收入信息!J7</f>
        <v>1224</v>
      </c>
      <c r="H7" s="4">
        <f>F.1项目单项收入信息!K7</f>
        <v>1500</v>
      </c>
      <c r="I7" s="4">
        <f>F.1项目单项收入信息!L7</f>
        <v>1530</v>
      </c>
    </row>
    <row r="8" customHeight="1" spans="1:9">
      <c r="A8" s="56"/>
      <c r="B8" s="56"/>
      <c r="C8" s="3" t="s">
        <v>299</v>
      </c>
      <c r="D8" s="22">
        <v>0</v>
      </c>
      <c r="E8" s="4">
        <f>E7/(1+G.3销项增值税率!C5)</f>
        <v>1154.71698113208</v>
      </c>
      <c r="F8" s="4">
        <f>F7/(1+G.3销项增值税率!C5)</f>
        <v>1443.39622641509</v>
      </c>
      <c r="G8" s="4">
        <f>G7/(1+G.3销项增值税率!C5)</f>
        <v>1154.71698113208</v>
      </c>
      <c r="H8" s="4">
        <f>H7/(1+G.3销项增值税率!C5)</f>
        <v>1415.09433962264</v>
      </c>
      <c r="I8" s="4">
        <f>I7/(1+G.3销项增值税率!C5)</f>
        <v>1443.39622641509</v>
      </c>
    </row>
    <row r="9" customHeight="1" spans="1:9">
      <c r="A9" s="3">
        <v>4</v>
      </c>
      <c r="B9" s="3" t="s">
        <v>302</v>
      </c>
      <c r="C9" s="3"/>
      <c r="D9" s="22">
        <v>0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customHeight="1" spans="1:9">
      <c r="A10" s="3">
        <v>5</v>
      </c>
      <c r="B10" s="36" t="s">
        <v>303</v>
      </c>
      <c r="C10" s="37"/>
      <c r="D10" s="22">
        <v>0</v>
      </c>
      <c r="E10" s="4">
        <f>SUM(E3+E5+E7+E9)</f>
        <v>1685</v>
      </c>
      <c r="F10" s="4">
        <f>F3+F5+F7+F9</f>
        <v>2131</v>
      </c>
      <c r="G10" s="4">
        <f>G3+G5+G7+G9</f>
        <v>1665</v>
      </c>
      <c r="H10" s="4">
        <f>H3+H5+H7+H9</f>
        <v>2101</v>
      </c>
      <c r="I10" s="4">
        <f>I3+I5+I7+I9</f>
        <v>2131</v>
      </c>
    </row>
    <row r="11" customHeight="1" spans="1:9">
      <c r="A11" s="3">
        <v>6</v>
      </c>
      <c r="B11" s="36" t="s">
        <v>304</v>
      </c>
      <c r="C11" s="37"/>
      <c r="D11" s="22">
        <v>0</v>
      </c>
      <c r="E11" s="4">
        <f>E4+E6+E8+E9</f>
        <v>1577.73532975593</v>
      </c>
      <c r="F11" s="4">
        <f>F4+F6+F8+F9</f>
        <v>1994.85494201142</v>
      </c>
      <c r="G11" s="4">
        <f>G4+G6+G8+G9</f>
        <v>1559.38670590272</v>
      </c>
      <c r="H11" s="4">
        <f>H4+H6+H8+H9</f>
        <v>1966.55305521897</v>
      </c>
      <c r="I11" s="4">
        <f>I4+I6+I8+I9</f>
        <v>1994.85494201142</v>
      </c>
    </row>
    <row r="12" customHeight="1" spans="1:9">
      <c r="A12" s="57" t="s">
        <v>305</v>
      </c>
      <c r="B12" s="57"/>
      <c r="C12" s="57"/>
      <c r="D12" s="57"/>
      <c r="E12" s="57"/>
      <c r="F12" s="57"/>
      <c r="G12" s="57"/>
      <c r="H12" s="57"/>
      <c r="I12" s="57"/>
    </row>
  </sheetData>
  <mergeCells count="10">
    <mergeCell ref="A1:I1"/>
    <mergeCell ref="B10:C10"/>
    <mergeCell ref="B11:C11"/>
    <mergeCell ref="A12:I12"/>
    <mergeCell ref="A3:A4"/>
    <mergeCell ref="A5:A6"/>
    <mergeCell ref="A7:A8"/>
    <mergeCell ref="B3:B4"/>
    <mergeCell ref="B5:B6"/>
    <mergeCell ref="B7:B8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rgb="FFFFFF00"/>
  </sheetPr>
  <dimension ref="A1:L9"/>
  <sheetViews>
    <sheetView zoomScale="85" zoomScaleNormal="85" workbookViewId="0">
      <selection activeCell="J14" sqref="J14"/>
    </sheetView>
  </sheetViews>
  <sheetFormatPr defaultColWidth="8.88888888888889" defaultRowHeight="28" customHeight="1"/>
  <cols>
    <col min="2" max="2" width="12" customWidth="1"/>
    <col min="3" max="3" width="10.4444444444444" customWidth="1"/>
    <col min="4" max="4" width="16.7314814814815" customWidth="1"/>
    <col min="5" max="5" width="15.4444444444444" customWidth="1"/>
    <col min="6" max="6" width="9.22222222222222" customWidth="1"/>
    <col min="7" max="7" width="18.8148148148148" customWidth="1"/>
    <col min="8" max="8" width="14.6388888888889" customWidth="1"/>
    <col min="9" max="9" width="15.8148148148148" customWidth="1"/>
    <col min="10" max="10" width="16.0740740740741" customWidth="1"/>
    <col min="11" max="11" width="14.2407407407407" customWidth="1"/>
    <col min="12" max="12" width="17.3796296296296" customWidth="1"/>
  </cols>
  <sheetData>
    <row r="1" customHeight="1" spans="1:12">
      <c r="A1" s="44" t="s">
        <v>306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customHeight="1" spans="1:12">
      <c r="A2" s="2" t="s">
        <v>1</v>
      </c>
      <c r="B2" s="2" t="s">
        <v>291</v>
      </c>
      <c r="C2" s="2" t="s">
        <v>211</v>
      </c>
      <c r="D2" s="2" t="s">
        <v>307</v>
      </c>
      <c r="E2" s="2" t="s">
        <v>308</v>
      </c>
      <c r="F2" s="2" t="s">
        <v>309</v>
      </c>
      <c r="G2" s="2" t="s">
        <v>170</v>
      </c>
      <c r="H2" s="2" t="s">
        <v>96</v>
      </c>
      <c r="I2" s="2" t="s">
        <v>97</v>
      </c>
      <c r="J2" s="2" t="s">
        <v>213</v>
      </c>
      <c r="K2" s="2" t="s">
        <v>310</v>
      </c>
      <c r="L2" s="2" t="s">
        <v>215</v>
      </c>
    </row>
    <row r="3" customHeight="1" spans="1:12">
      <c r="A3" s="3">
        <v>1</v>
      </c>
      <c r="B3" s="14" t="s">
        <v>297</v>
      </c>
      <c r="C3" s="43">
        <v>2</v>
      </c>
      <c r="D3" s="5">
        <v>100</v>
      </c>
      <c r="E3" s="54" t="s">
        <v>311</v>
      </c>
      <c r="F3" s="43">
        <v>0</v>
      </c>
      <c r="G3" s="55">
        <f>C3*D3*F3</f>
        <v>0</v>
      </c>
      <c r="H3" s="4">
        <f>C3*D3*H4</f>
        <v>140</v>
      </c>
      <c r="I3" s="4">
        <f>C3*D3*I4</f>
        <v>200</v>
      </c>
      <c r="J3" s="4">
        <f>C3*D3*J4</f>
        <v>160</v>
      </c>
      <c r="K3" s="4">
        <f>C3*D3*K4</f>
        <v>200</v>
      </c>
      <c r="L3" s="4">
        <f>C3*D3*L4</f>
        <v>200</v>
      </c>
    </row>
    <row r="4" customHeight="1" spans="1:12">
      <c r="A4" s="3"/>
      <c r="B4" s="56"/>
      <c r="C4" s="3" t="s">
        <v>312</v>
      </c>
      <c r="D4" s="3"/>
      <c r="E4" s="3"/>
      <c r="F4" s="3"/>
      <c r="G4" s="22">
        <v>0</v>
      </c>
      <c r="H4" s="39">
        <v>0.7</v>
      </c>
      <c r="I4" s="39">
        <v>1</v>
      </c>
      <c r="J4" s="39">
        <v>0.8</v>
      </c>
      <c r="K4" s="39">
        <v>1</v>
      </c>
      <c r="L4" s="39">
        <v>1</v>
      </c>
    </row>
    <row r="5" customHeight="1" spans="1:12">
      <c r="A5" s="3">
        <v>2</v>
      </c>
      <c r="B5" s="14" t="s">
        <v>300</v>
      </c>
      <c r="C5" s="43">
        <v>2</v>
      </c>
      <c r="D5" s="5">
        <v>200</v>
      </c>
      <c r="E5" s="54" t="s">
        <v>311</v>
      </c>
      <c r="F5" s="43">
        <v>0</v>
      </c>
      <c r="G5" s="22">
        <f>C5*D5*G6</f>
        <v>0</v>
      </c>
      <c r="H5" s="4">
        <f>C5*D5*H6</f>
        <v>320</v>
      </c>
      <c r="I5" s="4">
        <f>C5*D5*I6</f>
        <v>400</v>
      </c>
      <c r="J5" s="4">
        <f>C5*D5*J6</f>
        <v>280</v>
      </c>
      <c r="K5" s="4">
        <f>C5*D5*K6</f>
        <v>400</v>
      </c>
      <c r="L5" s="4">
        <f>C5*D5*L6</f>
        <v>400</v>
      </c>
    </row>
    <row r="6" customHeight="1" spans="1:12">
      <c r="A6" s="3"/>
      <c r="B6" s="56"/>
      <c r="C6" s="3" t="s">
        <v>312</v>
      </c>
      <c r="D6" s="3"/>
      <c r="E6" s="3"/>
      <c r="F6" s="3"/>
      <c r="G6" s="22">
        <v>0</v>
      </c>
      <c r="H6" s="39">
        <v>0.8</v>
      </c>
      <c r="I6" s="39">
        <v>1</v>
      </c>
      <c r="J6" s="39">
        <v>0.7</v>
      </c>
      <c r="K6" s="39">
        <v>1</v>
      </c>
      <c r="L6" s="39">
        <v>1</v>
      </c>
    </row>
    <row r="7" customHeight="1" spans="1:12">
      <c r="A7" s="3">
        <v>3</v>
      </c>
      <c r="B7" s="14" t="s">
        <v>301</v>
      </c>
      <c r="C7" s="43">
        <v>5</v>
      </c>
      <c r="D7" s="5">
        <v>300</v>
      </c>
      <c r="E7" s="54" t="s">
        <v>313</v>
      </c>
      <c r="F7" s="39">
        <v>0.02</v>
      </c>
      <c r="G7" s="22">
        <f>C7*D7*G8</f>
        <v>0</v>
      </c>
      <c r="H7" s="4">
        <f>C7*D7*(1+F7)*H8</f>
        <v>1224</v>
      </c>
      <c r="I7" s="4">
        <f>C7*D7*(1+F7)*I8</f>
        <v>1530</v>
      </c>
      <c r="J7" s="4">
        <f>C7*D7*(1+F7)*J8</f>
        <v>1224</v>
      </c>
      <c r="K7" s="4">
        <f>C7*D7*K8</f>
        <v>1500</v>
      </c>
      <c r="L7" s="4">
        <f>C7*D7*(1+F7)*L8</f>
        <v>1530</v>
      </c>
    </row>
    <row r="8" customHeight="1" spans="1:12">
      <c r="A8" s="3"/>
      <c r="B8" s="56"/>
      <c r="C8" s="3" t="s">
        <v>312</v>
      </c>
      <c r="D8" s="3"/>
      <c r="E8" s="3"/>
      <c r="F8" s="3"/>
      <c r="G8" s="22">
        <v>0</v>
      </c>
      <c r="H8" s="39">
        <v>0.8</v>
      </c>
      <c r="I8" s="39">
        <v>1</v>
      </c>
      <c r="J8" s="39">
        <v>0.8</v>
      </c>
      <c r="K8" s="39">
        <v>1</v>
      </c>
      <c r="L8" s="39">
        <v>1</v>
      </c>
    </row>
    <row r="9" customHeight="1" spans="1:12">
      <c r="A9" s="3" t="s">
        <v>295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</sheetData>
  <mergeCells count="10">
    <mergeCell ref="A1:L1"/>
    <mergeCell ref="C4:F4"/>
    <mergeCell ref="C6:F6"/>
    <mergeCell ref="C8:F8"/>
    <mergeCell ref="A3:A4"/>
    <mergeCell ref="A5:A6"/>
    <mergeCell ref="A7:A8"/>
    <mergeCell ref="B3:B4"/>
    <mergeCell ref="B5:B6"/>
    <mergeCell ref="B7:B8"/>
  </mergeCells>
  <dataValidations count="2">
    <dataValidation type="list" allowBlank="1" showInputMessage="1" showErrorMessage="1" sqref="E3">
      <formula1>"不增长,每2年增长,每3年增长,每5年增长,自定义增长"</formula1>
    </dataValidation>
    <dataValidation type="list" allowBlank="1" showInputMessage="1" showErrorMessage="1" sqref="E5 E7">
      <formula1>"不增长,每年增长,每2年增长,每3年增长,每5年增长,自定义增长"</formula1>
    </dataValidation>
  </dataValidation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tabColor theme="4" tint="-0.25"/>
  </sheetPr>
  <dimension ref="A1:I31"/>
  <sheetViews>
    <sheetView zoomScale="85" zoomScaleNormal="85" workbookViewId="0">
      <selection activeCell="E39" sqref="E39"/>
    </sheetView>
  </sheetViews>
  <sheetFormatPr defaultColWidth="8.88888888888889" defaultRowHeight="28" customHeight="1"/>
  <cols>
    <col min="1" max="1" width="13.1111111111111" customWidth="1"/>
    <col min="2" max="2" width="33.1759259259259" customWidth="1"/>
    <col min="3" max="3" width="25.75" customWidth="1"/>
    <col min="4" max="4" width="18.1111111111111" customWidth="1"/>
    <col min="5" max="5" width="14.6111111111111" customWidth="1"/>
    <col min="6" max="6" width="11.7407407407407" customWidth="1"/>
    <col min="7" max="7" width="17.1111111111111"/>
    <col min="8" max="9" width="15.6666666666667"/>
  </cols>
  <sheetData>
    <row r="1" customHeight="1" spans="1:9">
      <c r="A1" s="44" t="s">
        <v>314</v>
      </c>
      <c r="B1" s="45"/>
      <c r="C1" s="45"/>
      <c r="D1" s="45"/>
      <c r="E1" s="45"/>
      <c r="F1" s="45"/>
      <c r="G1" s="45"/>
      <c r="H1" s="45"/>
      <c r="I1" s="46"/>
    </row>
    <row r="2" ht="54" customHeight="1" spans="1:9">
      <c r="A2" s="2" t="s">
        <v>1</v>
      </c>
      <c r="B2" s="2" t="s">
        <v>129</v>
      </c>
      <c r="C2" s="2" t="s">
        <v>315</v>
      </c>
      <c r="D2" s="49" t="s">
        <v>316</v>
      </c>
      <c r="E2" s="2">
        <v>2026</v>
      </c>
      <c r="F2" s="2">
        <v>2027</v>
      </c>
      <c r="G2" s="2">
        <v>2028</v>
      </c>
      <c r="H2" s="2" t="s">
        <v>52</v>
      </c>
      <c r="I2" s="2">
        <v>2045</v>
      </c>
    </row>
    <row r="3" ht="47" customHeight="1" spans="1:9">
      <c r="A3" s="3"/>
      <c r="B3" s="3"/>
      <c r="C3" s="9" t="s">
        <v>317</v>
      </c>
      <c r="D3" s="32">
        <f>'G.1进项增值税率-建设投资'!F21</f>
        <v>57.18</v>
      </c>
      <c r="E3" s="32">
        <f>D3</f>
        <v>57.18</v>
      </c>
      <c r="F3" s="50">
        <f>IF(E29=0,ABS(E25-E4-E3),0)</f>
        <v>0</v>
      </c>
      <c r="G3" s="50">
        <f>IF(F29=0,ABS(F25-F4-F3),0)</f>
        <v>0</v>
      </c>
      <c r="H3" s="50">
        <f>IF(G29=0,ABS(G25-G4-G3),0)</f>
        <v>0</v>
      </c>
      <c r="I3" s="50">
        <f>IF(H29=0,ABS(H25-H4-H3),0)</f>
        <v>0</v>
      </c>
    </row>
    <row r="4" ht="32" customHeight="1" spans="1:9">
      <c r="A4" s="3">
        <v>1</v>
      </c>
      <c r="B4" s="3" t="s">
        <v>318</v>
      </c>
      <c r="C4" s="3"/>
      <c r="D4" s="51">
        <v>0</v>
      </c>
      <c r="E4" s="9">
        <f>SUM(E5:E24)</f>
        <v>2.6647232464411</v>
      </c>
      <c r="F4" s="3">
        <f>SUM(F5:F24)</f>
        <v>1.86530627250877</v>
      </c>
      <c r="G4" s="3">
        <f>SUM(G5:G24)</f>
        <v>2.13177859715288</v>
      </c>
      <c r="H4" s="3">
        <f>SUM(H5:H24)</f>
        <v>2.6647232464411</v>
      </c>
      <c r="I4" s="3">
        <f>SUM(I5:I24)</f>
        <v>2.6647232464411</v>
      </c>
    </row>
    <row r="5" ht="31" hidden="1" customHeight="1" spans="1:9">
      <c r="A5" s="3"/>
      <c r="B5" s="3"/>
      <c r="C5" s="3"/>
      <c r="D5" s="52"/>
      <c r="E5" s="9">
        <f>E.1项目运营费用!H4*'G.2进项增值税率-运营成本'!C3/(1+'G.2进项增值税率-运营成本'!C3)</f>
        <v>0.165137614678899</v>
      </c>
      <c r="F5" s="9">
        <f>E.1项目运营费用!I4*'G.2进项增值税率-运营成本'!C3/(1+'G.2进项增值税率-运营成本'!C3)</f>
        <v>0.115596330275229</v>
      </c>
      <c r="G5" s="9">
        <f>E.1项目运营费用!J4*'G.2进项增值税率-运营成本'!C3/(1+'G.2进项增值税率-运营成本'!C3)</f>
        <v>0.132110091743119</v>
      </c>
      <c r="H5" s="9">
        <f>E.1项目运营费用!K4*'G.2进项增值税率-运营成本'!C3/(1+'G.2进项增值税率-运营成本'!C3)</f>
        <v>0.165137614678899</v>
      </c>
      <c r="I5" s="9">
        <f>E.1项目运营费用!L4*'G.2进项增值税率-运营成本'!C3/(1+'G.2进项增值税率-运营成本'!C3)</f>
        <v>0.165137614678899</v>
      </c>
    </row>
    <row r="6" ht="31" hidden="1" customHeight="1" spans="1:9">
      <c r="A6" s="3"/>
      <c r="B6" s="3"/>
      <c r="C6" s="3"/>
      <c r="D6" s="52"/>
      <c r="E6" s="9">
        <f>E.1项目运营费用!H5*'G.2进项增值税率-运营成本'!C4/(1+'G.2进项增值税率-运营成本'!C4)</f>
        <v>0.113207547169811</v>
      </c>
      <c r="F6" s="9">
        <f>E.1项目运营费用!I5*'G.2进项增值税率-运营成本'!C4/(1+'G.2进项增值税率-运营成本'!C4)</f>
        <v>0.0792452830188679</v>
      </c>
      <c r="G6" s="9">
        <f>E.1项目运营费用!J5*'G.2进项增值税率-运营成本'!C4/(1+'G.2进项增值税率-运营成本'!C4)</f>
        <v>0.0905660377358491</v>
      </c>
      <c r="H6" s="9">
        <f>E.1项目运营费用!K5*'G.2进项增值税率-运营成本'!C4/(1+'G.2进项增值税率-运营成本'!C4)</f>
        <v>0.113207547169811</v>
      </c>
      <c r="I6" s="9">
        <f>E.1项目运营费用!L5*'G.2进项增值税率-运营成本'!C4/(1+'G.2进项增值税率-运营成本'!C4)</f>
        <v>0.113207547169811</v>
      </c>
    </row>
    <row r="7" ht="31" hidden="1" customHeight="1" spans="1:9">
      <c r="A7" s="3"/>
      <c r="B7" s="3"/>
      <c r="C7" s="3"/>
      <c r="D7" s="52"/>
      <c r="E7" s="9">
        <f>E.1项目运营费用!H6*'G.2进项增值税率-运营成本'!C5/(1+'G.2进项增值税率-运营成本'!C5)</f>
        <v>0.113207547169811</v>
      </c>
      <c r="F7" s="9">
        <f>E.1项目运营费用!I6*'G.2进项增值税率-运营成本'!C5/(1+'G.2进项增值税率-运营成本'!C5)</f>
        <v>0.0792452830188679</v>
      </c>
      <c r="G7" s="9">
        <f>E.1项目运营费用!J6*'G.2进项增值税率-运营成本'!C5/(1+'G.2进项增值税率-运营成本'!C5)</f>
        <v>0.0905660377358491</v>
      </c>
      <c r="H7" s="9">
        <f>E.1项目运营费用!K6*'G.2进项增值税率-运营成本'!C5/(1+'G.2进项增值税率-运营成本'!C5)</f>
        <v>0.113207547169811</v>
      </c>
      <c r="I7" s="9">
        <f>E.1项目运营费用!L6*'G.2进项增值税率-运营成本'!C5/(1+'G.2进项增值税率-运营成本'!C5)</f>
        <v>0.113207547169811</v>
      </c>
    </row>
    <row r="8" ht="31" hidden="1" customHeight="1" spans="1:9">
      <c r="A8" s="3"/>
      <c r="B8" s="3"/>
      <c r="C8" s="3"/>
      <c r="D8" s="52"/>
      <c r="E8" s="9">
        <f>E.1项目运营费用!H7*'G.2进项增值税率-运营成本'!C6/(1+'G.2进项增值税率-运营成本'!C6)</f>
        <v>0.113207547169811</v>
      </c>
      <c r="F8" s="9">
        <f>E.1项目运营费用!I7*'G.2进项增值税率-运营成本'!C6/(1+'G.2进项增值税率-运营成本'!C6)</f>
        <v>0.0792452830188679</v>
      </c>
      <c r="G8" s="9">
        <f>E.1项目运营费用!J7*'G.2进项增值税率-运营成本'!C6/(1+'G.2进项增值税率-运营成本'!C6)</f>
        <v>0.0905660377358491</v>
      </c>
      <c r="H8" s="9">
        <f>E.1项目运营费用!K7*'G.2进项增值税率-运营成本'!C6/(1+'G.2进项增值税率-运营成本'!C6)</f>
        <v>0.113207547169811</v>
      </c>
      <c r="I8" s="9">
        <f>E.1项目运营费用!L7*'G.2进项增值税率-运营成本'!C6/(1+'G.2进项增值税率-运营成本'!C6)</f>
        <v>0.113207547169811</v>
      </c>
    </row>
    <row r="9" ht="31" hidden="1" customHeight="1" spans="1:9">
      <c r="A9" s="3"/>
      <c r="B9" s="3"/>
      <c r="C9" s="3"/>
      <c r="D9" s="52"/>
      <c r="E9" s="9">
        <f>E.1项目运营费用!H8*'G.2进项增值税率-运营成本'!C7/(1+'G.2进项增值税率-运营成本'!C7)</f>
        <v>0.230088495575221</v>
      </c>
      <c r="F9" s="9">
        <f>E.1项目运营费用!I8*'G.2进项增值税率-运营成本'!C7/(1+'G.2进项增值税率-运营成本'!C7)</f>
        <v>0.161061946902655</v>
      </c>
      <c r="G9" s="9">
        <f>E.1项目运营费用!J8*'G.2进项增值税率-运营成本'!C7/(1+'G.2进项增值税率-运营成本'!C7)</f>
        <v>0.184070796460177</v>
      </c>
      <c r="H9" s="9">
        <f>E.1项目运营费用!K8*'G.2进项增值税率-运营成本'!C7/(1+'G.2进项增值税率-运营成本'!C7)</f>
        <v>0.230088495575221</v>
      </c>
      <c r="I9" s="9">
        <f>E.1项目运营费用!L8*'G.2进项增值税率-运营成本'!C7/(1+'G.2进项增值税率-运营成本'!C7)</f>
        <v>0.230088495575221</v>
      </c>
    </row>
    <row r="10" ht="31" hidden="1" customHeight="1" spans="1:9">
      <c r="A10" s="3"/>
      <c r="B10" s="3"/>
      <c r="C10" s="3"/>
      <c r="D10" s="52"/>
      <c r="E10" s="9">
        <f>E.1项目运营费用!H9*'G.2进项增值税率-运营成本'!C8/(1+'G.2进项增值税率-运营成本'!C8)</f>
        <v>0.230088495575221</v>
      </c>
      <c r="F10" s="9">
        <f>E.1项目运营费用!I9*'G.2进项增值税率-运营成本'!C8/(1+'G.2进项增值税率-运营成本'!C8)</f>
        <v>0.161061946902655</v>
      </c>
      <c r="G10" s="9">
        <f>E.1项目运营费用!J9*'G.2进项增值税率-运营成本'!C8/(1+'G.2进项增值税率-运营成本'!C8)</f>
        <v>0.184070796460177</v>
      </c>
      <c r="H10" s="9">
        <f>E.1项目运营费用!K9*'G.2进项增值税率-运营成本'!C8/(1+'G.2进项增值税率-运营成本'!C8)</f>
        <v>0.230088495575221</v>
      </c>
      <c r="I10" s="9">
        <f>E.1项目运营费用!L9*'G.2进项增值税率-运营成本'!C8/(1+'G.2进项增值税率-运营成本'!C8)</f>
        <v>0.230088495575221</v>
      </c>
    </row>
    <row r="11" ht="31" hidden="1" customHeight="1" spans="1:9">
      <c r="A11" s="3"/>
      <c r="B11" s="3"/>
      <c r="C11" s="3"/>
      <c r="D11" s="52"/>
      <c r="E11" s="9">
        <f>E.1项目运营费用!H10*'G.2进项增值税率-运营成本'!C9/(1+'G.2进项增值税率-运营成本'!C9)</f>
        <v>0.165137614678899</v>
      </c>
      <c r="F11" s="9">
        <f>E.1项目运营费用!I10*'G.2进项增值税率-运营成本'!C9/(1+'G.2进项增值税率-运营成本'!C9)</f>
        <v>0.115596330275229</v>
      </c>
      <c r="G11" s="9">
        <f>E.1项目运营费用!J10*'G.2进项增值税率-运营成本'!C9/(1+'G.2进项增值税率-运营成本'!C9)</f>
        <v>0.132110091743119</v>
      </c>
      <c r="H11" s="9">
        <f>E.1项目运营费用!K10*'G.2进项增值税率-运营成本'!C9/(1+'G.2进项增值税率-运营成本'!C9)</f>
        <v>0.165137614678899</v>
      </c>
      <c r="I11" s="9">
        <f>E.1项目运营费用!L10*'G.2进项增值税率-运营成本'!C9/(1+'G.2进项增值税率-运营成本'!C9)</f>
        <v>0.165137614678899</v>
      </c>
    </row>
    <row r="12" ht="31" hidden="1" customHeight="1" spans="1:9">
      <c r="A12" s="3"/>
      <c r="B12" s="3"/>
      <c r="C12" s="3"/>
      <c r="D12" s="52"/>
      <c r="E12" s="9">
        <f>E.1项目运营费用!H11*'G.2进项增值税率-运营成本'!C10/(1+'G.2进项增值税率-运营成本'!C10)</f>
        <v>0.165137614678899</v>
      </c>
      <c r="F12" s="9">
        <f>E.1项目运营费用!I11*'G.2进项增值税率-运营成本'!C10/(1+'G.2进项增值税率-运营成本'!C10)</f>
        <v>0.115596330275229</v>
      </c>
      <c r="G12" s="9">
        <f>E.1项目运营费用!J11*'G.2进项增值税率-运营成本'!C10/(1+'G.2进项增值税率-运营成本'!C10)</f>
        <v>0.132110091743119</v>
      </c>
      <c r="H12" s="9">
        <f>E.1项目运营费用!K11*'G.2进项增值税率-运营成本'!C10/(1+'G.2进项增值税率-运营成本'!C10)</f>
        <v>0.165137614678899</v>
      </c>
      <c r="I12" s="9">
        <f>E.1项目运营费用!L11*'G.2进项增值税率-运营成本'!C10/(1+'G.2进项增值税率-运营成本'!C10)</f>
        <v>0.165137614678899</v>
      </c>
    </row>
    <row r="13" ht="31" hidden="1" customHeight="1" spans="1:9">
      <c r="A13" s="3"/>
      <c r="B13" s="3"/>
      <c r="C13" s="3"/>
      <c r="D13" s="52"/>
      <c r="E13" s="9">
        <f>E.1项目运营费用!H12*'G.2进项增值税率-运营成本'!C11/(1+'G.2进项增值税率-运营成本'!C11)</f>
        <v>0.230088495575221</v>
      </c>
      <c r="F13" s="9">
        <f>E.1项目运营费用!I12*'G.2进项增值税率-运营成本'!C11/(1+'G.2进项增值税率-运营成本'!C11)</f>
        <v>0.161061946902655</v>
      </c>
      <c r="G13" s="9">
        <f>E.1项目运营费用!J12*'G.2进项增值税率-运营成本'!C11/(1+'G.2进项增值税率-运营成本'!C11)</f>
        <v>0.184070796460177</v>
      </c>
      <c r="H13" s="9">
        <f>E.1项目运营费用!K12*'G.2进项增值税率-运营成本'!C11/(1+'G.2进项增值税率-运营成本'!C11)</f>
        <v>0.230088495575221</v>
      </c>
      <c r="I13" s="9">
        <f>E.1项目运营费用!L12*'G.2进项增值税率-运营成本'!C11/(1+'G.2进项增值税率-运营成本'!C11)</f>
        <v>0.230088495575221</v>
      </c>
    </row>
    <row r="14" ht="31" hidden="1" customHeight="1" spans="1:9">
      <c r="A14" s="3"/>
      <c r="B14" s="3"/>
      <c r="C14" s="3"/>
      <c r="D14" s="52"/>
      <c r="E14" s="9">
        <f>E.1项目运营费用!H13*'G.2进项增值税率-运营成本'!C12/(1+'G.2进项增值税率-运营成本'!C12)</f>
        <v>0.230088495575221</v>
      </c>
      <c r="F14" s="9">
        <f>E.1项目运营费用!I13*'G.2进项增值税率-运营成本'!C12/(1+'G.2进项增值税率-运营成本'!C12)</f>
        <v>0.161061946902655</v>
      </c>
      <c r="G14" s="9">
        <f>E.1项目运营费用!J13*'G.2进项增值税率-运营成本'!C12/(1+'G.2进项增值税率-运营成本'!C12)</f>
        <v>0.184070796460177</v>
      </c>
      <c r="H14" s="9">
        <f>E.1项目运营费用!K13*'G.2进项增值税率-运营成本'!C12/(1+'G.2进项增值税率-运营成本'!C12)</f>
        <v>0.230088495575221</v>
      </c>
      <c r="I14" s="9">
        <f>E.1项目运营费用!L13*'G.2进项增值税率-运营成本'!C12/(1+'G.2进项增值税率-运营成本'!C12)</f>
        <v>0.230088495575221</v>
      </c>
    </row>
    <row r="15" ht="31" hidden="1" customHeight="1" spans="1:9">
      <c r="A15" s="3"/>
      <c r="B15" s="3"/>
      <c r="C15" s="3"/>
      <c r="D15" s="52"/>
      <c r="E15" s="9">
        <f>E.1项目运营费用!H14*'G.2进项增值税率-运营成本'!C13/(1+'G.2进项增值税率-运营成本'!C13)</f>
        <v>0.113207547169811</v>
      </c>
      <c r="F15" s="9">
        <f>E.1项目运营费用!I14*'G.2进项增值税率-运营成本'!C13/(1+'G.2进项增值税率-运营成本'!C13)</f>
        <v>0.0792452830188679</v>
      </c>
      <c r="G15" s="9">
        <f>E.1项目运营费用!J14*'G.2进项增值税率-运营成本'!C13/(1+'G.2进项增值税率-运营成本'!C13)</f>
        <v>0.0905660377358491</v>
      </c>
      <c r="H15" s="9">
        <f>E.1项目运营费用!K14*'G.2进项增值税率-运营成本'!C13/(1+'G.2进项增值税率-运营成本'!C13)</f>
        <v>0.113207547169811</v>
      </c>
      <c r="I15" s="9">
        <f>E.1项目运营费用!L14*'G.2进项增值税率-运营成本'!C13/(1+'G.2进项增值税率-运营成本'!C13)</f>
        <v>0.113207547169811</v>
      </c>
    </row>
    <row r="16" ht="31" hidden="1" customHeight="1" spans="1:9">
      <c r="A16" s="3"/>
      <c r="B16" s="3"/>
      <c r="C16" s="3"/>
      <c r="D16" s="52"/>
      <c r="E16" s="9">
        <f>E.1项目运营费用!H15*'G.2进项增值税率-运营成本'!C14/(1+'G.2进项增值税率-运营成本'!C14)</f>
        <v>0.113207547169811</v>
      </c>
      <c r="F16" s="9">
        <f>E.1项目运营费用!I15*'G.2进项增值税率-运营成本'!C14/(1+'G.2进项增值税率-运营成本'!C14)</f>
        <v>0.0792452830188679</v>
      </c>
      <c r="G16" s="9">
        <f>E.1项目运营费用!J15*'G.2进项增值税率-运营成本'!C14/(1+'G.2进项增值税率-运营成本'!C14)</f>
        <v>0.0905660377358491</v>
      </c>
      <c r="H16" s="9">
        <f>E.1项目运营费用!K15*'G.2进项增值税率-运营成本'!C14/(1+'G.2进项增值税率-运营成本'!C14)</f>
        <v>0.113207547169811</v>
      </c>
      <c r="I16" s="9">
        <f>E.1项目运营费用!L15*'G.2进项增值税率-运营成本'!C14/(1+'G.2进项增值税率-运营成本'!C14)</f>
        <v>0.113207547169811</v>
      </c>
    </row>
    <row r="17" ht="31" hidden="1" customHeight="1" spans="1:9">
      <c r="A17" s="3"/>
      <c r="B17" s="3"/>
      <c r="C17" s="3"/>
      <c r="D17" s="52"/>
      <c r="E17" s="9">
        <f>E.1项目运营费用!H16*'G.2进项增值税率-运营成本'!C15/(1+'G.2进项增值税率-运营成本'!C15)</f>
        <v>0</v>
      </c>
      <c r="F17" s="9">
        <f>E.1项目运营费用!I16*'G.2进项增值税率-运营成本'!C15/(1+'G.2进项增值税率-运营成本'!C15)</f>
        <v>0</v>
      </c>
      <c r="G17" s="9">
        <f>E.1项目运营费用!J16*'G.2进项增值税率-运营成本'!C15/(1+'G.2进项增值税率-运营成本'!C15)</f>
        <v>0</v>
      </c>
      <c r="H17" s="9">
        <f>E.1项目运营费用!K16*'G.2进项增值税率-运营成本'!C15/(1+'G.2进项增值税率-运营成本'!C15)</f>
        <v>0</v>
      </c>
      <c r="I17" s="9">
        <f>E.1项目运营费用!L16*'G.2进项增值税率-运营成本'!C15/(1+'G.2进项增值税率-运营成本'!C15)</f>
        <v>0</v>
      </c>
    </row>
    <row r="18" ht="31" hidden="1" customHeight="1" spans="1:9">
      <c r="A18" s="3"/>
      <c r="B18" s="3"/>
      <c r="C18" s="3"/>
      <c r="D18" s="52"/>
      <c r="E18" s="9">
        <f>E.1项目运营费用!H17*'G.2进项增值税率-运营成本'!C16/(1+'G.2进项增值税率-运营成本'!C16)</f>
        <v>0.113207547169811</v>
      </c>
      <c r="F18" s="9">
        <f>E.1项目运营费用!I17*'G.2进项增值税率-运营成本'!C16/(1+'G.2进项增值税率-运营成本'!C16)</f>
        <v>0.0792452830188679</v>
      </c>
      <c r="G18" s="9">
        <f>E.1项目运营费用!J17*'G.2进项增值税率-运营成本'!C16/(1+'G.2进项增值税率-运营成本'!C16)</f>
        <v>0.0905660377358491</v>
      </c>
      <c r="H18" s="9">
        <f>E.1项目运营费用!K17*'G.2进项增值税率-运营成本'!C16/(1+'G.2进项增值税率-运营成本'!C16)</f>
        <v>0.113207547169811</v>
      </c>
      <c r="I18" s="9">
        <f>E.1项目运营费用!L17*'G.2进项增值税率-运营成本'!C16/(1+'G.2进项增值税率-运营成本'!C16)</f>
        <v>0.113207547169811</v>
      </c>
    </row>
    <row r="19" ht="31" hidden="1" customHeight="1" spans="1:9">
      <c r="A19" s="3"/>
      <c r="B19" s="3"/>
      <c r="C19" s="3"/>
      <c r="D19" s="52"/>
      <c r="E19" s="9">
        <f>E.1项目运营费用!H18*'G.2进项增值税率-运营成本'!C17/(1+'G.2进项增值税率-运营成本'!C17)</f>
        <v>0.230088495575221</v>
      </c>
      <c r="F19" s="9">
        <f>E.1项目运营费用!I18*'G.2进项增值税率-运营成本'!C17/(1+'G.2进项增值税率-运营成本'!C17)</f>
        <v>0.161061946902655</v>
      </c>
      <c r="G19" s="9">
        <f>E.1项目运营费用!J18*'G.2进项增值税率-运营成本'!C17/(1+'G.2进项增值税率-运营成本'!C17)</f>
        <v>0.184070796460177</v>
      </c>
      <c r="H19" s="9">
        <f>E.1项目运营费用!K18*'G.2进项增值税率-运营成本'!C17/(1+'G.2进项增值税率-运营成本'!C17)</f>
        <v>0.230088495575221</v>
      </c>
      <c r="I19" s="9">
        <f>E.1项目运营费用!L18*'G.2进项增值税率-运营成本'!C17/(1+'G.2进项增值税率-运营成本'!C17)</f>
        <v>0.230088495575221</v>
      </c>
    </row>
    <row r="20" ht="31" hidden="1" customHeight="1" spans="1:9">
      <c r="A20" s="3"/>
      <c r="B20" s="3"/>
      <c r="C20" s="3"/>
      <c r="D20" s="52"/>
      <c r="E20" s="9">
        <f>E.1项目运营费用!H19*'G.2进项增值税率-运营成本'!C18/(1+'G.2进项增值税率-运营成本'!C18)</f>
        <v>0</v>
      </c>
      <c r="F20" s="9">
        <f>E.1项目运营费用!I19*'G.2进项增值税率-运营成本'!C18/(1+'G.2进项增值税率-运营成本'!C18)</f>
        <v>0</v>
      </c>
      <c r="G20" s="9">
        <f>E.1项目运营费用!J19*'G.2进项增值税率-运营成本'!C18/(1+'G.2进项增值税率-运营成本'!C18)</f>
        <v>0</v>
      </c>
      <c r="H20" s="9">
        <f>E.1项目运营费用!K19*'G.2进项增值税率-运营成本'!C18/(1+'G.2进项增值税率-运营成本'!C18)</f>
        <v>0</v>
      </c>
      <c r="I20" s="9">
        <f>E.1项目运营费用!L19*'G.2进项增值税率-运营成本'!C18/(1+'G.2进项增值税率-运营成本'!C18)</f>
        <v>0</v>
      </c>
    </row>
    <row r="21" ht="31" hidden="1" customHeight="1" spans="1:9">
      <c r="A21" s="3"/>
      <c r="B21" s="3"/>
      <c r="C21" s="3"/>
      <c r="D21" s="52"/>
      <c r="E21" s="9">
        <f>E.1项目运营费用!H20*'G.2进项增值税率-运营成本'!C19/(1+'G.2进项增值税率-运营成本'!C19)</f>
        <v>0.113207547169811</v>
      </c>
      <c r="F21" s="9">
        <f>E.1项目运营费用!I20*'G.2进项增值税率-运营成本'!C19/(1+'G.2进项增值税率-运营成本'!C19)</f>
        <v>0.0792452830188679</v>
      </c>
      <c r="G21" s="9">
        <f>E.1项目运营费用!J20*'G.2进项增值税率-运营成本'!C19/(1+'G.2进项增值税率-运营成本'!C19)</f>
        <v>0.0905660377358491</v>
      </c>
      <c r="H21" s="9">
        <f>E.1项目运营费用!K20*'G.2进项增值税率-运营成本'!C19/(1+'G.2进项增值税率-运营成本'!C19)</f>
        <v>0.113207547169811</v>
      </c>
      <c r="I21" s="9">
        <f>E.1项目运营费用!L20*'G.2进项增值税率-运营成本'!C19/(1+'G.2进项增值税率-运营成本'!C19)</f>
        <v>0.113207547169811</v>
      </c>
    </row>
    <row r="22" ht="31" hidden="1" customHeight="1" spans="1:9">
      <c r="A22" s="3"/>
      <c r="B22" s="3"/>
      <c r="C22" s="3"/>
      <c r="D22" s="52"/>
      <c r="E22" s="9">
        <f>E.1项目运营费用!H21*'G.2进项增值税率-运营成本'!C20/(1+'G.2进项增值税率-运营成本'!C20)</f>
        <v>0.113207547169811</v>
      </c>
      <c r="F22" s="9">
        <f>E.1项目运营费用!I21*'G.2进项增值税率-运营成本'!C20/(1+'G.2进项增值税率-运营成本'!C20)</f>
        <v>0.0792452830188679</v>
      </c>
      <c r="G22" s="9">
        <f>E.1项目运营费用!J21*'G.2进项增值税率-运营成本'!C20/(1+'G.2进项增值税率-运营成本'!C20)</f>
        <v>0.0905660377358491</v>
      </c>
      <c r="H22" s="9">
        <f>E.1项目运营费用!K21*'G.2进项增值税率-运营成本'!C20/(1+'G.2进项增值税率-运营成本'!C20)</f>
        <v>0.113207547169811</v>
      </c>
      <c r="I22" s="9">
        <f>E.1项目运营费用!L21*'G.2进项增值税率-运营成本'!C20/(1+'G.2进项增值税率-运营成本'!C20)</f>
        <v>0.113207547169811</v>
      </c>
    </row>
    <row r="23" ht="31" hidden="1" customHeight="1" spans="1:9">
      <c r="A23" s="3"/>
      <c r="B23" s="3"/>
      <c r="C23" s="3"/>
      <c r="D23" s="52"/>
      <c r="E23" s="9">
        <f>E.1项目运营费用!H22*'G.2进项增值税率-运营成本'!C21/(1+'G.2进项增值税率-运营成本'!C21)</f>
        <v>0.113207547169811</v>
      </c>
      <c r="F23" s="9">
        <f>E.1项目运营费用!I22*'G.2进项增值税率-运营成本'!C21/(1+'G.2进项增值税率-运营成本'!C21)</f>
        <v>0.0792452830188679</v>
      </c>
      <c r="G23" s="9">
        <f>E.1项目运营费用!J22*'G.2进项增值税率-运营成本'!C21/(1+'G.2进项增值税率-运营成本'!C21)</f>
        <v>0.0905660377358491</v>
      </c>
      <c r="H23" s="9">
        <f>E.1项目运营费用!K22*'G.2进项增值税率-运营成本'!C21/(1+'G.2进项增值税率-运营成本'!C21)</f>
        <v>0.113207547169811</v>
      </c>
      <c r="I23" s="9">
        <f>E.1项目运营费用!L22*'G.2进项增值税率-运营成本'!C21/(1+'G.2进项增值税率-运营成本'!C21)</f>
        <v>0.113207547169811</v>
      </c>
    </row>
    <row r="24" ht="31" hidden="1" customHeight="1" spans="1:9">
      <c r="A24" s="3"/>
      <c r="B24" s="3"/>
      <c r="C24" s="3"/>
      <c r="D24" s="52"/>
      <c r="E24" s="9">
        <f>E.1项目运营费用!H23*'G.2进项增值税率-运营成本'!C22/(1+'G.2进项增值税率-运营成本'!C22)</f>
        <v>0</v>
      </c>
      <c r="F24" s="9">
        <f>E.1项目运营费用!I23*'G.2进项增值税率-运营成本'!C22/(1+'G.2进项增值税率-运营成本'!C22)</f>
        <v>0</v>
      </c>
      <c r="G24" s="9">
        <f>E.1项目运营费用!J23*'G.2进项增值税率-运营成本'!C22/(1+'G.2进项增值税率-运营成本'!C22)</f>
        <v>0</v>
      </c>
      <c r="H24" s="9">
        <f>E.1项目运营费用!K23*'G.2进项增值税率-运营成本'!C22/(1+'G.2进项增值税率-运营成本'!C22)</f>
        <v>0</v>
      </c>
      <c r="I24" s="9">
        <f>E.1项目运营费用!L23*'G.2进项增值税率-运营成本'!C22/(1+'G.2进项增值税率-运营成本'!C22)</f>
        <v>0</v>
      </c>
    </row>
    <row r="25" ht="31" customHeight="1" spans="1:9">
      <c r="A25" s="3">
        <v>2</v>
      </c>
      <c r="B25" s="3" t="s">
        <v>319</v>
      </c>
      <c r="C25" s="3"/>
      <c r="D25" s="51">
        <v>0</v>
      </c>
      <c r="E25" s="53">
        <f>SUM(E26:E28)</f>
        <v>107.264670244071</v>
      </c>
      <c r="F25" s="32">
        <f>SUM(F26:F28)</f>
        <v>136.145057988575</v>
      </c>
      <c r="G25" s="32">
        <f>SUM(G26:G28)</f>
        <v>105.613294097282</v>
      </c>
      <c r="H25" s="32">
        <f>SUM(H26:H28)</f>
        <v>134.446944781028</v>
      </c>
      <c r="I25" s="32">
        <f>SUM(I26:I28)</f>
        <v>136.145057988575</v>
      </c>
    </row>
    <row r="26" ht="37" hidden="1" customHeight="1" spans="1:9">
      <c r="A26" s="3"/>
      <c r="B26" s="9"/>
      <c r="C26" s="3"/>
      <c r="D26" s="51">
        <v>0</v>
      </c>
      <c r="E26" s="3">
        <f>F项目收入!E3*G.3销项增值税率!C3/(1+G.3销项增值税率!C3)</f>
        <v>11.5596330275229</v>
      </c>
      <c r="F26" s="3">
        <f>F项目收入!F3*G.3销项增值税率!C3/(1+G.3销项增值税率!C3)</f>
        <v>16.5137614678899</v>
      </c>
      <c r="G26" s="3">
        <f>F项目收入!G3*G.3销项增值税率!C3/(1+G.3销项增值税率!C3)</f>
        <v>13.2110091743119</v>
      </c>
      <c r="H26" s="3">
        <f>F项目收入!H3*G.3销项增值税率!C3/(1+G.3销项增值税率!C3)</f>
        <v>16.5137614678899</v>
      </c>
      <c r="I26" s="3">
        <f>F项目收入!I3*G.3销项增值税率!C3/(1+G.3销项增值税率!C3)</f>
        <v>16.5137614678899</v>
      </c>
    </row>
    <row r="27" ht="37" hidden="1" customHeight="1" spans="1:9">
      <c r="A27" s="3"/>
      <c r="B27" s="9"/>
      <c r="C27" s="3"/>
      <c r="D27" s="51">
        <v>0</v>
      </c>
      <c r="E27" s="3">
        <f>F项目收入!E5*G.3销项增值税率!C4/(1+G.3销项增值税率!C4)</f>
        <v>26.4220183486238</v>
      </c>
      <c r="F27" s="3">
        <f>F项目收入!F5*G.3销项增值税率!C4/(1+G.3销项增值税率!C4)</f>
        <v>33.0275229357798</v>
      </c>
      <c r="G27" s="3">
        <f>F项目收入!G5*G.3销项增值税率!C4/(1+G.3销项增值税率!C4)</f>
        <v>23.1192660550459</v>
      </c>
      <c r="H27" s="3">
        <f>F项目收入!H5*G.3销项增值税率!C4/(1+G.3销项增值税率!C4)</f>
        <v>33.0275229357798</v>
      </c>
      <c r="I27" s="3">
        <f>F项目收入!I5*G.3销项增值税率!C4/(1+G.3销项增值税率!C4)</f>
        <v>33.0275229357798</v>
      </c>
    </row>
    <row r="28" ht="37" hidden="1" customHeight="1" spans="1:9">
      <c r="A28" s="3"/>
      <c r="B28" s="9"/>
      <c r="C28" s="3"/>
      <c r="D28" s="51">
        <v>0</v>
      </c>
      <c r="E28" s="3">
        <f>F项目收入!E7*G.3销项增值税率!C5/(1+G.3销项增值税率!C5)</f>
        <v>69.2830188679245</v>
      </c>
      <c r="F28" s="3">
        <f>F项目收入!F7*G.3销项增值税率!C5/(1+G.3销项增值税率!C5)</f>
        <v>86.6037735849057</v>
      </c>
      <c r="G28" s="3">
        <f>F项目收入!G7*G.3销项增值税率!C5/(1+G.3销项增值税率!C5)</f>
        <v>69.2830188679245</v>
      </c>
      <c r="H28" s="3">
        <f>F项目收入!H7*G.3销项增值税率!C5/(1+G.3销项增值税率!C5)</f>
        <v>84.9056603773585</v>
      </c>
      <c r="I28" s="3">
        <f>F项目收入!I7*G.3销项增值税率!C5/(1+G.3销项增值税率!C5)</f>
        <v>86.6037735849057</v>
      </c>
    </row>
    <row r="29" ht="32" customHeight="1" spans="1:9">
      <c r="A29" s="3">
        <v>3</v>
      </c>
      <c r="B29" s="9" t="s">
        <v>320</v>
      </c>
      <c r="C29" s="3"/>
      <c r="D29" s="51">
        <v>0</v>
      </c>
      <c r="E29" s="32">
        <f>MAX(E25-E4-E3,0)</f>
        <v>47.4199469976302</v>
      </c>
      <c r="F29" s="32">
        <f>MAX(F25-F4-F3,0)</f>
        <v>134.279751716067</v>
      </c>
      <c r="G29" s="32">
        <f>MAX(G25-G4-G3,0)</f>
        <v>103.481515500129</v>
      </c>
      <c r="H29" s="32">
        <f>MAX(H25-H4-H3,0)</f>
        <v>131.782221534587</v>
      </c>
      <c r="I29" s="32">
        <f>MAX(I25-I4-I3,0)</f>
        <v>133.480334742134</v>
      </c>
    </row>
    <row r="30" ht="36" customHeight="1" spans="1:9">
      <c r="A30" s="3">
        <v>4</v>
      </c>
      <c r="B30" s="9" t="s">
        <v>321</v>
      </c>
      <c r="C30" s="3"/>
      <c r="D30" s="51">
        <v>0</v>
      </c>
      <c r="E30" s="32">
        <f>E29*(A财务假设!D6+A财务假设!D7+A财务假设!D8)</f>
        <v>5.69039363971563</v>
      </c>
      <c r="F30" s="32">
        <f>F29*(A财务假设!D6+A财务假设!D7+A财务假设!D8)</f>
        <v>16.113570205928</v>
      </c>
      <c r="G30" s="32">
        <f>G29*(A财务假设!D6+A财务假设!D7+A财务假设!D8)</f>
        <v>12.4177818600155</v>
      </c>
      <c r="H30" s="32">
        <f>H29*(A财务假设!D6+A财务假设!D7+A财务假设!D8)</f>
        <v>15.8138665841505</v>
      </c>
      <c r="I30" s="32">
        <f>I29*(A财务假设!D6+A财务假设!D7+A财务假设!D8)</f>
        <v>16.0176401690561</v>
      </c>
    </row>
    <row r="31" ht="34" customHeight="1" spans="1:9">
      <c r="A31" s="3"/>
      <c r="B31" s="3" t="s">
        <v>130</v>
      </c>
      <c r="C31" s="3"/>
      <c r="D31" s="51">
        <v>0</v>
      </c>
      <c r="E31" s="32">
        <f>E30+E29</f>
        <v>53.1103406373458</v>
      </c>
      <c r="F31" s="32">
        <f>F30+F29</f>
        <v>150.393321921995</v>
      </c>
      <c r="G31" s="32">
        <f>G30+G29</f>
        <v>115.899297360145</v>
      </c>
      <c r="H31" s="32">
        <f>H30+H29</f>
        <v>147.596088118738</v>
      </c>
      <c r="I31" s="32">
        <f>I30+I29</f>
        <v>149.49797491119</v>
      </c>
    </row>
  </sheetData>
  <mergeCells count="1">
    <mergeCell ref="A1:I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FF00"/>
  </sheetPr>
  <dimension ref="A1:F21"/>
  <sheetViews>
    <sheetView zoomScale="70" zoomScaleNormal="70" workbookViewId="0">
      <selection activeCell="K9" sqref="K9"/>
    </sheetView>
  </sheetViews>
  <sheetFormatPr defaultColWidth="8.88888888888889" defaultRowHeight="28" customHeight="1" outlineLevelCol="5"/>
  <cols>
    <col min="1" max="1" width="8.88888888888889" style="21"/>
    <col min="2" max="2" width="17.6666666666667" style="21" customWidth="1"/>
    <col min="3" max="3" width="37.5555555555556" style="21" customWidth="1"/>
    <col min="4" max="4" width="15.1111111111111" style="21" customWidth="1"/>
    <col min="5" max="5" width="8.88888888888889" style="21"/>
    <col min="6" max="6" width="14.8888888888889" style="21" customWidth="1"/>
    <col min="7" max="16384" width="8.88888888888889" style="21"/>
  </cols>
  <sheetData>
    <row r="1" customHeight="1" spans="1:6">
      <c r="A1" s="44" t="s">
        <v>322</v>
      </c>
      <c r="B1" s="45"/>
      <c r="C1" s="45"/>
      <c r="D1" s="45"/>
      <c r="E1" s="45"/>
      <c r="F1" s="46"/>
    </row>
    <row r="2" customHeight="1" spans="1:6">
      <c r="A2" s="2" t="s">
        <v>1</v>
      </c>
      <c r="B2" s="2" t="s">
        <v>101</v>
      </c>
      <c r="C2" s="2" t="s">
        <v>102</v>
      </c>
      <c r="D2" s="2" t="s">
        <v>103</v>
      </c>
      <c r="E2" s="2" t="s">
        <v>288</v>
      </c>
      <c r="F2" s="2" t="s">
        <v>323</v>
      </c>
    </row>
    <row r="3" customHeight="1" spans="1:6">
      <c r="A3" s="3" t="s">
        <v>104</v>
      </c>
      <c r="B3" s="3" t="s">
        <v>105</v>
      </c>
      <c r="C3" s="3"/>
      <c r="D3" s="4">
        <f>D.1建设投资!D3</f>
        <v>498</v>
      </c>
      <c r="E3" s="3" t="s">
        <v>98</v>
      </c>
      <c r="F3" s="4">
        <f>F4+F8</f>
        <v>55.74</v>
      </c>
    </row>
    <row r="4" customHeight="1" spans="1:6">
      <c r="A4" s="3">
        <v>1</v>
      </c>
      <c r="B4" s="3" t="s">
        <v>324</v>
      </c>
      <c r="C4" s="3"/>
      <c r="D4" s="4">
        <f>D.1建设投资!D4</f>
        <v>474</v>
      </c>
      <c r="E4" s="3" t="s">
        <v>98</v>
      </c>
      <c r="F4" s="4">
        <f>SUM(F5:F7)</f>
        <v>53.46</v>
      </c>
    </row>
    <row r="5" ht="113" customHeight="1" spans="1:6">
      <c r="A5" s="3">
        <v>1.1</v>
      </c>
      <c r="B5" s="3" t="s">
        <v>107</v>
      </c>
      <c r="C5" s="47" t="s">
        <v>108</v>
      </c>
      <c r="D5" s="4">
        <f>D.1建设投资!D5</f>
        <v>165</v>
      </c>
      <c r="E5" s="39">
        <v>0.09</v>
      </c>
      <c r="F5" s="48">
        <f>D5*E5</f>
        <v>14.85</v>
      </c>
    </row>
    <row r="6" customHeight="1" spans="1:6">
      <c r="A6" s="3">
        <v>1.2</v>
      </c>
      <c r="B6" s="3" t="s">
        <v>109</v>
      </c>
      <c r="C6" s="3"/>
      <c r="D6" s="4">
        <f>D.1建设投资!D6</f>
        <v>270</v>
      </c>
      <c r="E6" s="39">
        <v>0.13</v>
      </c>
      <c r="F6" s="4">
        <f>D6*E6</f>
        <v>35.1</v>
      </c>
    </row>
    <row r="7" ht="64" customHeight="1" spans="1:6">
      <c r="A7" s="3">
        <v>1.3</v>
      </c>
      <c r="B7" s="3" t="s">
        <v>110</v>
      </c>
      <c r="C7" s="47" t="s">
        <v>111</v>
      </c>
      <c r="D7" s="4">
        <f>D.1建设投资!D7</f>
        <v>39</v>
      </c>
      <c r="E7" s="39">
        <v>0.09</v>
      </c>
      <c r="F7" s="4">
        <f>D7*E7</f>
        <v>3.51</v>
      </c>
    </row>
    <row r="8" customHeight="1" spans="1:6">
      <c r="A8" s="3">
        <v>2</v>
      </c>
      <c r="B8" s="3" t="s">
        <v>112</v>
      </c>
      <c r="C8" s="3"/>
      <c r="D8" s="4">
        <f>D.1建设投资!D8</f>
        <v>24</v>
      </c>
      <c r="E8" s="3" t="s">
        <v>98</v>
      </c>
      <c r="F8" s="4">
        <f>SUM(F9:F12)</f>
        <v>2.28</v>
      </c>
    </row>
    <row r="9" customHeight="1" spans="1:6">
      <c r="A9" s="3">
        <v>2.1</v>
      </c>
      <c r="B9" s="3" t="s">
        <v>113</v>
      </c>
      <c r="C9" s="3" t="s">
        <v>165</v>
      </c>
      <c r="D9" s="4">
        <f>D.1建设投资!D9</f>
        <v>6</v>
      </c>
      <c r="E9" s="39">
        <v>0.13</v>
      </c>
      <c r="F9" s="4">
        <f>D9*E9</f>
        <v>0.78</v>
      </c>
    </row>
    <row r="10" customHeight="1" spans="1:6">
      <c r="A10" s="3">
        <v>2.2</v>
      </c>
      <c r="B10" s="3" t="s">
        <v>114</v>
      </c>
      <c r="C10" s="3"/>
      <c r="D10" s="4">
        <f>D.1建设投资!D10</f>
        <v>6</v>
      </c>
      <c r="E10" s="39">
        <v>0.06</v>
      </c>
      <c r="F10" s="4">
        <f>D10*E10</f>
        <v>0.36</v>
      </c>
    </row>
    <row r="11" customHeight="1" spans="1:6">
      <c r="A11" s="3">
        <v>2.3</v>
      </c>
      <c r="B11" s="3" t="s">
        <v>115</v>
      </c>
      <c r="C11" s="3"/>
      <c r="D11" s="4">
        <f>D.1建设投资!D11</f>
        <v>6</v>
      </c>
      <c r="E11" s="39">
        <v>0.13</v>
      </c>
      <c r="F11" s="4">
        <f>D11*E11</f>
        <v>0.78</v>
      </c>
    </row>
    <row r="12" customHeight="1" spans="1:6">
      <c r="A12" s="3">
        <v>2.4</v>
      </c>
      <c r="B12" s="3" t="s">
        <v>116</v>
      </c>
      <c r="C12" s="3"/>
      <c r="D12" s="4">
        <f>D.1建设投资!D12</f>
        <v>6</v>
      </c>
      <c r="E12" s="39">
        <v>0.06</v>
      </c>
      <c r="F12" s="4">
        <f>D12*E12</f>
        <v>0.36</v>
      </c>
    </row>
    <row r="13" customHeight="1" spans="1:6">
      <c r="A13" s="3" t="s">
        <v>117</v>
      </c>
      <c r="B13" s="3" t="s">
        <v>118</v>
      </c>
      <c r="C13" s="3"/>
      <c r="D13" s="4">
        <f>SUM(D14:D18)</f>
        <v>24</v>
      </c>
      <c r="E13" s="3" t="s">
        <v>98</v>
      </c>
      <c r="F13" s="4">
        <f>SUM(F14:F18)</f>
        <v>1.44</v>
      </c>
    </row>
    <row r="14" customHeight="1" spans="1:6">
      <c r="A14" s="3">
        <v>1</v>
      </c>
      <c r="B14" s="3" t="s">
        <v>119</v>
      </c>
      <c r="C14" s="3"/>
      <c r="D14" s="4">
        <f>D.1建设投资!D14</f>
        <v>6</v>
      </c>
      <c r="E14" s="39">
        <v>0.06</v>
      </c>
      <c r="F14" s="4">
        <f>D14*E14</f>
        <v>0.36</v>
      </c>
    </row>
    <row r="15" customHeight="1" spans="1:6">
      <c r="A15" s="3">
        <v>2</v>
      </c>
      <c r="B15" s="3" t="s">
        <v>120</v>
      </c>
      <c r="C15" s="3"/>
      <c r="D15" s="4">
        <f>D.1建设投资!D15</f>
        <v>6</v>
      </c>
      <c r="E15" s="39">
        <v>0.06</v>
      </c>
      <c r="F15" s="4">
        <f>D15*E15</f>
        <v>0.36</v>
      </c>
    </row>
    <row r="16" customHeight="1" spans="1:6">
      <c r="A16" s="3">
        <v>3</v>
      </c>
      <c r="B16" s="3" t="s">
        <v>121</v>
      </c>
      <c r="C16" s="3"/>
      <c r="D16" s="4">
        <f>D.1建设投资!D16</f>
        <v>6</v>
      </c>
      <c r="E16" s="39">
        <v>0.06</v>
      </c>
      <c r="F16" s="4">
        <f>D16*E16</f>
        <v>0.36</v>
      </c>
    </row>
    <row r="17" customHeight="1" spans="1:6">
      <c r="A17" s="3">
        <v>4</v>
      </c>
      <c r="B17" s="3" t="s">
        <v>122</v>
      </c>
      <c r="C17" s="3"/>
      <c r="D17" s="4">
        <f>D.1建设投资!D17</f>
        <v>6</v>
      </c>
      <c r="E17" s="39">
        <v>0.06</v>
      </c>
      <c r="F17" s="4">
        <f>D17*E17</f>
        <v>0.36</v>
      </c>
    </row>
    <row r="18" customHeight="1" spans="1:6">
      <c r="A18" s="3">
        <v>5</v>
      </c>
      <c r="B18" s="3" t="s">
        <v>52</v>
      </c>
      <c r="C18" s="3"/>
      <c r="D18" s="4">
        <f>D.1建设投资!D19</f>
        <v>0</v>
      </c>
      <c r="E18" s="39">
        <v>0.06</v>
      </c>
      <c r="F18" s="4">
        <f>D18*E18</f>
        <v>0</v>
      </c>
    </row>
    <row r="19" customHeight="1" spans="1:6">
      <c r="A19" s="3" t="s">
        <v>124</v>
      </c>
      <c r="B19" s="3" t="s">
        <v>125</v>
      </c>
      <c r="C19" s="3"/>
      <c r="D19" s="4">
        <f>D20</f>
        <v>6</v>
      </c>
      <c r="E19" s="3" t="s">
        <v>98</v>
      </c>
      <c r="F19" s="4">
        <f>F20</f>
        <v>0</v>
      </c>
    </row>
    <row r="20" customHeight="1" spans="1:6">
      <c r="A20" s="3">
        <v>1</v>
      </c>
      <c r="B20" s="3" t="s">
        <v>126</v>
      </c>
      <c r="C20" s="3"/>
      <c r="D20" s="4">
        <f>D.1建设投资!D21</f>
        <v>6</v>
      </c>
      <c r="E20" s="39">
        <v>0</v>
      </c>
      <c r="F20" s="4">
        <f>D20*E20</f>
        <v>0</v>
      </c>
    </row>
    <row r="21" customHeight="1" spans="1:6">
      <c r="A21" s="3"/>
      <c r="B21" s="3" t="s">
        <v>325</v>
      </c>
      <c r="C21" s="3"/>
      <c r="D21" s="3"/>
      <c r="E21" s="3"/>
      <c r="F21" s="4">
        <f>F3+F13+F19</f>
        <v>57.18</v>
      </c>
    </row>
  </sheetData>
  <mergeCells count="2">
    <mergeCell ref="A1:F1"/>
    <mergeCell ref="B21:C2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rgb="FFFFFF00"/>
  </sheetPr>
  <dimension ref="A1:D22"/>
  <sheetViews>
    <sheetView zoomScale="70" zoomScaleNormal="70" workbookViewId="0">
      <selection activeCell="F10" sqref="F10"/>
    </sheetView>
  </sheetViews>
  <sheetFormatPr defaultColWidth="8.88888888888889" defaultRowHeight="28" customHeight="1" outlineLevelCol="3"/>
  <cols>
    <col min="2" max="2" width="24.3333333333333" customWidth="1"/>
    <col min="3" max="3" width="20.3148148148148" customWidth="1"/>
    <col min="4" max="4" width="14.287037037037" customWidth="1"/>
  </cols>
  <sheetData>
    <row r="1" ht="57" customHeight="1" spans="1:3">
      <c r="A1" s="40" t="s">
        <v>326</v>
      </c>
      <c r="B1" s="41"/>
      <c r="C1" s="42"/>
    </row>
    <row r="2" customHeight="1" spans="1:3">
      <c r="A2" s="2" t="s">
        <v>1</v>
      </c>
      <c r="B2" s="2" t="s">
        <v>129</v>
      </c>
      <c r="C2" s="2" t="s">
        <v>288</v>
      </c>
    </row>
    <row r="3" customHeight="1" spans="1:3">
      <c r="A3" s="3">
        <v>1</v>
      </c>
      <c r="B3" s="3" t="s">
        <v>218</v>
      </c>
      <c r="C3" s="39">
        <v>0.09</v>
      </c>
    </row>
    <row r="4" ht="58" customHeight="1" spans="1:3">
      <c r="A4" s="3">
        <v>2</v>
      </c>
      <c r="B4" s="9" t="s">
        <v>221</v>
      </c>
      <c r="C4" s="39">
        <v>0.06</v>
      </c>
    </row>
    <row r="5" customHeight="1" spans="1:3">
      <c r="A5" s="3">
        <v>3</v>
      </c>
      <c r="B5" s="3" t="s">
        <v>223</v>
      </c>
      <c r="C5" s="39">
        <v>0.06</v>
      </c>
    </row>
    <row r="6" customHeight="1" spans="1:3">
      <c r="A6" s="3">
        <v>4</v>
      </c>
      <c r="B6" s="3" t="s">
        <v>225</v>
      </c>
      <c r="C6" s="39">
        <v>0.06</v>
      </c>
    </row>
    <row r="7" customHeight="1" spans="1:3">
      <c r="A7" s="3">
        <v>5</v>
      </c>
      <c r="B7" s="3" t="s">
        <v>228</v>
      </c>
      <c r="C7" s="39">
        <v>0.13</v>
      </c>
    </row>
    <row r="8" customHeight="1" spans="1:3">
      <c r="A8" s="3">
        <v>6</v>
      </c>
      <c r="B8" s="3" t="s">
        <v>230</v>
      </c>
      <c r="C8" s="39">
        <v>0.13</v>
      </c>
    </row>
    <row r="9" customHeight="1" spans="1:3">
      <c r="A9" s="3">
        <v>7</v>
      </c>
      <c r="B9" s="3" t="s">
        <v>235</v>
      </c>
      <c r="C9" s="39">
        <v>0.09</v>
      </c>
    </row>
    <row r="10" customHeight="1" spans="1:4">
      <c r="A10" s="3">
        <v>8</v>
      </c>
      <c r="B10" s="21" t="s">
        <v>232</v>
      </c>
      <c r="C10" s="39">
        <v>0.09</v>
      </c>
      <c r="D10" s="43" t="s">
        <v>327</v>
      </c>
    </row>
    <row r="11" customHeight="1" spans="1:3">
      <c r="A11" s="3">
        <v>9</v>
      </c>
      <c r="B11" s="3" t="s">
        <v>238</v>
      </c>
      <c r="C11" s="39">
        <v>0.13</v>
      </c>
    </row>
    <row r="12" customHeight="1" spans="1:3">
      <c r="A12" s="3">
        <v>10</v>
      </c>
      <c r="B12" s="3" t="s">
        <v>240</v>
      </c>
      <c r="C12" s="39">
        <v>0.13</v>
      </c>
    </row>
    <row r="13" customHeight="1" spans="1:3">
      <c r="A13" s="3">
        <v>11</v>
      </c>
      <c r="B13" s="3" t="s">
        <v>243</v>
      </c>
      <c r="C13" s="39">
        <v>0.06</v>
      </c>
    </row>
    <row r="14" customHeight="1" spans="1:3">
      <c r="A14" s="3">
        <v>12</v>
      </c>
      <c r="B14" s="3" t="s">
        <v>246</v>
      </c>
      <c r="C14" s="39">
        <v>0.06</v>
      </c>
    </row>
    <row r="15" customHeight="1" spans="1:3">
      <c r="A15" s="3">
        <v>13</v>
      </c>
      <c r="B15" s="3" t="s">
        <v>249</v>
      </c>
      <c r="C15" s="39">
        <v>0</v>
      </c>
    </row>
    <row r="16" customHeight="1" spans="1:3">
      <c r="A16" s="3">
        <v>14</v>
      </c>
      <c r="B16" s="3" t="s">
        <v>251</v>
      </c>
      <c r="C16" s="39">
        <v>0.06</v>
      </c>
    </row>
    <row r="17" customHeight="1" spans="1:3">
      <c r="A17" s="3">
        <v>15</v>
      </c>
      <c r="B17" s="3" t="s">
        <v>253</v>
      </c>
      <c r="C17" s="39">
        <v>0.13</v>
      </c>
    </row>
    <row r="18" customHeight="1" spans="1:3">
      <c r="A18" s="3">
        <v>16</v>
      </c>
      <c r="B18" s="3" t="s">
        <v>256</v>
      </c>
      <c r="C18" s="39">
        <v>0</v>
      </c>
    </row>
    <row r="19" customHeight="1" spans="1:3">
      <c r="A19" s="3">
        <v>17</v>
      </c>
      <c r="B19" s="3" t="s">
        <v>258</v>
      </c>
      <c r="C19" s="39">
        <v>0.06</v>
      </c>
    </row>
    <row r="20" customHeight="1" spans="1:3">
      <c r="A20" s="3">
        <v>18</v>
      </c>
      <c r="B20" s="3" t="s">
        <v>260</v>
      </c>
      <c r="C20" s="39">
        <v>0.06</v>
      </c>
    </row>
    <row r="21" customHeight="1" spans="1:3">
      <c r="A21" s="3">
        <v>19</v>
      </c>
      <c r="B21" s="3" t="s">
        <v>263</v>
      </c>
      <c r="C21" s="39">
        <v>0.06</v>
      </c>
    </row>
    <row r="22" customHeight="1" spans="1:3">
      <c r="A22" s="3">
        <v>20</v>
      </c>
      <c r="B22" s="3" t="s">
        <v>265</v>
      </c>
      <c r="C22" s="39">
        <v>0</v>
      </c>
    </row>
  </sheetData>
  <mergeCells count="1">
    <mergeCell ref="A1:C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rgb="FFFFFF00"/>
  </sheetPr>
  <dimension ref="A1:C12"/>
  <sheetViews>
    <sheetView workbookViewId="0">
      <selection activeCell="E5" sqref="E5"/>
    </sheetView>
  </sheetViews>
  <sheetFormatPr defaultColWidth="8.88888888888889" defaultRowHeight="28" customHeight="1" outlineLevelCol="2"/>
  <cols>
    <col min="2" max="2" width="27.4444444444444" customWidth="1"/>
    <col min="3" max="3" width="14.7777777777778" customWidth="1"/>
  </cols>
  <sheetData>
    <row r="1" ht="40" customHeight="1" spans="1:3">
      <c r="A1" s="38" t="s">
        <v>328</v>
      </c>
      <c r="B1" s="1"/>
      <c r="C1" s="1"/>
    </row>
    <row r="2" customHeight="1" spans="1:3">
      <c r="A2" s="2" t="s">
        <v>1</v>
      </c>
      <c r="B2" s="2" t="s">
        <v>291</v>
      </c>
      <c r="C2" s="2" t="s">
        <v>288</v>
      </c>
    </row>
    <row r="3" customHeight="1" spans="1:3">
      <c r="A3" s="3">
        <v>1</v>
      </c>
      <c r="B3" s="3" t="s">
        <v>297</v>
      </c>
      <c r="C3" s="39">
        <v>0.09</v>
      </c>
    </row>
    <row r="4" customHeight="1" spans="1:3">
      <c r="A4" s="3">
        <v>2</v>
      </c>
      <c r="B4" s="3" t="s">
        <v>300</v>
      </c>
      <c r="C4" s="39">
        <v>0.09</v>
      </c>
    </row>
    <row r="5" customHeight="1" spans="1:3">
      <c r="A5" s="3">
        <v>3</v>
      </c>
      <c r="B5" s="3" t="s">
        <v>301</v>
      </c>
      <c r="C5" s="39">
        <v>0.06</v>
      </c>
    </row>
    <row r="6" customHeight="1" spans="1:3">
      <c r="A6" s="3">
        <v>4</v>
      </c>
      <c r="B6" s="3" t="s">
        <v>329</v>
      </c>
      <c r="C6" s="39">
        <v>0.06</v>
      </c>
    </row>
    <row r="7" customHeight="1" spans="1:3">
      <c r="A7" s="3">
        <v>5</v>
      </c>
      <c r="B7" s="3" t="s">
        <v>330</v>
      </c>
      <c r="C7" s="39">
        <v>0.06</v>
      </c>
    </row>
    <row r="8" customHeight="1" spans="1:3">
      <c r="A8" s="3">
        <v>6</v>
      </c>
      <c r="B8" s="3" t="s">
        <v>331</v>
      </c>
      <c r="C8" s="39">
        <v>0.06</v>
      </c>
    </row>
    <row r="9" customHeight="1" spans="1:3">
      <c r="A9" s="3">
        <v>7</v>
      </c>
      <c r="B9" s="3" t="s">
        <v>332</v>
      </c>
      <c r="C9" s="39">
        <v>0.06</v>
      </c>
    </row>
    <row r="10" customHeight="1" spans="1:3">
      <c r="A10" s="3">
        <v>8</v>
      </c>
      <c r="B10" s="3" t="s">
        <v>333</v>
      </c>
      <c r="C10" s="39">
        <v>0.06</v>
      </c>
    </row>
    <row r="11" customHeight="1" spans="1:3">
      <c r="A11" s="3">
        <v>9</v>
      </c>
      <c r="B11" s="3" t="s">
        <v>334</v>
      </c>
      <c r="C11" s="39">
        <v>0.06</v>
      </c>
    </row>
    <row r="12" customHeight="1" spans="1:3">
      <c r="A12" s="3">
        <v>10</v>
      </c>
      <c r="B12" s="3" t="s">
        <v>335</v>
      </c>
      <c r="C12" s="39">
        <v>0.06</v>
      </c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1:D21"/>
  <sheetViews>
    <sheetView zoomScale="70" zoomScaleNormal="70" workbookViewId="0">
      <selection activeCell="J12" sqref="J12"/>
    </sheetView>
  </sheetViews>
  <sheetFormatPr defaultColWidth="8.88888888888889" defaultRowHeight="28" customHeight="1" outlineLevelCol="3"/>
  <cols>
    <col min="2" max="2" width="22.6666666666667" customWidth="1"/>
    <col min="3" max="3" width="58.4722222222222" customWidth="1"/>
    <col min="4" max="4" width="17.1111111111111" customWidth="1"/>
  </cols>
  <sheetData>
    <row r="1" customHeight="1" spans="1:4">
      <c r="A1" s="31" t="s">
        <v>35</v>
      </c>
      <c r="B1" s="31"/>
      <c r="C1" s="31"/>
      <c r="D1" s="31"/>
    </row>
    <row r="2" customHeight="1" spans="1:4">
      <c r="A2" s="87" t="s">
        <v>1</v>
      </c>
      <c r="B2" s="87" t="s">
        <v>2</v>
      </c>
      <c r="C2" s="87" t="s">
        <v>3</v>
      </c>
      <c r="D2" s="87" t="s">
        <v>4</v>
      </c>
    </row>
    <row r="3" customHeight="1" spans="1:4">
      <c r="A3" s="22">
        <v>1</v>
      </c>
      <c r="B3" s="22" t="s">
        <v>36</v>
      </c>
      <c r="C3" s="22"/>
      <c r="D3" s="22"/>
    </row>
    <row r="4" customHeight="1" spans="1:4">
      <c r="A4" s="3">
        <v>1.1</v>
      </c>
      <c r="B4" s="3" t="s">
        <v>37</v>
      </c>
      <c r="C4" s="3"/>
      <c r="D4" s="85">
        <v>45870</v>
      </c>
    </row>
    <row r="5" customHeight="1" spans="1:4">
      <c r="A5" s="3">
        <v>1.2</v>
      </c>
      <c r="B5" s="3" t="s">
        <v>38</v>
      </c>
      <c r="C5" s="3"/>
      <c r="D5" s="85">
        <v>46235</v>
      </c>
    </row>
    <row r="6" customHeight="1" spans="1:4">
      <c r="A6" s="3">
        <v>1.3</v>
      </c>
      <c r="B6" s="3" t="s">
        <v>39</v>
      </c>
      <c r="C6" s="32" t="s">
        <v>40</v>
      </c>
      <c r="D6" s="54" t="s">
        <v>41</v>
      </c>
    </row>
    <row r="7" customHeight="1" spans="1:4">
      <c r="A7" s="3">
        <v>1.4</v>
      </c>
      <c r="B7" s="3" t="s">
        <v>42</v>
      </c>
      <c r="C7" s="3" t="s">
        <v>43</v>
      </c>
      <c r="D7" s="85">
        <v>46266</v>
      </c>
    </row>
    <row r="8" customHeight="1" spans="1:4">
      <c r="A8" s="3">
        <v>1.5</v>
      </c>
      <c r="B8" s="3" t="s">
        <v>44</v>
      </c>
      <c r="C8" s="3" t="s">
        <v>45</v>
      </c>
      <c r="D8" s="43" t="s">
        <v>46</v>
      </c>
    </row>
    <row r="9" customHeight="1" spans="1:4">
      <c r="A9" s="22">
        <v>2</v>
      </c>
      <c r="B9" s="22" t="s">
        <v>47</v>
      </c>
      <c r="C9" s="22"/>
      <c r="D9" s="88"/>
    </row>
    <row r="10" customHeight="1" spans="1:4">
      <c r="A10" s="3">
        <v>2.1</v>
      </c>
      <c r="B10" s="3" t="s">
        <v>37</v>
      </c>
      <c r="C10" s="3"/>
      <c r="D10" s="85">
        <v>46266</v>
      </c>
    </row>
    <row r="11" customHeight="1" spans="1:4">
      <c r="A11" s="3">
        <v>2.2</v>
      </c>
      <c r="B11" s="3" t="s">
        <v>38</v>
      </c>
      <c r="C11" s="3"/>
      <c r="D11" s="85">
        <v>46722</v>
      </c>
    </row>
    <row r="12" customHeight="1" spans="1:4">
      <c r="A12" s="3">
        <v>2.3</v>
      </c>
      <c r="B12" s="3" t="s">
        <v>39</v>
      </c>
      <c r="C12" s="3" t="s">
        <v>40</v>
      </c>
      <c r="D12" s="43" t="s">
        <v>48</v>
      </c>
    </row>
    <row r="13" customHeight="1" spans="1:4">
      <c r="A13" s="3">
        <v>2.4</v>
      </c>
      <c r="B13" s="3" t="s">
        <v>42</v>
      </c>
      <c r="C13" s="3" t="s">
        <v>43</v>
      </c>
      <c r="D13" s="85">
        <v>46753</v>
      </c>
    </row>
    <row r="14" customHeight="1" spans="1:4">
      <c r="A14" s="3">
        <v>2.5</v>
      </c>
      <c r="B14" s="3" t="s">
        <v>44</v>
      </c>
      <c r="C14" s="3" t="s">
        <v>45</v>
      </c>
      <c r="D14" s="43" t="s">
        <v>49</v>
      </c>
    </row>
    <row r="15" customHeight="1" spans="1:4">
      <c r="A15" s="22" t="s">
        <v>50</v>
      </c>
      <c r="B15" s="22" t="s">
        <v>51</v>
      </c>
      <c r="C15" s="22"/>
      <c r="D15" s="88"/>
    </row>
    <row r="16" customHeight="1" spans="1:4">
      <c r="A16" s="3"/>
      <c r="B16" s="3" t="s">
        <v>52</v>
      </c>
      <c r="C16" s="3"/>
      <c r="D16" s="43"/>
    </row>
    <row r="17" customHeight="1" spans="1:4">
      <c r="A17" s="3"/>
      <c r="B17" s="3"/>
      <c r="C17" s="3"/>
      <c r="D17" s="43"/>
    </row>
    <row r="18" customHeight="1" spans="1:4">
      <c r="A18" s="3" t="s">
        <v>53</v>
      </c>
      <c r="B18" s="3" t="s">
        <v>54</v>
      </c>
      <c r="C18" s="3" t="s">
        <v>55</v>
      </c>
      <c r="D18" s="43" t="s">
        <v>56</v>
      </c>
    </row>
    <row r="19" customHeight="1" spans="1:4">
      <c r="A19" s="3" t="s">
        <v>57</v>
      </c>
      <c r="B19" s="3" t="s">
        <v>58</v>
      </c>
      <c r="C19" s="3" t="s">
        <v>59</v>
      </c>
      <c r="D19" s="85">
        <v>45870</v>
      </c>
    </row>
    <row r="20" customHeight="1" spans="1:4">
      <c r="A20" s="3" t="s">
        <v>60</v>
      </c>
      <c r="B20" s="3" t="s">
        <v>61</v>
      </c>
      <c r="C20" s="3" t="s">
        <v>62</v>
      </c>
      <c r="D20" s="85">
        <v>46722</v>
      </c>
    </row>
    <row r="21" customHeight="1" spans="1:4">
      <c r="A21" s="3" t="s">
        <v>63</v>
      </c>
      <c r="B21" s="3" t="s">
        <v>64</v>
      </c>
      <c r="C21" s="3" t="s">
        <v>65</v>
      </c>
      <c r="D21" s="85">
        <v>46266</v>
      </c>
    </row>
  </sheetData>
  <mergeCells count="1">
    <mergeCell ref="A1:D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rgb="FFFFC000"/>
  </sheetPr>
  <dimension ref="A1:R30"/>
  <sheetViews>
    <sheetView zoomScale="85" zoomScaleNormal="85" workbookViewId="0">
      <selection activeCell="E12" sqref="E12"/>
    </sheetView>
  </sheetViews>
  <sheetFormatPr defaultColWidth="8.88888888888889" defaultRowHeight="28" customHeight="1"/>
  <cols>
    <col min="2" max="2" width="31.7777777777778" customWidth="1"/>
    <col min="3" max="3" width="14.2777777777778" customWidth="1"/>
    <col min="4" max="4" width="11.5555555555556"/>
    <col min="5" max="8" width="17.1111111111111"/>
    <col min="9" max="9" width="34.1203703703704" customWidth="1"/>
  </cols>
  <sheetData>
    <row r="1" customHeight="1" spans="1:9">
      <c r="A1" s="31" t="s">
        <v>336</v>
      </c>
      <c r="B1" s="31"/>
      <c r="C1" s="31"/>
      <c r="D1" s="31"/>
      <c r="E1" s="31"/>
      <c r="F1" s="31"/>
      <c r="G1" s="31"/>
      <c r="H1" s="31"/>
      <c r="I1" s="31"/>
    </row>
    <row r="2" customHeight="1" spans="1:9">
      <c r="A2" s="2" t="s">
        <v>1</v>
      </c>
      <c r="B2" s="2" t="s">
        <v>167</v>
      </c>
      <c r="C2" s="2" t="s">
        <v>130</v>
      </c>
      <c r="D2" s="2">
        <v>2025</v>
      </c>
      <c r="E2" s="2">
        <v>2026</v>
      </c>
      <c r="F2" s="2">
        <v>2027</v>
      </c>
      <c r="G2" s="2">
        <v>2028</v>
      </c>
      <c r="H2" s="2" t="s">
        <v>295</v>
      </c>
      <c r="I2" s="2">
        <v>2045</v>
      </c>
    </row>
    <row r="3" customHeight="1" spans="1:9">
      <c r="A3" s="3">
        <v>1</v>
      </c>
      <c r="B3" s="3" t="s">
        <v>337</v>
      </c>
      <c r="C3" s="4">
        <f>SUM(D3:I3)</f>
        <v>9776.46374037848</v>
      </c>
      <c r="D3" s="4">
        <f t="shared" ref="D3:I3" si="0">SUM(D4:D7)</f>
        <v>0</v>
      </c>
      <c r="E3" s="4">
        <f t="shared" si="0"/>
        <v>1685</v>
      </c>
      <c r="F3" s="4">
        <f t="shared" si="0"/>
        <v>2131</v>
      </c>
      <c r="G3" s="4">
        <f t="shared" si="0"/>
        <v>1665</v>
      </c>
      <c r="H3" s="4">
        <f t="shared" si="0"/>
        <v>2101</v>
      </c>
      <c r="I3" s="4">
        <f t="shared" si="0"/>
        <v>2194.46374037848</v>
      </c>
    </row>
    <row r="4" customHeight="1" spans="1:9">
      <c r="A4" s="3">
        <v>1.1</v>
      </c>
      <c r="B4" s="3" t="s">
        <v>338</v>
      </c>
      <c r="C4" s="4">
        <f>SUM(D4:I4)</f>
        <v>9708</v>
      </c>
      <c r="D4" s="8">
        <f>F项目收入!D3+F项目收入!D5+F项目收入!D7</f>
        <v>0</v>
      </c>
      <c r="E4" s="8">
        <f>F项目收入!E3+F项目收入!E5+F项目收入!E7</f>
        <v>1684</v>
      </c>
      <c r="F4" s="8">
        <f>F项目收入!F3+F项目收入!F5+F项目收入!F7</f>
        <v>2130</v>
      </c>
      <c r="G4" s="8">
        <f>F项目收入!G3+F项目收入!G5+F项目收入!G7</f>
        <v>1664</v>
      </c>
      <c r="H4" s="8">
        <f>F项目收入!H3+F项目收入!H5+F项目收入!H7</f>
        <v>2100</v>
      </c>
      <c r="I4" s="8">
        <f>F项目收入!I3+F项目收入!I5+F项目收入!I7</f>
        <v>2130</v>
      </c>
    </row>
    <row r="5" customHeight="1" spans="1:9">
      <c r="A5" s="3">
        <v>1.2</v>
      </c>
      <c r="B5" s="3" t="s">
        <v>302</v>
      </c>
      <c r="C5" s="4">
        <f t="shared" ref="C5:C22" si="1">SUM(D5:I5)</f>
        <v>5</v>
      </c>
      <c r="D5" s="8">
        <f>F项目收入!D9</f>
        <v>0</v>
      </c>
      <c r="E5" s="8">
        <f>F项目收入!E9</f>
        <v>1</v>
      </c>
      <c r="F5" s="8">
        <f>F项目收入!F9</f>
        <v>1</v>
      </c>
      <c r="G5" s="8">
        <f>F项目收入!G9</f>
        <v>1</v>
      </c>
      <c r="H5" s="8">
        <f>F项目收入!H9</f>
        <v>1</v>
      </c>
      <c r="I5" s="8">
        <f>F项目收入!I9</f>
        <v>1</v>
      </c>
    </row>
    <row r="6" customHeight="1" spans="1:9">
      <c r="A6" s="3">
        <v>1.3</v>
      </c>
      <c r="B6" s="3" t="s">
        <v>339</v>
      </c>
      <c r="C6" s="4">
        <f t="shared" si="1"/>
        <v>54.3722630173667</v>
      </c>
      <c r="D6" s="4" t="s">
        <v>98</v>
      </c>
      <c r="E6" s="4" t="s">
        <v>98</v>
      </c>
      <c r="F6" s="4" t="s">
        <v>98</v>
      </c>
      <c r="G6" s="4" t="s">
        <v>98</v>
      </c>
      <c r="H6" s="4" t="s">
        <v>98</v>
      </c>
      <c r="I6" s="4">
        <f>E.2固定资产折旧费估算表!C4*A财务假设!D12</f>
        <v>54.3722630173667</v>
      </c>
    </row>
    <row r="7" customHeight="1" spans="1:9">
      <c r="A7" s="3">
        <v>1.4</v>
      </c>
      <c r="B7" s="3" t="s">
        <v>340</v>
      </c>
      <c r="C7" s="4">
        <f t="shared" si="1"/>
        <v>9.09147736111111</v>
      </c>
      <c r="D7" s="4" t="s">
        <v>98</v>
      </c>
      <c r="E7" s="4" t="s">
        <v>98</v>
      </c>
      <c r="F7" s="4" t="s">
        <v>98</v>
      </c>
      <c r="G7" s="4" t="s">
        <v>98</v>
      </c>
      <c r="H7" s="4" t="s">
        <v>98</v>
      </c>
      <c r="I7" s="4">
        <f>D.4流动资金估算表!J13</f>
        <v>9.09147736111111</v>
      </c>
    </row>
    <row r="8" customHeight="1" spans="1:9">
      <c r="A8" s="3">
        <v>2</v>
      </c>
      <c r="B8" s="3" t="s">
        <v>341</v>
      </c>
      <c r="C8" s="4">
        <f t="shared" si="1"/>
        <v>1024.90000912553</v>
      </c>
      <c r="D8" s="4">
        <f t="shared" ref="D8:I8" si="2">SUM(D9:D13)</f>
        <v>181.128</v>
      </c>
      <c r="E8" s="4">
        <f t="shared" si="2"/>
        <v>364.004186695271</v>
      </c>
      <c r="F8" s="4">
        <f t="shared" si="2"/>
        <v>323.322513817039</v>
      </c>
      <c r="G8" s="4">
        <f t="shared" si="2"/>
        <v>44.4840668600155</v>
      </c>
      <c r="H8" s="4">
        <f t="shared" si="2"/>
        <v>55.8792065841505</v>
      </c>
      <c r="I8" s="4">
        <f t="shared" si="2"/>
        <v>56.0820351690561</v>
      </c>
    </row>
    <row r="9" customHeight="1" spans="1:9">
      <c r="A9" s="3">
        <v>2.1</v>
      </c>
      <c r="B9" s="3" t="s">
        <v>132</v>
      </c>
      <c r="C9" s="4">
        <f t="shared" si="1"/>
        <v>648.96</v>
      </c>
      <c r="D9" s="4">
        <f>D.2项目总投资使用计划与资金筹措表!D4</f>
        <v>181.128</v>
      </c>
      <c r="E9" s="4">
        <f>D.2项目总投资使用计划与资金筹措表!E4</f>
        <v>240.512</v>
      </c>
      <c r="F9" s="4">
        <f>D.2项目总投资使用计划与资金筹措表!F4</f>
        <v>227.32</v>
      </c>
      <c r="G9" s="4">
        <f>D.2项目总投资使用计划与资金筹措表!G4</f>
        <v>0</v>
      </c>
      <c r="H9" s="4">
        <f>D.2项目总投资使用计划与资金筹措表!H4</f>
        <v>0</v>
      </c>
      <c r="I9" s="4">
        <f>D.2项目总投资使用计划与资金筹措表!I4</f>
        <v>0</v>
      </c>
    </row>
    <row r="10" customHeight="1" spans="1:9">
      <c r="A10" s="3">
        <v>2.2</v>
      </c>
      <c r="B10" s="3" t="s">
        <v>134</v>
      </c>
      <c r="C10" s="4">
        <f t="shared" si="1"/>
        <v>24.7300566666667</v>
      </c>
      <c r="D10" s="4">
        <f>D.2项目总投资使用计划与资金筹措表!D6</f>
        <v>0</v>
      </c>
      <c r="E10" s="4">
        <f>D.2项目总投资使用计划与资金筹措表!E6</f>
        <v>13.2283430555556</v>
      </c>
      <c r="F10" s="4">
        <f>D.2项目总投资使用计划与资金筹措表!F6</f>
        <v>11.5017136111111</v>
      </c>
      <c r="G10" s="4">
        <f>D.2项目总投资使用计划与资金筹措表!G6</f>
        <v>0</v>
      </c>
      <c r="H10" s="4">
        <f>D.2项目总投资使用计划与资金筹措表!H6</f>
        <v>0</v>
      </c>
      <c r="I10" s="4">
        <f>D.2项目总投资使用计划与资金筹措表!I6</f>
        <v>0</v>
      </c>
    </row>
    <row r="11" customHeight="1" spans="1:9">
      <c r="A11" s="3">
        <v>2.3</v>
      </c>
      <c r="B11" s="3" t="s">
        <v>342</v>
      </c>
      <c r="C11" s="4">
        <f t="shared" si="1"/>
        <v>285.1567</v>
      </c>
      <c r="D11" s="4">
        <f>E总成本费用估算表!C11</f>
        <v>0</v>
      </c>
      <c r="E11" s="4">
        <f>E总成本费用估算表!D11</f>
        <v>104.57345</v>
      </c>
      <c r="F11" s="4">
        <f>E总成本费用估算表!E11</f>
        <v>68.38723</v>
      </c>
      <c r="G11" s="4">
        <f>E总成本费用估算表!F11</f>
        <v>32.066285</v>
      </c>
      <c r="H11" s="4">
        <f>E总成本费用估算表!G11</f>
        <v>40.06534</v>
      </c>
      <c r="I11" s="4">
        <f>E总成本费用估算表!H11</f>
        <v>40.064395</v>
      </c>
    </row>
    <row r="12" customHeight="1" spans="1:9">
      <c r="A12" s="3">
        <v>2.4</v>
      </c>
      <c r="B12" s="3" t="s">
        <v>343</v>
      </c>
      <c r="C12" s="4">
        <f t="shared" si="1"/>
        <v>66.0532524588657</v>
      </c>
      <c r="D12" s="8">
        <f>G.税金及附加测算表!D30</f>
        <v>0</v>
      </c>
      <c r="E12" s="8">
        <f>G.税金及附加测算表!E30</f>
        <v>5.69039363971563</v>
      </c>
      <c r="F12" s="8">
        <f>G.税金及附加测算表!F30</f>
        <v>16.113570205928</v>
      </c>
      <c r="G12" s="8">
        <f>G.税金及附加测算表!G30</f>
        <v>12.4177818600155</v>
      </c>
      <c r="H12" s="8">
        <f>G.税金及附加测算表!H30</f>
        <v>15.8138665841505</v>
      </c>
      <c r="I12" s="8">
        <f>G.税金及附加测算表!I30</f>
        <v>16.0176401690561</v>
      </c>
    </row>
    <row r="13" customHeight="1" spans="1:9">
      <c r="A13" s="3">
        <v>2.5</v>
      </c>
      <c r="B13" s="3" t="s">
        <v>344</v>
      </c>
      <c r="C13" s="4">
        <f t="shared" si="1"/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customHeight="1" spans="1:9">
      <c r="A14" s="3">
        <v>3</v>
      </c>
      <c r="B14" s="3" t="s">
        <v>345</v>
      </c>
      <c r="C14" s="4">
        <f t="shared" si="1"/>
        <v>8751.56373125295</v>
      </c>
      <c r="D14" s="4">
        <f t="shared" ref="D14:I14" si="3">D3-D8</f>
        <v>-181.128</v>
      </c>
      <c r="E14" s="4">
        <f t="shared" si="3"/>
        <v>1320.99581330473</v>
      </c>
      <c r="F14" s="4">
        <f t="shared" si="3"/>
        <v>1807.67748618296</v>
      </c>
      <c r="G14" s="4">
        <f t="shared" si="3"/>
        <v>1620.51593313998</v>
      </c>
      <c r="H14" s="4">
        <f t="shared" si="3"/>
        <v>2045.12079341585</v>
      </c>
      <c r="I14" s="4">
        <f t="shared" si="3"/>
        <v>2138.38170520942</v>
      </c>
    </row>
    <row r="15" customHeight="1" spans="1:9">
      <c r="A15" s="3">
        <v>4</v>
      </c>
      <c r="B15" s="3" t="s">
        <v>346</v>
      </c>
      <c r="C15" s="4">
        <f t="shared" si="1"/>
        <v>23839.0921027166</v>
      </c>
      <c r="D15" s="4">
        <f>D14</f>
        <v>-181.128</v>
      </c>
      <c r="E15" s="4">
        <f>D15+E14</f>
        <v>1139.86781330473</v>
      </c>
      <c r="F15" s="4">
        <f>E15+F14</f>
        <v>2947.54529948769</v>
      </c>
      <c r="G15" s="4">
        <f>F15+G14</f>
        <v>4568.06123262767</v>
      </c>
      <c r="H15" s="4">
        <f>G15+H14</f>
        <v>6613.18202604352</v>
      </c>
      <c r="I15" s="4">
        <f>H15+I14</f>
        <v>8751.56373125295</v>
      </c>
    </row>
    <row r="16" s="30" customFormat="1" customHeight="1" spans="1:18">
      <c r="A16" s="32">
        <v>5</v>
      </c>
      <c r="B16" s="32" t="s">
        <v>347</v>
      </c>
      <c r="C16" s="8">
        <f t="shared" si="1"/>
        <v>2138.14465073793</v>
      </c>
      <c r="D16" s="8">
        <f>'b利润与利润分配表（损益和利润分配表）'!E25*A财务假设!D9</f>
        <v>0</v>
      </c>
      <c r="E16" s="8">
        <f>'b利润与利润分配表（损益和利润分配表）'!F25*A财务假设!D9</f>
        <v>367.784052340663</v>
      </c>
      <c r="F16" s="8">
        <f>'b利润与利润分配表（损益和利润分配表）'!G25*A财务假设!D9</f>
        <v>478.304862019501</v>
      </c>
      <c r="G16" s="8">
        <f>'b利润与利润分配表（损益和利润分配表）'!H25*A财务假设!D9</f>
        <v>362.292964901725</v>
      </c>
      <c r="H16" s="8">
        <f>'b利润与利润分配表（损益和利润分配表）'!I25*A财务假设!D9</f>
        <v>461.369003462077</v>
      </c>
      <c r="I16" s="8">
        <f>'b利润与利润分配表（损益和利润分配表）'!J25*A财务假设!D9</f>
        <v>468.393768013964</v>
      </c>
      <c r="J16"/>
      <c r="K16"/>
      <c r="L16"/>
      <c r="M16"/>
      <c r="N16"/>
      <c r="O16"/>
      <c r="P16"/>
      <c r="Q16"/>
      <c r="R16"/>
    </row>
    <row r="17" customHeight="1" spans="1:9">
      <c r="A17" s="3">
        <v>6</v>
      </c>
      <c r="B17" s="3" t="s">
        <v>348</v>
      </c>
      <c r="C17" s="4">
        <f t="shared" si="1"/>
        <v>6613.41908051501</v>
      </c>
      <c r="D17" s="4">
        <f t="shared" ref="D17:I17" si="4">D14-D16</f>
        <v>-181.128</v>
      </c>
      <c r="E17" s="4">
        <f t="shared" si="4"/>
        <v>953.211760964065</v>
      </c>
      <c r="F17" s="4">
        <f t="shared" si="4"/>
        <v>1329.37262416346</v>
      </c>
      <c r="G17" s="4">
        <f t="shared" si="4"/>
        <v>1258.22296823826</v>
      </c>
      <c r="H17" s="4">
        <f t="shared" si="4"/>
        <v>1583.75178995377</v>
      </c>
      <c r="I17" s="4">
        <f t="shared" si="4"/>
        <v>1669.98793719546</v>
      </c>
    </row>
    <row r="18" customHeight="1" spans="1:9">
      <c r="A18" s="3">
        <v>7</v>
      </c>
      <c r="B18" s="3" t="s">
        <v>349</v>
      </c>
      <c r="C18" s="4">
        <f t="shared" si="1"/>
        <v>17608.9417232919</v>
      </c>
      <c r="D18" s="4">
        <f>D17</f>
        <v>-181.128</v>
      </c>
      <c r="E18" s="4">
        <f>D18+E17</f>
        <v>772.083760964066</v>
      </c>
      <c r="F18" s="4">
        <f>E18+F17</f>
        <v>2101.45638512753</v>
      </c>
      <c r="G18" s="4">
        <f>F18+G17</f>
        <v>3359.67935336578</v>
      </c>
      <c r="H18" s="4">
        <f>G18+H17</f>
        <v>4943.43114331956</v>
      </c>
      <c r="I18" s="4">
        <f>H18+I17</f>
        <v>6613.41908051501</v>
      </c>
    </row>
    <row r="19" customHeight="1" spans="1:9">
      <c r="A19" s="3">
        <v>8</v>
      </c>
      <c r="B19" s="3" t="s">
        <v>350</v>
      </c>
      <c r="C19" s="4" t="e">
        <f t="shared" si="1"/>
        <v>#VALUE!</v>
      </c>
      <c r="D19" s="4">
        <f>D15/(1+A财务假设!D15)*(D2-2025)</f>
        <v>0</v>
      </c>
      <c r="E19" s="4">
        <f>E15/(1+A财务假设!D15)*(E2-2025)</f>
        <v>1106.6677799075</v>
      </c>
      <c r="F19" s="4">
        <f>F15/(1+A财务假设!D15)*(F2-2025)</f>
        <v>5723.38893104406</v>
      </c>
      <c r="G19" s="4">
        <f>G15/(1+A财务假设!D15)*(G2-2025)</f>
        <v>13305.0327163913</v>
      </c>
      <c r="H19" s="4" t="e">
        <f>H15/(1+A财务假设!D15)*(H2-2025)</f>
        <v>#VALUE!</v>
      </c>
      <c r="I19" s="4">
        <f>I15/(1+A财务假设!D15)*(I2-2025)</f>
        <v>169933.276335009</v>
      </c>
    </row>
    <row r="20" customHeight="1" spans="1:9">
      <c r="A20" s="3">
        <v>9</v>
      </c>
      <c r="B20" s="3" t="s">
        <v>351</v>
      </c>
      <c r="C20" s="4" t="e">
        <f t="shared" si="1"/>
        <v>#VALUE!</v>
      </c>
      <c r="D20" s="4">
        <f>D19</f>
        <v>0</v>
      </c>
      <c r="E20" s="4">
        <f>D20+E19</f>
        <v>1106.6677799075</v>
      </c>
      <c r="F20" s="4">
        <f>E20+F19</f>
        <v>6830.05671095156</v>
      </c>
      <c r="G20" s="4">
        <f>F20+G19</f>
        <v>20135.0894273428</v>
      </c>
      <c r="H20" s="4" t="e">
        <f>G20+H19</f>
        <v>#VALUE!</v>
      </c>
      <c r="I20" s="4" t="e">
        <f>H20+I19</f>
        <v>#VALUE!</v>
      </c>
    </row>
    <row r="21" customHeight="1" spans="1:9">
      <c r="A21" s="3">
        <v>10</v>
      </c>
      <c r="B21" s="3" t="s">
        <v>352</v>
      </c>
      <c r="C21" s="4" t="e">
        <f t="shared" si="1"/>
        <v>#VALUE!</v>
      </c>
      <c r="D21" s="4">
        <f>D17/(1+A财务假设!D15)*(D2-2025)</f>
        <v>0</v>
      </c>
      <c r="E21" s="4">
        <f>E17/(1+A财务假设!D15)*(E2-2025)</f>
        <v>925.448311615598</v>
      </c>
      <c r="F21" s="4">
        <f>F17/(1+A财务假设!D15)*(F2-2025)</f>
        <v>2581.30606633681</v>
      </c>
      <c r="G21" s="4">
        <f>G17/(1+A财务假设!D15)*(G2-2025)</f>
        <v>3664.7270919561</v>
      </c>
      <c r="H21" s="4" t="e">
        <f>H17/(1+A财务假设!D15)*(H2-2025)</f>
        <v>#VALUE!</v>
      </c>
      <c r="I21" s="4">
        <f>I17/(1+A财务假设!D15)*(I2-2025)</f>
        <v>32426.950236805</v>
      </c>
    </row>
    <row r="22" customHeight="1" spans="1:9">
      <c r="A22" s="3">
        <v>11</v>
      </c>
      <c r="B22" s="3" t="s">
        <v>353</v>
      </c>
      <c r="C22" s="4" t="e">
        <f t="shared" si="1"/>
        <v>#VALUE!</v>
      </c>
      <c r="D22" s="4">
        <f>D21</f>
        <v>0</v>
      </c>
      <c r="E22" s="4">
        <f>D22+E21</f>
        <v>925.448311615598</v>
      </c>
      <c r="F22" s="4">
        <f>E22+F21</f>
        <v>3506.75437795241</v>
      </c>
      <c r="G22" s="4">
        <f>F22+G21</f>
        <v>7171.48146990851</v>
      </c>
      <c r="H22" s="4" t="e">
        <f>G22+H21</f>
        <v>#VALUE!</v>
      </c>
      <c r="I22" s="4" t="e">
        <f>H22+I21</f>
        <v>#VALUE!</v>
      </c>
    </row>
    <row r="23" ht="38" customHeight="1" spans="1:9">
      <c r="A23" s="3" t="s">
        <v>53</v>
      </c>
      <c r="B23" s="33" t="s">
        <v>354</v>
      </c>
      <c r="C23" s="3"/>
      <c r="D23" s="26">
        <f>IRR(D14:I14)</f>
        <v>7.59531583151632</v>
      </c>
      <c r="E23" s="27"/>
      <c r="F23" s="27"/>
      <c r="G23" s="27"/>
      <c r="H23" s="27"/>
      <c r="I23" s="29"/>
    </row>
    <row r="24" ht="35" customHeight="1" spans="1:9">
      <c r="A24" s="3" t="s">
        <v>57</v>
      </c>
      <c r="B24" s="33" t="s">
        <v>355</v>
      </c>
      <c r="C24" s="3"/>
      <c r="D24" s="26">
        <f>IRR(D17:I17)</f>
        <v>5.57522982866409</v>
      </c>
      <c r="E24" s="27"/>
      <c r="F24" s="27"/>
      <c r="G24" s="27"/>
      <c r="H24" s="27"/>
      <c r="I24" s="29"/>
    </row>
    <row r="25" ht="34" customHeight="1" spans="1:9">
      <c r="A25" s="3" t="s">
        <v>60</v>
      </c>
      <c r="B25" s="33" t="s">
        <v>356</v>
      </c>
      <c r="C25" s="34" t="s">
        <v>357</v>
      </c>
      <c r="D25" s="35">
        <f>NPV(0.05,D14:I14)</f>
        <v>7118.52054120525</v>
      </c>
      <c r="E25" s="27"/>
      <c r="F25" s="27"/>
      <c r="G25" s="27"/>
      <c r="H25" s="27"/>
      <c r="I25" s="29"/>
    </row>
    <row r="26" ht="34" customHeight="1" spans="1:9">
      <c r="A26" s="3" t="s">
        <v>63</v>
      </c>
      <c r="B26" s="33" t="s">
        <v>358</v>
      </c>
      <c r="C26" s="34" t="s">
        <v>357</v>
      </c>
      <c r="D26" s="35">
        <f>NPV(0.03,D17:I17)</f>
        <v>5821.86697163486</v>
      </c>
      <c r="E26" s="27"/>
      <c r="F26" s="27"/>
      <c r="G26" s="27"/>
      <c r="H26" s="27"/>
      <c r="I26" s="29"/>
    </row>
    <row r="27" ht="37" customHeight="1" spans="1:9">
      <c r="A27" s="3" t="s">
        <v>359</v>
      </c>
      <c r="B27" s="33" t="s">
        <v>360</v>
      </c>
      <c r="C27" s="3"/>
      <c r="D27" s="32" t="s">
        <v>361</v>
      </c>
      <c r="E27" s="32"/>
      <c r="F27" s="32"/>
      <c r="G27" s="32"/>
      <c r="H27" s="36">
        <f>E2-1+ABS(D15)/E14</f>
        <v>2025.13711474191</v>
      </c>
      <c r="I27" s="37"/>
    </row>
    <row r="28" ht="37" customHeight="1" spans="1:9">
      <c r="A28" s="3" t="s">
        <v>362</v>
      </c>
      <c r="B28" s="33" t="s">
        <v>363</v>
      </c>
      <c r="C28" s="3"/>
      <c r="D28" s="3" t="s">
        <v>364</v>
      </c>
      <c r="E28" s="3"/>
      <c r="F28" s="3"/>
      <c r="G28" s="3"/>
      <c r="H28" s="36">
        <f>E2-1+D20/E19</f>
        <v>2025</v>
      </c>
      <c r="I28" s="37"/>
    </row>
    <row r="29" ht="34" customHeight="1" spans="1:9">
      <c r="A29" s="3" t="s">
        <v>365</v>
      </c>
      <c r="B29" s="33" t="s">
        <v>366</v>
      </c>
      <c r="C29" s="3"/>
      <c r="D29" s="3" t="s">
        <v>367</v>
      </c>
      <c r="E29" s="3"/>
      <c r="F29" s="3"/>
      <c r="G29" s="3"/>
      <c r="H29" s="36">
        <f>E2-1+ABS(D17)/E16</f>
        <v>2025.4924846492</v>
      </c>
      <c r="I29" s="37"/>
    </row>
    <row r="30" ht="35" customHeight="1" spans="1:9">
      <c r="A30" s="3" t="s">
        <v>368</v>
      </c>
      <c r="B30" s="33" t="s">
        <v>369</v>
      </c>
      <c r="C30" s="3"/>
      <c r="D30" s="3" t="s">
        <v>370</v>
      </c>
      <c r="E30" s="3"/>
      <c r="F30" s="3"/>
      <c r="G30" s="3"/>
      <c r="H30" s="36">
        <f>E2-1+D22/E21</f>
        <v>2025</v>
      </c>
      <c r="I30" s="37"/>
    </row>
  </sheetData>
  <mergeCells count="13">
    <mergeCell ref="A1:I1"/>
    <mergeCell ref="D23:I23"/>
    <mergeCell ref="D24:I24"/>
    <mergeCell ref="D25:I25"/>
    <mergeCell ref="D26:I26"/>
    <mergeCell ref="D27:G27"/>
    <mergeCell ref="H27:I27"/>
    <mergeCell ref="D28:G28"/>
    <mergeCell ref="H28:I28"/>
    <mergeCell ref="D29:G29"/>
    <mergeCell ref="H29:I29"/>
    <mergeCell ref="D30:G30"/>
    <mergeCell ref="H30:I30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rgb="FFFFC000"/>
  </sheetPr>
  <dimension ref="A1:I17"/>
  <sheetViews>
    <sheetView zoomScale="70" zoomScaleNormal="70" workbookViewId="0">
      <selection activeCell="E13" sqref="E13"/>
    </sheetView>
  </sheetViews>
  <sheetFormatPr defaultColWidth="8.88888888888889" defaultRowHeight="28" customHeight="1"/>
  <cols>
    <col min="2" max="2" width="29.6666666666667" customWidth="1"/>
    <col min="3" max="3" width="17.1111111111111"/>
    <col min="4" max="4" width="16.9814814814815" customWidth="1"/>
    <col min="5" max="7" width="17.1111111111111"/>
    <col min="8" max="9" width="15.6666666666667"/>
  </cols>
  <sheetData>
    <row r="1" customHeight="1" spans="1:9">
      <c r="A1" s="24" t="s">
        <v>371</v>
      </c>
      <c r="B1" s="25"/>
      <c r="C1" s="25"/>
      <c r="D1" s="25"/>
      <c r="E1" s="25"/>
      <c r="F1" s="25"/>
      <c r="G1" s="25"/>
      <c r="H1" s="25"/>
      <c r="I1" s="28"/>
    </row>
    <row r="2" customHeight="1" spans="1:9">
      <c r="A2" s="2" t="s">
        <v>1</v>
      </c>
      <c r="B2" s="2" t="s">
        <v>167</v>
      </c>
      <c r="C2" s="2" t="s">
        <v>130</v>
      </c>
      <c r="D2" s="2">
        <v>2025</v>
      </c>
      <c r="E2" s="2">
        <v>2026</v>
      </c>
      <c r="F2" s="2">
        <v>2027</v>
      </c>
      <c r="G2" s="2">
        <v>2028</v>
      </c>
      <c r="H2" s="2" t="s">
        <v>295</v>
      </c>
      <c r="I2" s="2">
        <v>2045</v>
      </c>
    </row>
    <row r="3" customHeight="1" spans="1:9">
      <c r="A3" s="3">
        <v>1</v>
      </c>
      <c r="B3" s="3" t="s">
        <v>337</v>
      </c>
      <c r="C3" s="4">
        <f>SUM(D3:I3)</f>
        <v>9781.46374037848</v>
      </c>
      <c r="D3" s="4">
        <f t="shared" ref="D3:I3" si="0">SUM(D4:D7)</f>
        <v>0</v>
      </c>
      <c r="E3" s="4">
        <f t="shared" si="0"/>
        <v>1686</v>
      </c>
      <c r="F3" s="4">
        <f t="shared" si="0"/>
        <v>2132</v>
      </c>
      <c r="G3" s="4">
        <f t="shared" si="0"/>
        <v>1666</v>
      </c>
      <c r="H3" s="4">
        <f t="shared" si="0"/>
        <v>2102</v>
      </c>
      <c r="I3" s="4">
        <f t="shared" si="0"/>
        <v>2195.46374037848</v>
      </c>
    </row>
    <row r="4" customHeight="1" spans="1:9">
      <c r="A4" s="3">
        <v>1.1</v>
      </c>
      <c r="B4" s="3" t="s">
        <v>338</v>
      </c>
      <c r="C4" s="4">
        <f>SUM(D4:I4)</f>
        <v>9713</v>
      </c>
      <c r="D4" s="4">
        <f>F项目收入!D10</f>
        <v>0</v>
      </c>
      <c r="E4" s="4">
        <f>F项目收入!E10</f>
        <v>1685</v>
      </c>
      <c r="F4" s="4">
        <f>F项目收入!F10</f>
        <v>2131</v>
      </c>
      <c r="G4" s="4">
        <f>F项目收入!G10</f>
        <v>1665</v>
      </c>
      <c r="H4" s="4">
        <f>F项目收入!H10</f>
        <v>2101</v>
      </c>
      <c r="I4" s="4">
        <f>F项目收入!I10</f>
        <v>2131</v>
      </c>
    </row>
    <row r="5" customHeight="1" spans="1:9">
      <c r="A5" s="3">
        <v>1.2</v>
      </c>
      <c r="B5" s="3" t="s">
        <v>302</v>
      </c>
      <c r="C5" s="4">
        <f>SUM(D5:I5)</f>
        <v>5</v>
      </c>
      <c r="D5" s="4">
        <f>F项目收入!D9</f>
        <v>0</v>
      </c>
      <c r="E5" s="4">
        <f>F项目收入!E9</f>
        <v>1</v>
      </c>
      <c r="F5" s="4">
        <f>F项目收入!F9</f>
        <v>1</v>
      </c>
      <c r="G5" s="4">
        <f>F项目收入!G9</f>
        <v>1</v>
      </c>
      <c r="H5" s="4">
        <f>F项目收入!H9</f>
        <v>1</v>
      </c>
      <c r="I5" s="4">
        <f>F项目收入!I9</f>
        <v>1</v>
      </c>
    </row>
    <row r="6" customHeight="1" spans="1:9">
      <c r="A6" s="3">
        <v>1.3</v>
      </c>
      <c r="B6" s="3" t="s">
        <v>339</v>
      </c>
      <c r="C6" s="4">
        <f>SUM(D6:I6)</f>
        <v>54.3722630173667</v>
      </c>
      <c r="D6" s="4" t="s">
        <v>98</v>
      </c>
      <c r="E6" s="4" t="s">
        <v>98</v>
      </c>
      <c r="F6" s="4" t="s">
        <v>98</v>
      </c>
      <c r="G6" s="4" t="s">
        <v>98</v>
      </c>
      <c r="H6" s="4" t="s">
        <v>98</v>
      </c>
      <c r="I6" s="4">
        <f>E.2固定资产折旧费估算表!C4*A财务假设!D12</f>
        <v>54.3722630173667</v>
      </c>
    </row>
    <row r="7" customHeight="1" spans="1:9">
      <c r="A7" s="3">
        <v>1.4</v>
      </c>
      <c r="B7" s="3" t="s">
        <v>372</v>
      </c>
      <c r="C7" s="4">
        <f>SUM(D7:I7)</f>
        <v>9.09147736111111</v>
      </c>
      <c r="D7" s="4" t="s">
        <v>98</v>
      </c>
      <c r="E7" s="4" t="s">
        <v>98</v>
      </c>
      <c r="F7" s="4" t="s">
        <v>98</v>
      </c>
      <c r="G7" s="4" t="s">
        <v>98</v>
      </c>
      <c r="H7" s="4" t="s">
        <v>98</v>
      </c>
      <c r="I7" s="4">
        <f>D.4流动资金估算表!J13</f>
        <v>9.09147736111111</v>
      </c>
    </row>
    <row r="8" customHeight="1" spans="1:9">
      <c r="A8" s="3">
        <v>2</v>
      </c>
      <c r="B8" s="3" t="s">
        <v>341</v>
      </c>
      <c r="C8" s="4">
        <f t="shared" ref="C8:C16" si="1">SUM(D8:I8)</f>
        <v>6991.83388214335</v>
      </c>
      <c r="D8" s="4">
        <f t="shared" ref="D8:I8" si="2">SUM(D9:D15)</f>
        <v>127.6</v>
      </c>
      <c r="E8" s="4">
        <f t="shared" si="2"/>
        <v>1669.86585964155</v>
      </c>
      <c r="F8" s="4">
        <f t="shared" si="2"/>
        <v>1905.19002979414</v>
      </c>
      <c r="G8" s="4">
        <f t="shared" si="2"/>
        <v>1440.40105808545</v>
      </c>
      <c r="H8" s="4">
        <f t="shared" si="2"/>
        <v>423.40895744967</v>
      </c>
      <c r="I8" s="4">
        <f t="shared" si="2"/>
        <v>1425.36797717255</v>
      </c>
    </row>
    <row r="9" customHeight="1" spans="1:9">
      <c r="A9" s="3">
        <v>2.1</v>
      </c>
      <c r="B9" s="3" t="s">
        <v>136</v>
      </c>
      <c r="C9" s="4">
        <f t="shared" si="1"/>
        <v>704.819017</v>
      </c>
      <c r="D9" s="4">
        <f>D.2项目总投资使用计划与资金筹措表!D8</f>
        <v>73.8</v>
      </c>
      <c r="E9" s="4">
        <f>D.2项目总投资使用计划与资金筹措表!E8</f>
        <v>252.968502916667</v>
      </c>
      <c r="F9" s="4">
        <f>D.2项目总投资使用计划与资金筹措表!F8</f>
        <v>378.050514083333</v>
      </c>
      <c r="G9" s="4">
        <f>D.2项目总投资使用计划与资金筹措表!G8</f>
        <v>0</v>
      </c>
      <c r="H9" s="4">
        <f>D.2项目总投资使用计划与资金筹措表!H8</f>
        <v>0</v>
      </c>
      <c r="I9" s="4">
        <f>D.2项目总投资使用计划与资金筹措表!I8</f>
        <v>0</v>
      </c>
    </row>
    <row r="10" customHeight="1" spans="1:9">
      <c r="A10" s="3">
        <v>2.2</v>
      </c>
      <c r="B10" s="3" t="s">
        <v>373</v>
      </c>
      <c r="C10" s="4">
        <f t="shared" si="1"/>
        <v>4000</v>
      </c>
      <c r="D10" s="4">
        <f>c借款还本付息计划表!D23</f>
        <v>0</v>
      </c>
      <c r="E10" s="4">
        <f>c借款还本付息计划表!E23</f>
        <v>1000</v>
      </c>
      <c r="F10" s="4">
        <f>c借款还本付息计划表!F23</f>
        <v>1000</v>
      </c>
      <c r="G10" s="4">
        <f>c借款还本付息计划表!G23</f>
        <v>1000</v>
      </c>
      <c r="H10" s="4">
        <f>c借款还本付息计划表!K23</f>
        <v>0</v>
      </c>
      <c r="I10" s="4">
        <f>c借款还本付息计划表!I23</f>
        <v>1000</v>
      </c>
    </row>
    <row r="11" customHeight="1" spans="1:9">
      <c r="A11" s="3">
        <v>2.3</v>
      </c>
      <c r="B11" s="3" t="s">
        <v>374</v>
      </c>
      <c r="C11" s="4">
        <f t="shared" si="1"/>
        <v>1491.1</v>
      </c>
      <c r="D11" s="4">
        <f>c借款还本付息计划表!D24</f>
        <v>53.8</v>
      </c>
      <c r="E11" s="4">
        <f>c借款还本付息计划表!E24</f>
        <v>229</v>
      </c>
      <c r="F11" s="4">
        <f>c借款还本付息计划表!F24</f>
        <v>344.6</v>
      </c>
      <c r="G11" s="4">
        <f>c借款还本付息计划表!G24</f>
        <v>325.7</v>
      </c>
      <c r="H11" s="4">
        <f>c借款还本付息计划表!K24</f>
        <v>269</v>
      </c>
      <c r="I11" s="4">
        <f>c借款还本付息计划表!L24</f>
        <v>269</v>
      </c>
    </row>
    <row r="12" customHeight="1" spans="1:9">
      <c r="A12" s="3">
        <v>2.4</v>
      </c>
      <c r="B12" s="3" t="s">
        <v>342</v>
      </c>
      <c r="C12" s="4">
        <f t="shared" si="1"/>
        <v>285.1567</v>
      </c>
      <c r="D12" s="4">
        <f>E总成本费用估算表!C11</f>
        <v>0</v>
      </c>
      <c r="E12" s="4">
        <f>E总成本费用估算表!D11</f>
        <v>104.57345</v>
      </c>
      <c r="F12" s="4">
        <f>E总成本费用估算表!E11</f>
        <v>68.38723</v>
      </c>
      <c r="G12" s="4">
        <f>E总成本费用估算表!F11</f>
        <v>32.066285</v>
      </c>
      <c r="H12" s="4">
        <f>E总成本费用估算表!G11</f>
        <v>40.06534</v>
      </c>
      <c r="I12" s="4">
        <f>E总成本费用估算表!H11</f>
        <v>40.064395</v>
      </c>
    </row>
    <row r="13" customHeight="1" spans="1:9">
      <c r="A13" s="3">
        <v>2.5</v>
      </c>
      <c r="B13" s="3" t="s">
        <v>343</v>
      </c>
      <c r="C13" s="4">
        <f t="shared" si="1"/>
        <v>66.0532524588657</v>
      </c>
      <c r="D13" s="8">
        <f>G.税金及附加测算表!D30</f>
        <v>0</v>
      </c>
      <c r="E13" s="8">
        <f>G.税金及附加测算表!E30</f>
        <v>5.69039363971563</v>
      </c>
      <c r="F13" s="8">
        <f>G.税金及附加测算表!F30</f>
        <v>16.113570205928</v>
      </c>
      <c r="G13" s="8">
        <f>G.税金及附加测算表!G30</f>
        <v>12.4177818600155</v>
      </c>
      <c r="H13" s="8">
        <f>G.税金及附加测算表!H30</f>
        <v>15.8138665841505</v>
      </c>
      <c r="I13" s="8">
        <f>G.税金及附加测算表!I30</f>
        <v>16.0176401690561</v>
      </c>
    </row>
    <row r="14" customHeight="1" spans="1:9">
      <c r="A14" s="3">
        <v>2.6</v>
      </c>
      <c r="B14" s="3" t="s">
        <v>375</v>
      </c>
      <c r="C14" s="4">
        <f t="shared" si="1"/>
        <v>444.704912684483</v>
      </c>
      <c r="D14" s="4">
        <f>'b利润与利润分配表（损益和利润分配表）'!E11</f>
        <v>0</v>
      </c>
      <c r="E14" s="4">
        <f>'b利润与利润分配表（损益和利润分配表）'!F11</f>
        <v>77.6335130851659</v>
      </c>
      <c r="F14" s="4">
        <f>'b利润与利润分配表（损益和利润分配表）'!G11</f>
        <v>98.0387155048753</v>
      </c>
      <c r="G14" s="4">
        <f>'b利润与利润分配表（损益和利润分配表）'!H11</f>
        <v>70.2169912254313</v>
      </c>
      <c r="H14" s="4">
        <f>'b利润与利润分配表（损益和利润分配表）'!I11</f>
        <v>98.5297508655192</v>
      </c>
      <c r="I14" s="4">
        <f>'b利润与利润分配表（损益和利润分配表）'!J11</f>
        <v>100.285942003491</v>
      </c>
    </row>
    <row r="15" customHeight="1" spans="1:9">
      <c r="A15" s="3">
        <v>2.7</v>
      </c>
      <c r="B15" s="3" t="s">
        <v>344</v>
      </c>
      <c r="C15" s="4">
        <f t="shared" si="1"/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customHeight="1" spans="1:9">
      <c r="A16" s="3">
        <v>3</v>
      </c>
      <c r="B16" s="3" t="s">
        <v>376</v>
      </c>
      <c r="C16" s="4">
        <f t="shared" si="1"/>
        <v>2789.62985823513</v>
      </c>
      <c r="D16" s="4">
        <f t="shared" ref="D16:I16" si="3">D3-D8</f>
        <v>-127.6</v>
      </c>
      <c r="E16" s="4">
        <f t="shared" si="3"/>
        <v>16.1341403584515</v>
      </c>
      <c r="F16" s="4">
        <f t="shared" si="3"/>
        <v>226.809970205863</v>
      </c>
      <c r="G16" s="4">
        <f t="shared" si="3"/>
        <v>225.598941914553</v>
      </c>
      <c r="H16" s="4">
        <f t="shared" si="3"/>
        <v>1678.59104255033</v>
      </c>
      <c r="I16" s="4">
        <f t="shared" si="3"/>
        <v>770.095763205931</v>
      </c>
    </row>
    <row r="17" customHeight="1" spans="1:9">
      <c r="A17" s="3" t="s">
        <v>53</v>
      </c>
      <c r="B17" s="6" t="s">
        <v>377</v>
      </c>
      <c r="C17" s="3"/>
      <c r="D17" s="26">
        <f>IRR(D16:I16)</f>
        <v>1.37022730548582</v>
      </c>
      <c r="E17" s="27"/>
      <c r="F17" s="27"/>
      <c r="G17" s="27"/>
      <c r="H17" s="27"/>
      <c r="I17" s="29"/>
    </row>
  </sheetData>
  <mergeCells count="2">
    <mergeCell ref="A1:I1"/>
    <mergeCell ref="D17:I17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rgb="FFFFC000"/>
  </sheetPr>
  <dimension ref="A1:J26"/>
  <sheetViews>
    <sheetView zoomScale="70" zoomScaleNormal="70" topLeftCell="A11" workbookViewId="0">
      <selection activeCell="G13" sqref="G13"/>
    </sheetView>
  </sheetViews>
  <sheetFormatPr defaultColWidth="8.88888888888889" defaultRowHeight="28" customHeight="1"/>
  <cols>
    <col min="1" max="1" width="8.88888888888889" style="21"/>
    <col min="2" max="2" width="28.7592592592593" style="21" customWidth="1"/>
    <col min="3" max="3" width="18.4074074074074" style="21" customWidth="1"/>
    <col min="4" max="4" width="31.4259259259259" style="21" hidden="1" customWidth="1"/>
    <col min="5" max="5" width="19.037037037037" style="21" customWidth="1"/>
    <col min="6" max="6" width="20.6296296296296" style="21" customWidth="1"/>
    <col min="7" max="7" width="19.8333333333333" style="21" customWidth="1"/>
    <col min="8" max="10" width="17.1111111111111" style="21"/>
    <col min="11" max="16384" width="8.88888888888889" style="21"/>
  </cols>
  <sheetData>
    <row r="1" customHeight="1" spans="1:10">
      <c r="A1" s="1" t="s">
        <v>378</v>
      </c>
      <c r="B1" s="1"/>
      <c r="C1" s="1"/>
      <c r="D1" s="1"/>
      <c r="E1" s="1"/>
      <c r="F1" s="1"/>
      <c r="G1" s="1"/>
      <c r="H1" s="1"/>
      <c r="I1" s="1"/>
      <c r="J1" s="1"/>
    </row>
    <row r="2" customHeight="1" spans="1:10">
      <c r="A2" s="2" t="s">
        <v>1</v>
      </c>
      <c r="B2" s="2" t="s">
        <v>167</v>
      </c>
      <c r="C2" s="2" t="s">
        <v>130</v>
      </c>
      <c r="D2" s="2"/>
      <c r="E2" s="2">
        <v>2025</v>
      </c>
      <c r="F2" s="2">
        <v>2026</v>
      </c>
      <c r="G2" s="2">
        <v>2027</v>
      </c>
      <c r="H2" s="2">
        <v>2028</v>
      </c>
      <c r="I2" s="2" t="s">
        <v>52</v>
      </c>
      <c r="J2" s="2">
        <v>2045</v>
      </c>
    </row>
    <row r="3" customHeight="1" spans="1:10">
      <c r="A3" s="3">
        <v>1</v>
      </c>
      <c r="B3" s="3" t="s">
        <v>379</v>
      </c>
      <c r="C3" s="8">
        <f>SUM(E3:J3)</f>
        <v>9093.38497490047</v>
      </c>
      <c r="D3" s="8"/>
      <c r="E3" s="8">
        <f>F项目收入!D11</f>
        <v>0</v>
      </c>
      <c r="F3" s="8">
        <f>F项目收入!E11</f>
        <v>1577.73532975593</v>
      </c>
      <c r="G3" s="8">
        <f>F项目收入!F11</f>
        <v>1994.85494201142</v>
      </c>
      <c r="H3" s="8">
        <f>F项目收入!G11</f>
        <v>1559.38670590272</v>
      </c>
      <c r="I3" s="8">
        <f>F项目收入!H11</f>
        <v>1966.55305521897</v>
      </c>
      <c r="J3" s="8">
        <f>F项目收入!I11</f>
        <v>1994.85494201142</v>
      </c>
    </row>
    <row r="4" customHeight="1" spans="1:10">
      <c r="A4" s="3">
        <v>2</v>
      </c>
      <c r="B4" s="3" t="s">
        <v>343</v>
      </c>
      <c r="C4" s="4">
        <f>SUM(E4:J4)</f>
        <v>66.0532524588657</v>
      </c>
      <c r="D4" s="8"/>
      <c r="E4" s="8">
        <f>G.税金及附加测算表!D30</f>
        <v>0</v>
      </c>
      <c r="F4" s="8">
        <f>G.税金及附加测算表!E30</f>
        <v>5.69039363971563</v>
      </c>
      <c r="G4" s="8">
        <f>G.税金及附加测算表!F30</f>
        <v>16.113570205928</v>
      </c>
      <c r="H4" s="8">
        <f>G.税金及附加测算表!G30</f>
        <v>12.4177818600155</v>
      </c>
      <c r="I4" s="8">
        <f>G.税金及附加测算表!H30</f>
        <v>15.8138665841505</v>
      </c>
      <c r="J4" s="8">
        <f>G.税金及附加测算表!I30</f>
        <v>16.0176401690561</v>
      </c>
    </row>
    <row r="5" customHeight="1" spans="1:10">
      <c r="A5" s="3">
        <v>3</v>
      </c>
      <c r="B5" s="3" t="s">
        <v>380</v>
      </c>
      <c r="C5" s="4">
        <f>SUM(E5:J5)</f>
        <v>1917.05311948988</v>
      </c>
      <c r="D5" s="4"/>
      <c r="E5" s="4">
        <f>E总成本费用估算表!C15-G.税金及附加测算表!D4</f>
        <v>0</v>
      </c>
      <c r="F5" s="4">
        <f>E总成本费用估算表!D15-G.税金及附加测算表!E4</f>
        <v>330.908726753559</v>
      </c>
      <c r="G5" s="4">
        <f>E总成本费用估算表!E15-G.税金及附加测算表!F4</f>
        <v>411.121923727491</v>
      </c>
      <c r="H5" s="4">
        <f>E总成本费用估算表!F15-G.税金及附加测算表!G4</f>
        <v>424.497064435801</v>
      </c>
      <c r="I5" s="4">
        <f>E总成本费用估算表!G15-G.税金及附加测算表!H4</f>
        <v>375.263174786513</v>
      </c>
      <c r="J5" s="4">
        <f>E总成本费用估算表!H15-G.税金及附加测算表!I4</f>
        <v>375.262229786513</v>
      </c>
    </row>
    <row r="6" customHeight="1" spans="1:10">
      <c r="A6" s="3">
        <v>4</v>
      </c>
      <c r="B6" s="3" t="s">
        <v>302</v>
      </c>
      <c r="C6" s="4">
        <f>SUM(E6:J6)</f>
        <v>5</v>
      </c>
      <c r="D6" s="4"/>
      <c r="E6" s="4">
        <f>F项目收入!D9</f>
        <v>0</v>
      </c>
      <c r="F6" s="4">
        <f>F项目收入!E9</f>
        <v>1</v>
      </c>
      <c r="G6" s="4">
        <f>F项目收入!F9</f>
        <v>1</v>
      </c>
      <c r="H6" s="4">
        <f>F项目收入!G9</f>
        <v>1</v>
      </c>
      <c r="I6" s="4">
        <f>F项目收入!H9</f>
        <v>1</v>
      </c>
      <c r="J6" s="4">
        <f>F项目收入!I9</f>
        <v>1</v>
      </c>
    </row>
    <row r="7" customHeight="1" spans="1:10">
      <c r="A7" s="3">
        <v>5</v>
      </c>
      <c r="B7" s="3" t="s">
        <v>381</v>
      </c>
      <c r="C7" s="4">
        <f>SUM(E7:J7)</f>
        <v>7115.27860295172</v>
      </c>
      <c r="D7" s="4"/>
      <c r="E7" s="4">
        <f t="shared" ref="E7:J7" si="0">E3-E4-E5+E6</f>
        <v>0</v>
      </c>
      <c r="F7" s="4">
        <f t="shared" si="0"/>
        <v>1242.13620936265</v>
      </c>
      <c r="G7" s="4">
        <f t="shared" si="0"/>
        <v>1568.61944807801</v>
      </c>
      <c r="H7" s="4">
        <f t="shared" si="0"/>
        <v>1123.4718596069</v>
      </c>
      <c r="I7" s="4">
        <f t="shared" si="0"/>
        <v>1576.47601384831</v>
      </c>
      <c r="J7" s="4">
        <f t="shared" si="0"/>
        <v>1604.57507205586</v>
      </c>
    </row>
    <row r="8" customHeight="1" spans="1:10">
      <c r="A8" s="3">
        <v>6</v>
      </c>
      <c r="B8" s="3" t="s">
        <v>382</v>
      </c>
      <c r="C8" s="4">
        <f>SUM(E8:J8)</f>
        <v>0</v>
      </c>
      <c r="D8" s="8"/>
      <c r="E8" s="8">
        <f>IF((E7+D8)&gt;0,0,(E7+D8))</f>
        <v>0</v>
      </c>
      <c r="F8" s="8">
        <v>0</v>
      </c>
      <c r="G8" s="8">
        <f>IF(F9&lt;0,IF((G7+F9)&lt;0,G7,-F9),0)</f>
        <v>0</v>
      </c>
      <c r="H8" s="8">
        <f>IF(G9&lt;0,IF((H7+G9)&lt;0,H7,-G9),0)</f>
        <v>0</v>
      </c>
      <c r="I8" s="8">
        <f>IF(H9&lt;0,IF((I7+H9)&lt;0,I7,-H9),0)</f>
        <v>0</v>
      </c>
      <c r="J8" s="8">
        <f>IF(I9&lt;0,IF((J7+I9)&lt;0,J7,-I9),0)</f>
        <v>0</v>
      </c>
    </row>
    <row r="9" customHeight="1" spans="1:10">
      <c r="A9" s="3"/>
      <c r="B9" s="3" t="s">
        <v>383</v>
      </c>
      <c r="C9" s="4" t="s">
        <v>98</v>
      </c>
      <c r="D9" s="4"/>
      <c r="E9" s="4" t="s">
        <v>98</v>
      </c>
      <c r="F9" s="4">
        <f>IF(F7&lt;0,F7,0)</f>
        <v>0</v>
      </c>
      <c r="G9" s="4">
        <f>IF(F9&lt;0,F9+G8,0)</f>
        <v>0</v>
      </c>
      <c r="H9" s="4">
        <f>IF(G9&lt;0,G9+H8,0)</f>
        <v>0</v>
      </c>
      <c r="I9" s="4">
        <f>IF(H9&lt;0,H9+I8,0)</f>
        <v>0</v>
      </c>
      <c r="J9" s="4">
        <f>IF(I9&lt;0,I9+J8,0)</f>
        <v>0</v>
      </c>
    </row>
    <row r="10" customHeight="1" spans="1:10">
      <c r="A10" s="3">
        <v>7</v>
      </c>
      <c r="B10" s="3" t="s">
        <v>384</v>
      </c>
      <c r="C10" s="4">
        <f t="shared" ref="C10:C26" si="1">SUM(E10:J10)</f>
        <v>1778.81965073793</v>
      </c>
      <c r="D10" s="4"/>
      <c r="E10" s="4">
        <f>IF((E7+D8)&gt;0,(E7+D8),0)</f>
        <v>0</v>
      </c>
      <c r="F10" s="4">
        <f>IF(F9&lt;0,0,(F7-F8)*0.25)</f>
        <v>310.534052340663</v>
      </c>
      <c r="G10" s="4">
        <f>IF(G9&lt;0,0,(G7-G8)*0.25)</f>
        <v>392.154862019501</v>
      </c>
      <c r="H10" s="4">
        <f>IF(H9&lt;0,0,(H7-H8)*0.25)</f>
        <v>280.867964901725</v>
      </c>
      <c r="I10" s="4">
        <f>IF(I9&lt;0,0,(I7-I8)*0.25)</f>
        <v>394.119003462077</v>
      </c>
      <c r="J10" s="4">
        <f>IF(J9&lt;0,0,(J7-J8)*0.25)</f>
        <v>401.143768013964</v>
      </c>
    </row>
    <row r="11" ht="47" customHeight="1" spans="1:10">
      <c r="A11" s="3">
        <v>8</v>
      </c>
      <c r="B11" s="9" t="s">
        <v>385</v>
      </c>
      <c r="C11" s="4">
        <f t="shared" si="1"/>
        <v>444.704912684483</v>
      </c>
      <c r="D11" s="4"/>
      <c r="E11" s="4">
        <f>IF(E10&lt;=0,0,E10*A财务假设!D9)</f>
        <v>0</v>
      </c>
      <c r="F11" s="4">
        <f>IF(F10&lt;0,0,(F10*A财务假设!D9))</f>
        <v>77.6335130851659</v>
      </c>
      <c r="G11" s="4">
        <f>IF(G10&lt;0,0,(G10*A财务假设!D9))</f>
        <v>98.0387155048753</v>
      </c>
      <c r="H11" s="4">
        <f>IF(H10&lt;0,0,(H10*A财务假设!D9))</f>
        <v>70.2169912254313</v>
      </c>
      <c r="I11" s="4">
        <f>IF(I10&lt;0,0,(I10*A财务假设!D9))</f>
        <v>98.5297508655192</v>
      </c>
      <c r="J11" s="4">
        <f>IF(J10&lt;0,0,(J10*A财务假设!D9))</f>
        <v>100.285942003491</v>
      </c>
    </row>
    <row r="12" customHeight="1" spans="1:10">
      <c r="A12" s="3">
        <v>9</v>
      </c>
      <c r="B12" s="3" t="s">
        <v>386</v>
      </c>
      <c r="C12" s="4">
        <f t="shared" si="1"/>
        <v>6670.57369026724</v>
      </c>
      <c r="D12" s="4"/>
      <c r="E12" s="4">
        <f t="shared" ref="E12:J12" si="2">E7-E11</f>
        <v>0</v>
      </c>
      <c r="F12" s="4">
        <f t="shared" si="2"/>
        <v>1164.50269627749</v>
      </c>
      <c r="G12" s="4">
        <f t="shared" si="2"/>
        <v>1470.58073257313</v>
      </c>
      <c r="H12" s="4">
        <f t="shared" si="2"/>
        <v>1053.25486838147</v>
      </c>
      <c r="I12" s="4">
        <f t="shared" si="2"/>
        <v>1477.94626298279</v>
      </c>
      <c r="J12" s="4">
        <f t="shared" si="2"/>
        <v>1504.28913005236</v>
      </c>
    </row>
    <row r="13" customHeight="1" spans="1:10">
      <c r="A13" s="3">
        <v>10</v>
      </c>
      <c r="B13" s="3" t="s">
        <v>387</v>
      </c>
      <c r="C13" s="4">
        <f t="shared" si="1"/>
        <v>0</v>
      </c>
      <c r="D13" s="5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</row>
    <row r="14" customHeight="1" spans="1:10">
      <c r="A14" s="3">
        <v>11</v>
      </c>
      <c r="B14" s="3" t="s">
        <v>388</v>
      </c>
      <c r="C14" s="4">
        <f t="shared" si="1"/>
        <v>6670.57369026724</v>
      </c>
      <c r="D14" s="4"/>
      <c r="E14" s="4">
        <f t="shared" ref="E14:J14" si="3">SUM(E12:E13)</f>
        <v>0</v>
      </c>
      <c r="F14" s="4">
        <f t="shared" si="3"/>
        <v>1164.50269627749</v>
      </c>
      <c r="G14" s="4">
        <f t="shared" si="3"/>
        <v>1470.58073257313</v>
      </c>
      <c r="H14" s="4">
        <f t="shared" si="3"/>
        <v>1053.25486838147</v>
      </c>
      <c r="I14" s="4">
        <f t="shared" si="3"/>
        <v>1477.94626298279</v>
      </c>
      <c r="J14" s="4">
        <f t="shared" si="3"/>
        <v>1504.28913005236</v>
      </c>
    </row>
    <row r="15" customHeight="1" spans="1:10">
      <c r="A15" s="3">
        <v>12</v>
      </c>
      <c r="B15" s="3" t="s">
        <v>389</v>
      </c>
      <c r="C15" s="4">
        <f t="shared" si="1"/>
        <v>667.057369026724</v>
      </c>
      <c r="D15" s="4"/>
      <c r="E15" s="4">
        <f>E12*A财务假设!D10</f>
        <v>0</v>
      </c>
      <c r="F15" s="4">
        <f>F12*A财务假设!D10</f>
        <v>116.450269627749</v>
      </c>
      <c r="G15" s="4">
        <f>G12*A财务假设!D10</f>
        <v>147.058073257313</v>
      </c>
      <c r="H15" s="4">
        <f>H12*A财务假设!D10</f>
        <v>105.325486838147</v>
      </c>
      <c r="I15" s="4">
        <f>I12*A财务假设!D10</f>
        <v>147.794626298279</v>
      </c>
      <c r="J15" s="4">
        <f>J12*A财务假设!D10</f>
        <v>150.428913005236</v>
      </c>
    </row>
    <row r="16" customHeight="1" spans="1:10">
      <c r="A16" s="3">
        <v>13</v>
      </c>
      <c r="B16" s="3" t="s">
        <v>390</v>
      </c>
      <c r="C16" s="4">
        <f t="shared" si="1"/>
        <v>6003.51632124052</v>
      </c>
      <c r="D16" s="4"/>
      <c r="E16" s="4">
        <f t="shared" ref="E16:J16" si="4">E14-E15</f>
        <v>0</v>
      </c>
      <c r="F16" s="4">
        <f t="shared" si="4"/>
        <v>1048.05242664974</v>
      </c>
      <c r="G16" s="4">
        <f t="shared" si="4"/>
        <v>1323.52265931582</v>
      </c>
      <c r="H16" s="4">
        <f t="shared" si="4"/>
        <v>947.929381543323</v>
      </c>
      <c r="I16" s="4">
        <f t="shared" si="4"/>
        <v>1330.15163668451</v>
      </c>
      <c r="J16" s="4">
        <f t="shared" si="4"/>
        <v>1353.86021704713</v>
      </c>
    </row>
    <row r="17" customHeight="1" spans="1:10">
      <c r="A17" s="3">
        <v>14</v>
      </c>
      <c r="B17" s="22" t="s">
        <v>391</v>
      </c>
      <c r="C17" s="4">
        <f t="shared" si="1"/>
        <v>0</v>
      </c>
      <c r="D17" s="5"/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customHeight="1" spans="1:10">
      <c r="A18" s="3">
        <v>15</v>
      </c>
      <c r="B18" s="22" t="s">
        <v>392</v>
      </c>
      <c r="C18" s="4">
        <f t="shared" si="1"/>
        <v>300.175816062026</v>
      </c>
      <c r="D18" s="4"/>
      <c r="E18" s="4">
        <f>E16*A财务假设!D11</f>
        <v>0</v>
      </c>
      <c r="F18" s="4">
        <f>F16*A财务假设!D11</f>
        <v>52.402621332487</v>
      </c>
      <c r="G18" s="4">
        <f>G16*A财务假设!D11</f>
        <v>66.1761329657908</v>
      </c>
      <c r="H18" s="4">
        <f>H16*A财务假设!D11</f>
        <v>47.3964690771661</v>
      </c>
      <c r="I18" s="4">
        <f>I16*A财务假设!D11</f>
        <v>66.5075818342255</v>
      </c>
      <c r="J18" s="4">
        <f>J16*A财务假设!D11</f>
        <v>67.6930108523564</v>
      </c>
    </row>
    <row r="19" customHeight="1" spans="1:10">
      <c r="A19" s="3">
        <v>16</v>
      </c>
      <c r="B19" s="22" t="s">
        <v>393</v>
      </c>
      <c r="C19" s="4">
        <f t="shared" si="1"/>
        <v>5703.34050517849</v>
      </c>
      <c r="D19" s="23"/>
      <c r="E19" s="23">
        <f t="shared" ref="E19:J19" si="5">E16-E17-E18</f>
        <v>0</v>
      </c>
      <c r="F19" s="23">
        <f t="shared" si="5"/>
        <v>995.649805317252</v>
      </c>
      <c r="G19" s="23">
        <f t="shared" si="5"/>
        <v>1257.34652635003</v>
      </c>
      <c r="H19" s="23">
        <f t="shared" si="5"/>
        <v>900.532912466157</v>
      </c>
      <c r="I19" s="23">
        <f t="shared" si="5"/>
        <v>1263.64405485028</v>
      </c>
      <c r="J19" s="23">
        <f t="shared" si="5"/>
        <v>1286.16720619477</v>
      </c>
    </row>
    <row r="20" customHeight="1" spans="1:10">
      <c r="A20" s="3">
        <v>17</v>
      </c>
      <c r="B20" s="22" t="s">
        <v>394</v>
      </c>
      <c r="C20" s="4">
        <f t="shared" si="1"/>
        <v>0</v>
      </c>
      <c r="D20" s="5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customHeight="1" spans="1:10">
      <c r="A21" s="3">
        <v>17.1</v>
      </c>
      <c r="B21" s="22" t="s">
        <v>395</v>
      </c>
      <c r="C21" s="4">
        <f t="shared" si="1"/>
        <v>0</v>
      </c>
      <c r="D21" s="5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customHeight="1" spans="1:10">
      <c r="A22" s="3">
        <v>18</v>
      </c>
      <c r="B22" s="3" t="s">
        <v>396</v>
      </c>
      <c r="C22" s="4">
        <f t="shared" si="1"/>
        <v>0</v>
      </c>
      <c r="D22" s="4"/>
      <c r="E22" s="4">
        <f t="shared" ref="E22:J22" si="6">E16-E17-E18-E19</f>
        <v>0</v>
      </c>
      <c r="F22" s="4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</row>
    <row r="23" customHeight="1" spans="1:10">
      <c r="A23" s="3">
        <v>18.1</v>
      </c>
      <c r="B23" s="3" t="s">
        <v>397</v>
      </c>
      <c r="C23" s="4">
        <f t="shared" si="1"/>
        <v>0</v>
      </c>
      <c r="D23" s="5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customHeight="1" spans="1:10">
      <c r="A24" s="3">
        <v>18.2</v>
      </c>
      <c r="B24" s="3" t="s">
        <v>398</v>
      </c>
      <c r="C24" s="4">
        <f t="shared" si="1"/>
        <v>0</v>
      </c>
      <c r="D24" s="4"/>
      <c r="E24" s="4">
        <f>E22</f>
        <v>0</v>
      </c>
      <c r="F24" s="4">
        <f>E24+F22</f>
        <v>0</v>
      </c>
      <c r="G24" s="4">
        <f>F24+G22</f>
        <v>0</v>
      </c>
      <c r="H24" s="4">
        <f>G24+H22</f>
        <v>0</v>
      </c>
      <c r="I24" s="4">
        <f>H24+I22</f>
        <v>0</v>
      </c>
      <c r="J24" s="4">
        <f>I24+J22</f>
        <v>0</v>
      </c>
    </row>
    <row r="25" ht="39" customHeight="1" spans="1:10">
      <c r="A25" s="3">
        <v>19</v>
      </c>
      <c r="B25" s="9" t="s">
        <v>399</v>
      </c>
      <c r="C25" s="4">
        <f t="shared" si="1"/>
        <v>8552.57860295172</v>
      </c>
      <c r="D25" s="4"/>
      <c r="E25" s="4">
        <f>E7+E总成本费用估算表!C14</f>
        <v>0</v>
      </c>
      <c r="F25" s="4">
        <f>F7+E总成本费用估算表!D14</f>
        <v>1471.13620936265</v>
      </c>
      <c r="G25" s="4">
        <f>G7+E总成本费用估算表!E14</f>
        <v>1913.21944807801</v>
      </c>
      <c r="H25" s="4">
        <f>H7+E总成本费用估算表!F14</f>
        <v>1449.1718596069</v>
      </c>
      <c r="I25" s="4">
        <f>I7+E总成本费用估算表!G14</f>
        <v>1845.47601384831</v>
      </c>
      <c r="J25" s="4">
        <f>J7+E总成本费用估算表!H14</f>
        <v>1873.57507205586</v>
      </c>
    </row>
    <row r="26" ht="40" customHeight="1" spans="1:10">
      <c r="A26" s="3">
        <v>20</v>
      </c>
      <c r="B26" s="9" t="s">
        <v>400</v>
      </c>
      <c r="C26" s="4">
        <f t="shared" si="1"/>
        <v>8759.16627705059</v>
      </c>
      <c r="D26" s="4"/>
      <c r="E26" s="4">
        <f>E25+E总成本费用估算表!C12+E总成本费用估算表!C13</f>
        <v>0</v>
      </c>
      <c r="F26" s="4">
        <f>F25+E总成本费用估算表!D12+E总成本费用估算表!D13</f>
        <v>1471.13620936265</v>
      </c>
      <c r="G26" s="4">
        <f>G25+E总成本费用估算表!E12+E总成本费用估算表!E13</f>
        <v>1913.21944807801</v>
      </c>
      <c r="H26" s="4">
        <f>H25+E总成本费用估算表!F12+E总成本费用估算表!F13</f>
        <v>1518.03441763986</v>
      </c>
      <c r="I26" s="4">
        <f>I25+E总成本费用估算表!G12+E总成本费用估算表!G13</f>
        <v>1914.33857188126</v>
      </c>
      <c r="J26" s="4">
        <f>J25+E总成本费用估算表!H12+E总成本费用估算表!H13</f>
        <v>1942.43763008881</v>
      </c>
    </row>
  </sheetData>
  <mergeCells count="1">
    <mergeCell ref="A1:J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rgb="FFFFC000"/>
  </sheetPr>
  <dimension ref="A1:N36"/>
  <sheetViews>
    <sheetView zoomScale="70" zoomScaleNormal="70" workbookViewId="0">
      <selection activeCell="D27" sqref="D27"/>
    </sheetView>
  </sheetViews>
  <sheetFormatPr defaultColWidth="8.88888888888889" defaultRowHeight="28" customHeight="1"/>
  <cols>
    <col min="1" max="1" width="10.3148148148148" customWidth="1"/>
    <col min="2" max="2" width="22.2222222222222" customWidth="1"/>
    <col min="3" max="3" width="11.4444444444444"/>
    <col min="4" max="4" width="10.2222222222222"/>
    <col min="5" max="7" width="15.6666666666667"/>
    <col min="8" max="8" width="14.3333333333333"/>
    <col min="9" max="9" width="15.6666666666667"/>
    <col min="10" max="10" width="12.8888888888889"/>
    <col min="11" max="12" width="15.6666666666667"/>
  </cols>
  <sheetData>
    <row r="1" customHeight="1" spans="1:14">
      <c r="A1" s="10" t="s">
        <v>401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9"/>
      <c r="N1" s="19"/>
    </row>
    <row r="2" customHeight="1" spans="1:14">
      <c r="A2" s="2" t="s">
        <v>1</v>
      </c>
      <c r="B2" s="2" t="s">
        <v>167</v>
      </c>
      <c r="C2" s="2" t="s">
        <v>130</v>
      </c>
      <c r="D2" s="2">
        <v>2025</v>
      </c>
      <c r="E2" s="2">
        <v>2026</v>
      </c>
      <c r="F2" s="2">
        <v>2027</v>
      </c>
      <c r="G2" s="2">
        <v>2028</v>
      </c>
      <c r="H2" s="2">
        <v>2029</v>
      </c>
      <c r="I2" s="2">
        <v>2030</v>
      </c>
      <c r="J2" s="2">
        <v>2031</v>
      </c>
      <c r="K2" s="2" t="s">
        <v>52</v>
      </c>
      <c r="L2" s="2">
        <v>2045</v>
      </c>
      <c r="M2" s="19"/>
      <c r="N2" s="19"/>
    </row>
    <row r="3" customHeight="1" spans="1:14">
      <c r="A3" s="3">
        <v>1</v>
      </c>
      <c r="B3" s="3" t="s">
        <v>86</v>
      </c>
      <c r="C3" s="3" t="s">
        <v>402</v>
      </c>
      <c r="D3" s="3"/>
      <c r="E3" s="3"/>
      <c r="F3" s="3"/>
      <c r="G3" s="3"/>
      <c r="H3" s="3"/>
      <c r="I3" s="3"/>
      <c r="J3" s="3"/>
      <c r="K3" s="3"/>
      <c r="L3" s="3"/>
      <c r="M3" s="19"/>
      <c r="N3" s="19"/>
    </row>
    <row r="4" customHeight="1" spans="1:14">
      <c r="A4" s="3">
        <v>1.1</v>
      </c>
      <c r="B4" s="3" t="s">
        <v>403</v>
      </c>
      <c r="C4" s="4" t="s">
        <v>98</v>
      </c>
      <c r="D4" s="5">
        <v>0</v>
      </c>
      <c r="E4" s="4">
        <f t="shared" ref="E4:L4" si="0">D8</f>
        <v>2000</v>
      </c>
      <c r="F4" s="4">
        <f t="shared" si="0"/>
        <v>5000</v>
      </c>
      <c r="G4" s="4">
        <f t="shared" si="0"/>
        <v>10000</v>
      </c>
      <c r="H4" s="4">
        <f t="shared" si="0"/>
        <v>10000</v>
      </c>
      <c r="I4" s="4">
        <f t="shared" si="0"/>
        <v>10000</v>
      </c>
      <c r="J4" s="4">
        <f t="shared" si="0"/>
        <v>10000</v>
      </c>
      <c r="K4" s="4">
        <f t="shared" si="0"/>
        <v>10000</v>
      </c>
      <c r="L4" s="4">
        <f t="shared" si="0"/>
        <v>10000</v>
      </c>
      <c r="M4" s="19"/>
      <c r="N4" s="19"/>
    </row>
    <row r="5" customHeight="1" spans="1:14">
      <c r="A5" s="3">
        <v>1.2</v>
      </c>
      <c r="B5" s="3" t="s">
        <v>404</v>
      </c>
      <c r="C5" s="4">
        <f>SUM(D5:L5)</f>
        <v>12071.3</v>
      </c>
      <c r="D5" s="4">
        <f t="shared" ref="D5:L5" si="1">D6+D7</f>
        <v>53.8</v>
      </c>
      <c r="E5" s="4">
        <f t="shared" si="1"/>
        <v>134.5</v>
      </c>
      <c r="F5" s="4">
        <f t="shared" si="1"/>
        <v>269</v>
      </c>
      <c r="G5" s="4">
        <f t="shared" si="1"/>
        <v>269</v>
      </c>
      <c r="H5" s="4">
        <f t="shared" si="1"/>
        <v>269</v>
      </c>
      <c r="I5" s="4">
        <f t="shared" si="1"/>
        <v>269</v>
      </c>
      <c r="J5" s="4">
        <f t="shared" si="1"/>
        <v>269</v>
      </c>
      <c r="K5" s="4">
        <f t="shared" si="1"/>
        <v>269</v>
      </c>
      <c r="L5" s="4">
        <f t="shared" si="1"/>
        <v>10269</v>
      </c>
      <c r="M5" s="19"/>
      <c r="N5" s="19"/>
    </row>
    <row r="6" customHeight="1" spans="1:14">
      <c r="A6" s="3" t="s">
        <v>157</v>
      </c>
      <c r="B6" s="3" t="s">
        <v>405</v>
      </c>
      <c r="C6" s="4">
        <f>SUM(D6:L6)</f>
        <v>10000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4">
        <f>C.1项目融资信息!D4</f>
        <v>10000</v>
      </c>
      <c r="M6" s="19"/>
      <c r="N6" s="19"/>
    </row>
    <row r="7" customHeight="1" spans="1:14">
      <c r="A7" s="3" t="s">
        <v>158</v>
      </c>
      <c r="B7" s="3" t="s">
        <v>406</v>
      </c>
      <c r="C7" s="4">
        <f>SUM(D7:L7)</f>
        <v>2071.3</v>
      </c>
      <c r="D7" s="4">
        <f>D8*C.1项目融资信息!H4</f>
        <v>53.8</v>
      </c>
      <c r="E7" s="4">
        <f>E8*C.1项目融资信息!H4</f>
        <v>134.5</v>
      </c>
      <c r="F7" s="4">
        <f>F8*C.1项目融资信息!H4</f>
        <v>269</v>
      </c>
      <c r="G7" s="4">
        <f>G8*C.1项目融资信息!H4</f>
        <v>269</v>
      </c>
      <c r="H7" s="4">
        <f>H8*C.1项目融资信息!H4</f>
        <v>269</v>
      </c>
      <c r="I7" s="4">
        <f>I8*C.1项目融资信息!H4</f>
        <v>269</v>
      </c>
      <c r="J7" s="4">
        <f>J8*C.1项目融资信息!H4</f>
        <v>269</v>
      </c>
      <c r="K7" s="4">
        <f>K8*C.1项目融资信息!H4</f>
        <v>269</v>
      </c>
      <c r="L7" s="4">
        <f>L4*C.1项目融资信息!H4</f>
        <v>269</v>
      </c>
      <c r="M7" s="19"/>
      <c r="N7" s="19"/>
    </row>
    <row r="8" customHeight="1" spans="1:14">
      <c r="A8" s="3">
        <v>1.3</v>
      </c>
      <c r="B8" s="3" t="s">
        <v>407</v>
      </c>
      <c r="C8" s="4" t="s">
        <v>98</v>
      </c>
      <c r="D8" s="4">
        <f>D4+C.2项目每年借款信息!C3-D6</f>
        <v>2000</v>
      </c>
      <c r="E8" s="4">
        <f>E4+C.2项目每年借款信息!D3-E6</f>
        <v>5000</v>
      </c>
      <c r="F8" s="4">
        <f>F4+C.2项目每年借款信息!E3-F6</f>
        <v>10000</v>
      </c>
      <c r="G8" s="4">
        <f>G4+C.2项目每年借款信息!F3-G6</f>
        <v>10000</v>
      </c>
      <c r="H8" s="4">
        <f>H4+C.2项目每年借款信息!G3-H6</f>
        <v>10000</v>
      </c>
      <c r="I8" s="4">
        <f>I4+C.2项目每年借款信息!H3-I6</f>
        <v>10000</v>
      </c>
      <c r="J8" s="4">
        <f>J4+C.2项目每年借款信息!I3-J6</f>
        <v>10000</v>
      </c>
      <c r="K8" s="4">
        <f>K4+C.2项目每年借款信息!J3-K6</f>
        <v>10000</v>
      </c>
      <c r="L8" s="4">
        <f>L4+C.2项目每年借款信息!K3-L6</f>
        <v>0</v>
      </c>
      <c r="M8" s="19"/>
      <c r="N8" s="19"/>
    </row>
    <row r="9" customHeight="1" spans="1:14">
      <c r="A9" s="3">
        <v>1.4</v>
      </c>
      <c r="B9" s="3" t="s">
        <v>408</v>
      </c>
      <c r="C9" s="4">
        <f>SUM(D9:L9)</f>
        <v>0.603565</v>
      </c>
      <c r="D9" s="4">
        <f>D5*A财务假设!D18</f>
        <v>0.00269</v>
      </c>
      <c r="E9" s="8">
        <f>E5*A财务假设!D18</f>
        <v>0.006725</v>
      </c>
      <c r="F9" s="8">
        <f>F5*A财务假设!D18</f>
        <v>0.01345</v>
      </c>
      <c r="G9" s="8">
        <f>G5*A财务假设!D18</f>
        <v>0.01345</v>
      </c>
      <c r="H9" s="8">
        <f>H5*A财务假设!D18</f>
        <v>0.01345</v>
      </c>
      <c r="I9" s="8">
        <f>I5*A财务假设!D18</f>
        <v>0.01345</v>
      </c>
      <c r="J9" s="8">
        <f>J5*A财务假设!D18</f>
        <v>0.01345</v>
      </c>
      <c r="K9" s="8">
        <f>K5*A财务假设!D18</f>
        <v>0.01345</v>
      </c>
      <c r="L9" s="8">
        <f>L5*A财务假设!D18</f>
        <v>0.51345</v>
      </c>
      <c r="M9" s="19"/>
      <c r="N9" s="19"/>
    </row>
    <row r="10" customHeight="1" spans="1:14">
      <c r="A10" s="3">
        <v>1.5</v>
      </c>
      <c r="B10" s="3" t="s">
        <v>409</v>
      </c>
      <c r="C10" s="4">
        <f>SUM(D10:L10)</f>
        <v>80.64</v>
      </c>
      <c r="D10" s="4">
        <f>C.2项目每年借款信息!C3*(0.0064%+0.8%)</f>
        <v>16.128</v>
      </c>
      <c r="E10" s="4">
        <f>C.2项目每年借款信息!D3*(0.0064%+0.8%)</f>
        <v>24.192</v>
      </c>
      <c r="F10" s="4">
        <f>C.2项目每年借款信息!E3*(0.0064%+0.8%)</f>
        <v>40.32</v>
      </c>
      <c r="G10" s="4">
        <f>C.2项目每年借款信息!F3*(0.0064%+0.8%)</f>
        <v>0</v>
      </c>
      <c r="H10" s="4">
        <f>C.2项目每年借款信息!G3*(0.0064%+0.8%)</f>
        <v>0</v>
      </c>
      <c r="I10" s="4">
        <f>C.2项目每年借款信息!H3*(0.0064%+0.8%)</f>
        <v>0</v>
      </c>
      <c r="J10" s="4">
        <f>C.2项目每年借款信息!I3*(0.0064%+0.8%)</f>
        <v>0</v>
      </c>
      <c r="K10" s="4">
        <f>C.2项目每年借款信息!J3*(0.0064%+0.8%)</f>
        <v>0</v>
      </c>
      <c r="L10" s="4">
        <f>C.2项目每年借款信息!K3*(0.0064%+0.8%)</f>
        <v>0</v>
      </c>
      <c r="M10" s="19"/>
      <c r="N10" s="19"/>
    </row>
    <row r="11" customHeight="1" spans="1:14">
      <c r="A11" s="3">
        <v>2</v>
      </c>
      <c r="B11" s="3" t="s">
        <v>89</v>
      </c>
      <c r="C11" s="12" t="s">
        <v>410</v>
      </c>
      <c r="D11" s="13"/>
      <c r="E11" s="13"/>
      <c r="F11" s="13"/>
      <c r="G11" s="13"/>
      <c r="H11" s="13"/>
      <c r="I11" s="13"/>
      <c r="J11" s="13"/>
      <c r="K11" s="13"/>
      <c r="L11" s="20"/>
      <c r="M11" s="19"/>
      <c r="N11" s="19"/>
    </row>
    <row r="12" customHeight="1" spans="1:14">
      <c r="A12" s="3">
        <v>2.1</v>
      </c>
      <c r="B12" s="3" t="s">
        <v>403</v>
      </c>
      <c r="C12" s="4" t="s">
        <v>98</v>
      </c>
      <c r="D12" s="5">
        <v>0</v>
      </c>
      <c r="E12" s="4">
        <f t="shared" ref="E12:L12" si="2">D16</f>
        <v>0</v>
      </c>
      <c r="F12" s="4">
        <f t="shared" si="2"/>
        <v>4000</v>
      </c>
      <c r="G12" s="4">
        <f t="shared" si="2"/>
        <v>3000</v>
      </c>
      <c r="H12" s="4">
        <f t="shared" si="2"/>
        <v>2000</v>
      </c>
      <c r="I12" s="4">
        <f t="shared" si="2"/>
        <v>1000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9"/>
      <c r="N12" s="19"/>
    </row>
    <row r="13" customHeight="1" spans="1:14">
      <c r="A13" s="3">
        <v>2.2</v>
      </c>
      <c r="B13" s="3" t="s">
        <v>404</v>
      </c>
      <c r="C13" s="4">
        <f>SUM(D13:L13)</f>
        <v>5283.5</v>
      </c>
      <c r="D13" s="4">
        <f t="shared" ref="D13:L13" si="3">D14+D15</f>
        <v>0</v>
      </c>
      <c r="E13" s="4">
        <f t="shared" si="3"/>
        <v>1094.5</v>
      </c>
      <c r="F13" s="4">
        <f t="shared" si="3"/>
        <v>1075.6</v>
      </c>
      <c r="G13" s="4">
        <f t="shared" si="3"/>
        <v>1056.7</v>
      </c>
      <c r="H13" s="4">
        <f t="shared" si="3"/>
        <v>1037.8</v>
      </c>
      <c r="I13" s="4">
        <f t="shared" si="3"/>
        <v>1018.9</v>
      </c>
      <c r="J13" s="4">
        <f t="shared" si="3"/>
        <v>0</v>
      </c>
      <c r="K13" s="4">
        <f t="shared" si="3"/>
        <v>0</v>
      </c>
      <c r="L13" s="4">
        <f t="shared" si="3"/>
        <v>0</v>
      </c>
      <c r="M13" s="19"/>
      <c r="N13" s="19"/>
    </row>
    <row r="14" customHeight="1" spans="1:14">
      <c r="A14" s="3" t="s">
        <v>144</v>
      </c>
      <c r="B14" s="3" t="s">
        <v>405</v>
      </c>
      <c r="C14" s="4">
        <f>SUM(D14:L14)</f>
        <v>5000</v>
      </c>
      <c r="D14" s="4">
        <v>0</v>
      </c>
      <c r="E14" s="4">
        <f>C.1项目融资信息!D5/C.1项目融资信息!G5</f>
        <v>1000</v>
      </c>
      <c r="F14" s="4">
        <f>C.1项目融资信息!D5/C.1项目融资信息!G5</f>
        <v>1000</v>
      </c>
      <c r="G14" s="4">
        <f>C.1项目融资信息!D5/C.1项目融资信息!G5</f>
        <v>1000</v>
      </c>
      <c r="H14" s="4">
        <f>C.1项目融资信息!D5/C.1项目融资信息!G5</f>
        <v>1000</v>
      </c>
      <c r="I14" s="4">
        <f>C.1项目融资信息!D5/C.1项目融资信息!G5</f>
        <v>1000</v>
      </c>
      <c r="J14" s="5">
        <v>0</v>
      </c>
      <c r="K14" s="5">
        <v>0</v>
      </c>
      <c r="L14" s="5">
        <v>0</v>
      </c>
      <c r="M14" s="19"/>
      <c r="N14" s="19"/>
    </row>
    <row r="15" customHeight="1" spans="1:14">
      <c r="A15" s="3" t="s">
        <v>145</v>
      </c>
      <c r="B15" s="3" t="s">
        <v>406</v>
      </c>
      <c r="C15" s="4">
        <f>SUM(D15:L15)</f>
        <v>283.5</v>
      </c>
      <c r="D15" s="4">
        <f>D16*C.1项目融资信息!H5</f>
        <v>0</v>
      </c>
      <c r="E15" s="4">
        <f>C.2项目每年借款信息!D4*C.1项目融资信息!H5</f>
        <v>94.5</v>
      </c>
      <c r="F15" s="4">
        <f>F12*C.1项目融资信息!H5</f>
        <v>75.6</v>
      </c>
      <c r="G15" s="4">
        <f>G12*C.1项目融资信息!H5</f>
        <v>56.7</v>
      </c>
      <c r="H15" s="4">
        <f>H12*C.1项目融资信息!H5</f>
        <v>37.8</v>
      </c>
      <c r="I15" s="4">
        <f>I12*C.1项目融资信息!H5</f>
        <v>18.9</v>
      </c>
      <c r="J15" s="4">
        <f>J12*C.1项目融资信息!H5</f>
        <v>0</v>
      </c>
      <c r="K15" s="4">
        <f>K12*C.1项目融资信息!J5</f>
        <v>0</v>
      </c>
      <c r="L15" s="4">
        <f>L12*C.1项目融资信息!K5</f>
        <v>0</v>
      </c>
      <c r="M15" s="19"/>
      <c r="N15" s="19"/>
    </row>
    <row r="16" customHeight="1" spans="1:14">
      <c r="A16" s="3">
        <v>2.3</v>
      </c>
      <c r="B16" s="3" t="s">
        <v>407</v>
      </c>
      <c r="C16" s="4" t="s">
        <v>98</v>
      </c>
      <c r="D16" s="4">
        <f>C.2项目每年借款信息!C4</f>
        <v>0</v>
      </c>
      <c r="E16" s="4">
        <f>C.2项目每年借款信息!D4-E14</f>
        <v>4000</v>
      </c>
      <c r="F16" s="4">
        <f t="shared" ref="F16:L16" si="4">F12-F14</f>
        <v>3000</v>
      </c>
      <c r="G16" s="4">
        <f t="shared" si="4"/>
        <v>2000</v>
      </c>
      <c r="H16" s="4">
        <f t="shared" si="4"/>
        <v>1000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19"/>
      <c r="N16" s="19"/>
    </row>
    <row r="17" customHeight="1" spans="1:14">
      <c r="A17" s="3">
        <v>2.4</v>
      </c>
      <c r="B17" s="3" t="s">
        <v>408</v>
      </c>
      <c r="C17" s="4">
        <f>SUM(D17:L17)</f>
        <v>0.264175</v>
      </c>
      <c r="D17" s="4">
        <f>D13*A财务假设!D18</f>
        <v>0</v>
      </c>
      <c r="E17" s="8">
        <f>E13*A财务假设!D18</f>
        <v>0.054725</v>
      </c>
      <c r="F17" s="8">
        <f>F13*A财务假设!D18</f>
        <v>0.05378</v>
      </c>
      <c r="G17" s="8">
        <f>G13*A财务假设!D18</f>
        <v>0.052835</v>
      </c>
      <c r="H17" s="8">
        <f>H13*A财务假设!D18</f>
        <v>0.05189</v>
      </c>
      <c r="I17" s="8">
        <f>I13*A财务假设!D18</f>
        <v>0.050945</v>
      </c>
      <c r="J17" s="8">
        <f>J13*A财务假设!D18</f>
        <v>0</v>
      </c>
      <c r="K17" s="8">
        <f>K13*A财务假设!D18</f>
        <v>0</v>
      </c>
      <c r="L17" s="8">
        <f>L13*A财务假设!D18</f>
        <v>0</v>
      </c>
      <c r="M17" s="19"/>
      <c r="N17" s="19"/>
    </row>
    <row r="18" customHeight="1" spans="1:14">
      <c r="A18" s="3">
        <v>2.5</v>
      </c>
      <c r="B18" s="3" t="s">
        <v>409</v>
      </c>
      <c r="C18" s="4">
        <f>SUM(D18:L18)</f>
        <v>40.32</v>
      </c>
      <c r="D18" s="4">
        <f>C.2项目每年借款信息!C4*(0.0064%+0.8%)</f>
        <v>0</v>
      </c>
      <c r="E18" s="4">
        <f>C.2项目每年借款信息!D4*(0.0064%+0.8%)</f>
        <v>40.32</v>
      </c>
      <c r="F18" s="4">
        <f>C.2项目每年借款信息!E4*(0.0064%+0.8%)</f>
        <v>0</v>
      </c>
      <c r="G18" s="4">
        <f>C.2项目每年借款信息!F4*(0.0064%+0.8%)</f>
        <v>0</v>
      </c>
      <c r="H18" s="4">
        <f>C.2项目每年借款信息!G4*(0.0064%+0.8%)</f>
        <v>0</v>
      </c>
      <c r="I18" s="4">
        <f>C.2项目每年借款信息!H4*(0.0064%+0.8%)</f>
        <v>0</v>
      </c>
      <c r="J18" s="4">
        <f>C.2项目每年借款信息!I4*(0.0064%+0.8%)</f>
        <v>0</v>
      </c>
      <c r="K18" s="4">
        <f>C.2项目每年借款信息!J4*(0.0064%+0.8%)</f>
        <v>0</v>
      </c>
      <c r="L18" s="4">
        <f>C.2项目每年借款信息!K4*(0.0064%+0.8%)</f>
        <v>0</v>
      </c>
      <c r="M18" s="19"/>
      <c r="N18" s="19"/>
    </row>
    <row r="19" customHeight="1" spans="1:14">
      <c r="A19" s="3"/>
      <c r="B19" s="3" t="s">
        <v>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9"/>
      <c r="N19" s="19"/>
    </row>
    <row r="20" customHeight="1" spans="1:14">
      <c r="A20" s="3" t="s">
        <v>50</v>
      </c>
      <c r="B20" s="3" t="s">
        <v>411</v>
      </c>
      <c r="C20" s="12">
        <f>C.1项目融资信息!D4+C.1项目融资信息!D5</f>
        <v>15000</v>
      </c>
      <c r="D20" s="13"/>
      <c r="E20" s="13"/>
      <c r="F20" s="13"/>
      <c r="G20" s="13"/>
      <c r="H20" s="13"/>
      <c r="I20" s="13"/>
      <c r="J20" s="13"/>
      <c r="K20" s="13"/>
      <c r="L20" s="20"/>
      <c r="M20" s="19"/>
      <c r="N20" s="19"/>
    </row>
    <row r="21" customHeight="1" spans="1:14">
      <c r="A21" s="3" t="s">
        <v>412</v>
      </c>
      <c r="B21" s="3" t="s">
        <v>403</v>
      </c>
      <c r="C21" s="4" t="s">
        <v>98</v>
      </c>
      <c r="D21" s="4">
        <f>D12</f>
        <v>0</v>
      </c>
      <c r="E21" s="4">
        <f t="shared" ref="E21:L21" si="5">E4+E12</f>
        <v>2000</v>
      </c>
      <c r="F21" s="4">
        <f t="shared" si="5"/>
        <v>9000</v>
      </c>
      <c r="G21" s="4">
        <f t="shared" si="5"/>
        <v>13000</v>
      </c>
      <c r="H21" s="4">
        <f t="shared" si="5"/>
        <v>12000</v>
      </c>
      <c r="I21" s="4">
        <f t="shared" si="5"/>
        <v>11000</v>
      </c>
      <c r="J21" s="4">
        <f t="shared" si="5"/>
        <v>10000</v>
      </c>
      <c r="K21" s="4">
        <f t="shared" si="5"/>
        <v>10000</v>
      </c>
      <c r="L21" s="4">
        <f t="shared" si="5"/>
        <v>10000</v>
      </c>
      <c r="M21" s="19"/>
      <c r="N21" s="19"/>
    </row>
    <row r="22" customHeight="1" spans="1:14">
      <c r="A22" s="3" t="s">
        <v>413</v>
      </c>
      <c r="B22" s="3" t="s">
        <v>404</v>
      </c>
      <c r="C22" s="4">
        <f>SUM(D22:L22)</f>
        <v>17354.8</v>
      </c>
      <c r="D22" s="4">
        <f t="shared" ref="D22:L22" si="6">D5+D13</f>
        <v>53.8</v>
      </c>
      <c r="E22" s="4">
        <f t="shared" si="6"/>
        <v>1229</v>
      </c>
      <c r="F22" s="4">
        <f t="shared" si="6"/>
        <v>1344.6</v>
      </c>
      <c r="G22" s="4">
        <f t="shared" si="6"/>
        <v>1325.7</v>
      </c>
      <c r="H22" s="4">
        <f t="shared" si="6"/>
        <v>1306.8</v>
      </c>
      <c r="I22" s="4">
        <f t="shared" si="6"/>
        <v>1287.9</v>
      </c>
      <c r="J22" s="4">
        <f t="shared" si="6"/>
        <v>269</v>
      </c>
      <c r="K22" s="4">
        <f t="shared" si="6"/>
        <v>269</v>
      </c>
      <c r="L22" s="4">
        <f t="shared" si="6"/>
        <v>10269</v>
      </c>
      <c r="M22" s="19"/>
      <c r="N22" s="19"/>
    </row>
    <row r="23" customHeight="1" spans="1:14">
      <c r="A23" s="3" t="s">
        <v>414</v>
      </c>
      <c r="B23" s="3" t="s">
        <v>405</v>
      </c>
      <c r="C23" s="4">
        <f>SUM(D23:L23)</f>
        <v>15000</v>
      </c>
      <c r="D23" s="4">
        <f t="shared" ref="D23:L23" si="7">D6+D14</f>
        <v>0</v>
      </c>
      <c r="E23" s="4">
        <f t="shared" si="7"/>
        <v>1000</v>
      </c>
      <c r="F23" s="4">
        <f t="shared" si="7"/>
        <v>1000</v>
      </c>
      <c r="G23" s="4">
        <f t="shared" si="7"/>
        <v>1000</v>
      </c>
      <c r="H23" s="4">
        <f t="shared" si="7"/>
        <v>1000</v>
      </c>
      <c r="I23" s="4">
        <f t="shared" si="7"/>
        <v>1000</v>
      </c>
      <c r="J23" s="4">
        <f t="shared" si="7"/>
        <v>0</v>
      </c>
      <c r="K23" s="4">
        <f t="shared" si="7"/>
        <v>0</v>
      </c>
      <c r="L23" s="4">
        <f t="shared" si="7"/>
        <v>10000</v>
      </c>
      <c r="M23" s="19"/>
      <c r="N23" s="19"/>
    </row>
    <row r="24" customHeight="1" spans="1:14">
      <c r="A24" s="3" t="s">
        <v>415</v>
      </c>
      <c r="B24" s="3" t="s">
        <v>406</v>
      </c>
      <c r="C24" s="4">
        <f>SUM(D24:L24)</f>
        <v>2354.8</v>
      </c>
      <c r="D24" s="4">
        <f>D7+D15</f>
        <v>53.8</v>
      </c>
      <c r="E24" s="4">
        <f>E7+E15</f>
        <v>229</v>
      </c>
      <c r="F24" s="4">
        <f t="shared" ref="F24:L24" si="8">F7+F15</f>
        <v>344.6</v>
      </c>
      <c r="G24" s="4">
        <f t="shared" si="8"/>
        <v>325.7</v>
      </c>
      <c r="H24" s="4">
        <f t="shared" si="8"/>
        <v>306.8</v>
      </c>
      <c r="I24" s="4">
        <f t="shared" si="8"/>
        <v>287.9</v>
      </c>
      <c r="J24" s="4">
        <f t="shared" si="8"/>
        <v>269</v>
      </c>
      <c r="K24" s="4">
        <f t="shared" si="8"/>
        <v>269</v>
      </c>
      <c r="L24" s="4">
        <f t="shared" si="8"/>
        <v>269</v>
      </c>
      <c r="M24" s="19"/>
      <c r="N24" s="19"/>
    </row>
    <row r="25" customHeight="1" spans="1:14">
      <c r="A25" s="3" t="s">
        <v>416</v>
      </c>
      <c r="B25" s="3" t="s">
        <v>407</v>
      </c>
      <c r="C25" s="4" t="s">
        <v>98</v>
      </c>
      <c r="D25" s="4">
        <f>D8+D16</f>
        <v>2000</v>
      </c>
      <c r="E25" s="4">
        <f>E8+E16</f>
        <v>9000</v>
      </c>
      <c r="F25" s="4">
        <f t="shared" ref="F25:L25" si="9">F8+F16</f>
        <v>13000</v>
      </c>
      <c r="G25" s="4">
        <f t="shared" si="9"/>
        <v>12000</v>
      </c>
      <c r="H25" s="4">
        <f t="shared" si="9"/>
        <v>11000</v>
      </c>
      <c r="I25" s="4">
        <f t="shared" si="9"/>
        <v>10000</v>
      </c>
      <c r="J25" s="4">
        <f t="shared" si="9"/>
        <v>10000</v>
      </c>
      <c r="K25" s="4">
        <f t="shared" si="9"/>
        <v>10000</v>
      </c>
      <c r="L25" s="4">
        <f t="shared" si="9"/>
        <v>0</v>
      </c>
      <c r="M25" s="19"/>
      <c r="N25" s="19"/>
    </row>
    <row r="26" customHeight="1" spans="1:14">
      <c r="A26" s="3" t="s">
        <v>417</v>
      </c>
      <c r="B26" s="3" t="s">
        <v>408</v>
      </c>
      <c r="C26" s="4">
        <f>SUM(D26:L26)</f>
        <v>0.86774</v>
      </c>
      <c r="D26" s="4">
        <f>D9+D17</f>
        <v>0.00269</v>
      </c>
      <c r="E26" s="4">
        <f>E9+E17</f>
        <v>0.06145</v>
      </c>
      <c r="F26" s="4">
        <f t="shared" ref="F26:L26" si="10">F9+F17</f>
        <v>0.06723</v>
      </c>
      <c r="G26" s="4">
        <f t="shared" si="10"/>
        <v>0.066285</v>
      </c>
      <c r="H26" s="4">
        <f t="shared" si="10"/>
        <v>0.06534</v>
      </c>
      <c r="I26" s="4">
        <f t="shared" si="10"/>
        <v>0.064395</v>
      </c>
      <c r="J26" s="4">
        <f t="shared" si="10"/>
        <v>0.01345</v>
      </c>
      <c r="K26" s="4">
        <f t="shared" si="10"/>
        <v>0.01345</v>
      </c>
      <c r="L26" s="4">
        <f t="shared" si="10"/>
        <v>0.51345</v>
      </c>
      <c r="M26" s="19"/>
      <c r="N26" s="19"/>
    </row>
    <row r="27" customHeight="1" spans="1:14">
      <c r="A27" s="3" t="s">
        <v>418</v>
      </c>
      <c r="B27" s="3" t="s">
        <v>409</v>
      </c>
      <c r="C27" s="4">
        <f>C10+C18</f>
        <v>120.96</v>
      </c>
      <c r="D27" s="4">
        <f>D10+D18</f>
        <v>16.128</v>
      </c>
      <c r="E27" s="4">
        <f>E10+E18</f>
        <v>64.512</v>
      </c>
      <c r="F27" s="4">
        <f t="shared" ref="F27:L27" si="11">F10+F18</f>
        <v>40.32</v>
      </c>
      <c r="G27" s="4">
        <f t="shared" si="11"/>
        <v>0</v>
      </c>
      <c r="H27" s="4">
        <f t="shared" si="11"/>
        <v>0</v>
      </c>
      <c r="I27" s="4">
        <f t="shared" si="11"/>
        <v>0</v>
      </c>
      <c r="J27" s="4">
        <f t="shared" si="11"/>
        <v>0</v>
      </c>
      <c r="K27" s="4">
        <f t="shared" si="11"/>
        <v>0</v>
      </c>
      <c r="L27" s="4">
        <f t="shared" si="11"/>
        <v>0</v>
      </c>
      <c r="M27" s="19"/>
      <c r="N27" s="19"/>
    </row>
    <row r="28" customHeight="1" spans="1:14">
      <c r="A28" s="14" t="s">
        <v>419</v>
      </c>
      <c r="B28" s="6" t="s">
        <v>420</v>
      </c>
      <c r="C28" s="7"/>
      <c r="D28" s="7">
        <f>'b利润与利润分配表（损益和利润分配表）'!E25/D24</f>
        <v>0</v>
      </c>
      <c r="E28" s="7">
        <f>'b利润与利润分配表（损益和利润分配表）'!F25/E24</f>
        <v>6.42417558673648</v>
      </c>
      <c r="F28" s="7">
        <f>'b利润与利润分配表（损益和利润分配表）'!G25/F24</f>
        <v>5.55200071990135</v>
      </c>
      <c r="G28" s="7">
        <f>'b利润与利润分配表（损益和利润分配表）'!H25/G24</f>
        <v>4.44940699910009</v>
      </c>
      <c r="H28" s="7"/>
      <c r="I28" s="7"/>
      <c r="J28" s="7"/>
      <c r="K28" s="7">
        <f>'b利润与利润分配表（损益和利润分配表）'!I25/K24</f>
        <v>6.86050562768888</v>
      </c>
      <c r="L28" s="7">
        <f>'b利润与利润分配表（损益和利润分配表）'!J25/L24</f>
        <v>6.96496309314444</v>
      </c>
      <c r="M28" s="19"/>
      <c r="N28" s="19"/>
    </row>
    <row r="29" customHeight="1" spans="1:14">
      <c r="A29" s="15"/>
      <c r="B29" s="16" t="s">
        <v>421</v>
      </c>
      <c r="C29" s="17"/>
      <c r="D29" s="17" t="e">
        <f>('b利润与利润分配表（损益和利润分配表）'!E26-'b利润与利润分配表（损益和利润分配表）'!E11)/D23</f>
        <v>#DIV/0!</v>
      </c>
      <c r="E29" s="17">
        <f>('b利润与利润分配表（损益和利润分配表）'!F26-'b利润与利润分配表（损益和利润分配表）'!F11)/E23</f>
        <v>1.39350269627749</v>
      </c>
      <c r="F29" s="17">
        <f>('b利润与利润分配表（损益和利润分配表）'!G26-'b利润与利润分配表（损益和利润分配表）'!G11)/F23</f>
        <v>1.81518073257313</v>
      </c>
      <c r="G29" s="17">
        <f>('b利润与利润分配表（损益和利润分配表）'!H26-'b利润与利润分配表（损益和利润分配表）'!H11)/G23</f>
        <v>1.44781742641442</v>
      </c>
      <c r="H29" s="17"/>
      <c r="I29" s="17"/>
      <c r="J29" s="17"/>
      <c r="K29" s="17" t="e">
        <f>('b利润与利润分配表（损益和利润分配表）'!I26-'b利润与利润分配表（损益和利润分配表）'!I11)/K23</f>
        <v>#DIV/0!</v>
      </c>
      <c r="L29" s="17">
        <f>('b利润与利润分配表（损益和利润分配表）'!J26-'b利润与利润分配表（损益和利润分配表）'!J11)/L23</f>
        <v>0.184215168808532</v>
      </c>
      <c r="M29" s="19"/>
      <c r="N29" s="19"/>
    </row>
    <row r="30" customHeight="1" spans="1:14">
      <c r="A30" s="18" t="s">
        <v>422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9"/>
    </row>
    <row r="31" customHeight="1" spans="1:1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customHeight="1" spans="1:1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customHeight="1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customHeight="1" spans="1:1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customHeight="1" spans="1: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customHeight="1" spans="1:1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</sheetData>
  <mergeCells count="6">
    <mergeCell ref="A1:L1"/>
    <mergeCell ref="C3:L3"/>
    <mergeCell ref="C11:L11"/>
    <mergeCell ref="C20:L20"/>
    <mergeCell ref="A30:L30"/>
    <mergeCell ref="A28:A29"/>
  </mergeCells>
  <pageMargins left="0.75" right="0.75" top="1" bottom="1" header="0.5" footer="0.5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29"/>
  <sheetViews>
    <sheetView zoomScale="70" zoomScaleNormal="70" workbookViewId="0">
      <selection activeCell="L16" sqref="L16"/>
    </sheetView>
  </sheetViews>
  <sheetFormatPr defaultColWidth="8.88888888888889" defaultRowHeight="28" customHeight="1"/>
  <cols>
    <col min="2" max="2" width="20.6666666666667" customWidth="1"/>
    <col min="3" max="3" width="18.0925925925926" customWidth="1"/>
    <col min="4" max="4" width="18.8888888888889" customWidth="1"/>
    <col min="5" max="7" width="17.1111111111111"/>
    <col min="8" max="8" width="15.6666666666667"/>
    <col min="9" max="9" width="17.1111111111111"/>
  </cols>
  <sheetData>
    <row r="1" customHeight="1" spans="1:9">
      <c r="A1" s="1" t="s">
        <v>423</v>
      </c>
      <c r="B1" s="1"/>
      <c r="C1" s="1"/>
      <c r="D1" s="1"/>
      <c r="E1" s="1"/>
      <c r="F1" s="1"/>
      <c r="G1" s="1"/>
      <c r="H1" s="1"/>
      <c r="I1" s="1"/>
    </row>
    <row r="2" customHeight="1" spans="1:9">
      <c r="A2" s="2" t="s">
        <v>1</v>
      </c>
      <c r="B2" s="2" t="s">
        <v>167</v>
      </c>
      <c r="C2" s="2" t="s">
        <v>130</v>
      </c>
      <c r="D2" s="2">
        <v>2025</v>
      </c>
      <c r="E2" s="2">
        <v>2026</v>
      </c>
      <c r="F2" s="2">
        <v>2027</v>
      </c>
      <c r="G2" s="2">
        <v>2028</v>
      </c>
      <c r="H2" s="2" t="s">
        <v>52</v>
      </c>
      <c r="I2" s="2">
        <v>2045</v>
      </c>
    </row>
    <row r="3" customHeight="1" spans="1:9">
      <c r="A3" s="3">
        <v>1</v>
      </c>
      <c r="B3" s="3" t="s">
        <v>424</v>
      </c>
      <c r="C3" s="4">
        <f t="shared" ref="C3:C10" si="0">SUM(D3:I3)</f>
        <v>8851.03188239779</v>
      </c>
      <c r="D3" s="4">
        <f t="shared" ref="D3:I3" si="1">D4-D8</f>
        <v>0</v>
      </c>
      <c r="E3" s="4">
        <f t="shared" si="1"/>
        <v>1491.4122496354</v>
      </c>
      <c r="F3" s="4">
        <f t="shared" si="1"/>
        <v>1932.34691408327</v>
      </c>
      <c r="G3" s="4">
        <f t="shared" si="1"/>
        <v>1537.88116005454</v>
      </c>
      <c r="H3" s="4">
        <f t="shared" si="1"/>
        <v>1930.77717596618</v>
      </c>
      <c r="I3" s="4">
        <f t="shared" si="1"/>
        <v>1958.6143826584</v>
      </c>
    </row>
    <row r="4" customHeight="1" spans="1:9">
      <c r="A4" s="3">
        <v>1.1</v>
      </c>
      <c r="B4" s="3" t="s">
        <v>337</v>
      </c>
      <c r="C4" s="4">
        <f t="shared" si="0"/>
        <v>9713</v>
      </c>
      <c r="D4" s="4">
        <f t="shared" ref="D4:I4" si="2">SUM(D5:D7)</f>
        <v>0</v>
      </c>
      <c r="E4" s="4">
        <f t="shared" si="2"/>
        <v>1685</v>
      </c>
      <c r="F4" s="4">
        <f t="shared" si="2"/>
        <v>2131</v>
      </c>
      <c r="G4" s="4">
        <f t="shared" si="2"/>
        <v>1665</v>
      </c>
      <c r="H4" s="4">
        <f t="shared" si="2"/>
        <v>2101</v>
      </c>
      <c r="I4" s="4">
        <f t="shared" si="2"/>
        <v>2131</v>
      </c>
    </row>
    <row r="5" customHeight="1" spans="1:9">
      <c r="A5" s="3" t="s">
        <v>152</v>
      </c>
      <c r="B5" s="3" t="s">
        <v>338</v>
      </c>
      <c r="C5" s="4">
        <f t="shared" si="0"/>
        <v>9708</v>
      </c>
      <c r="D5" s="8">
        <f>F项目收入!D3+F项目收入!D5+F项目收入!D7</f>
        <v>0</v>
      </c>
      <c r="E5" s="8">
        <f>F项目收入!E3+F项目收入!E5+F项目收入!E7</f>
        <v>1684</v>
      </c>
      <c r="F5" s="8">
        <f>F项目收入!F3+F项目收入!F5+F项目收入!F7</f>
        <v>2130</v>
      </c>
      <c r="G5" s="8">
        <f>F项目收入!G3+F项目收入!G5+F项目收入!G7</f>
        <v>1664</v>
      </c>
      <c r="H5" s="8">
        <f>F项目收入!H3+F项目收入!H5+F项目收入!H7</f>
        <v>2100</v>
      </c>
      <c r="I5" s="8">
        <f>F项目收入!I3+F项目收入!I5+F项目收入!I7</f>
        <v>2130</v>
      </c>
    </row>
    <row r="6" customHeight="1" spans="1:9">
      <c r="A6" s="3" t="s">
        <v>153</v>
      </c>
      <c r="B6" s="3" t="s">
        <v>302</v>
      </c>
      <c r="C6" s="4">
        <f t="shared" si="0"/>
        <v>5</v>
      </c>
      <c r="D6" s="8">
        <f>F项目收入!D9</f>
        <v>0</v>
      </c>
      <c r="E6" s="8">
        <f>F项目收入!E9</f>
        <v>1</v>
      </c>
      <c r="F6" s="8">
        <f>F项目收入!F9</f>
        <v>1</v>
      </c>
      <c r="G6" s="8">
        <f>F项目收入!G9</f>
        <v>1</v>
      </c>
      <c r="H6" s="8">
        <f>F项目收入!H9</f>
        <v>1</v>
      </c>
      <c r="I6" s="8">
        <f>F项目收入!I9</f>
        <v>1</v>
      </c>
    </row>
    <row r="7" customHeight="1" spans="1:9">
      <c r="A7" s="3" t="s">
        <v>154</v>
      </c>
      <c r="B7" s="3" t="s">
        <v>425</v>
      </c>
      <c r="C7" s="4">
        <f t="shared" si="0"/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customHeight="1" spans="1:9">
      <c r="A8" s="3">
        <v>1.2</v>
      </c>
      <c r="B8" s="3" t="s">
        <v>341</v>
      </c>
      <c r="C8" s="4">
        <f t="shared" si="0"/>
        <v>861.968117602214</v>
      </c>
      <c r="D8" s="4">
        <f t="shared" ref="D8:I8" si="3">SUM(D9:D13)</f>
        <v>0</v>
      </c>
      <c r="E8" s="4">
        <f t="shared" si="3"/>
        <v>193.587750364597</v>
      </c>
      <c r="F8" s="4">
        <f t="shared" si="3"/>
        <v>198.653085916731</v>
      </c>
      <c r="G8" s="4">
        <f t="shared" si="3"/>
        <v>127.118839945462</v>
      </c>
      <c r="H8" s="4">
        <f t="shared" si="3"/>
        <v>170.22282403382</v>
      </c>
      <c r="I8" s="4">
        <f t="shared" si="3"/>
        <v>172.385617341603</v>
      </c>
    </row>
    <row r="9" customHeight="1" spans="1:9">
      <c r="A9" s="3" t="s">
        <v>157</v>
      </c>
      <c r="B9" s="3" t="s">
        <v>342</v>
      </c>
      <c r="C9" s="4">
        <f t="shared" si="0"/>
        <v>285.1567</v>
      </c>
      <c r="D9" s="4">
        <f>E总成本费用估算表!C11</f>
        <v>0</v>
      </c>
      <c r="E9" s="4">
        <f>E总成本费用估算表!D11</f>
        <v>104.57345</v>
      </c>
      <c r="F9" s="4">
        <f>E总成本费用估算表!E11</f>
        <v>68.38723</v>
      </c>
      <c r="G9" s="4">
        <f>E总成本费用估算表!F11</f>
        <v>32.066285</v>
      </c>
      <c r="H9" s="4">
        <f>E总成本费用估算表!G11</f>
        <v>40.06534</v>
      </c>
      <c r="I9" s="4">
        <f>E总成本费用估算表!H11</f>
        <v>40.064395</v>
      </c>
    </row>
    <row r="10" customHeight="1" spans="1:9">
      <c r="A10" s="3" t="s">
        <v>158</v>
      </c>
      <c r="B10" s="3" t="s">
        <v>343</v>
      </c>
      <c r="C10" s="4">
        <f t="shared" si="0"/>
        <v>66.0532524588657</v>
      </c>
      <c r="D10" s="4">
        <f>G.税金及附加测算表!D30</f>
        <v>0</v>
      </c>
      <c r="E10" s="4">
        <f>G.税金及附加测算表!E30</f>
        <v>5.69039363971563</v>
      </c>
      <c r="F10" s="4">
        <f>G.税金及附加测算表!F30</f>
        <v>16.113570205928</v>
      </c>
      <c r="G10" s="4">
        <f>G.税金及附加测算表!G30</f>
        <v>12.4177818600155</v>
      </c>
      <c r="H10" s="4">
        <f>G.税金及附加测算表!H30</f>
        <v>15.8138665841505</v>
      </c>
      <c r="I10" s="4">
        <f>G.税金及附加测算表!I30</f>
        <v>16.0176401690561</v>
      </c>
    </row>
    <row r="11" customHeight="1" spans="1:9">
      <c r="A11" s="3" t="s">
        <v>159</v>
      </c>
      <c r="B11" s="3" t="s">
        <v>426</v>
      </c>
      <c r="C11" s="4">
        <f t="shared" ref="C11:C29" si="4">SUM(D11:I11)</f>
        <v>66.0532524588657</v>
      </c>
      <c r="D11" s="4">
        <f>G.税金及附加测算表!D30</f>
        <v>0</v>
      </c>
      <c r="E11" s="4">
        <f>G.税金及附加测算表!E30</f>
        <v>5.69039363971563</v>
      </c>
      <c r="F11" s="4">
        <f>G.税金及附加测算表!F30</f>
        <v>16.113570205928</v>
      </c>
      <c r="G11" s="4">
        <f>G.税金及附加测算表!G30</f>
        <v>12.4177818600155</v>
      </c>
      <c r="H11" s="4">
        <f>G.税金及附加测算表!H30</f>
        <v>15.8138665841505</v>
      </c>
      <c r="I11" s="4">
        <f>G.税金及附加测算表!I30</f>
        <v>16.0176401690561</v>
      </c>
    </row>
    <row r="12" customHeight="1" spans="1:9">
      <c r="A12" s="3" t="s">
        <v>160</v>
      </c>
      <c r="B12" s="3" t="s">
        <v>375</v>
      </c>
      <c r="C12" s="4">
        <f t="shared" si="4"/>
        <v>444.704912684483</v>
      </c>
      <c r="D12" s="4">
        <f>'b利润与利润分配表（损益和利润分配表）'!E11</f>
        <v>0</v>
      </c>
      <c r="E12" s="4">
        <f>'b利润与利润分配表（损益和利润分配表）'!F11</f>
        <v>77.6335130851659</v>
      </c>
      <c r="F12" s="4">
        <f>'b利润与利润分配表（损益和利润分配表）'!G11</f>
        <v>98.0387155048753</v>
      </c>
      <c r="G12" s="4">
        <f>'b利润与利润分配表（损益和利润分配表）'!H11</f>
        <v>70.2169912254313</v>
      </c>
      <c r="H12" s="4">
        <f>'b利润与利润分配表（损益和利润分配表）'!I11</f>
        <v>98.5297508655192</v>
      </c>
      <c r="I12" s="4">
        <f>'b利润与利润分配表（损益和利润分配表）'!J11</f>
        <v>100.285942003491</v>
      </c>
    </row>
    <row r="13" customHeight="1" spans="1:9">
      <c r="A13" s="3" t="s">
        <v>427</v>
      </c>
      <c r="B13" s="3" t="s">
        <v>428</v>
      </c>
      <c r="C13" s="4">
        <f t="shared" si="4"/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customHeight="1" spans="1:9">
      <c r="A14" s="3">
        <v>2</v>
      </c>
      <c r="B14" s="3" t="s">
        <v>429</v>
      </c>
      <c r="C14" s="4">
        <f t="shared" si="4"/>
        <v>-673.690056666667</v>
      </c>
      <c r="D14" s="4">
        <f t="shared" ref="D14:I14" si="5">D15-D16</f>
        <v>-181.128</v>
      </c>
      <c r="E14" s="4">
        <f t="shared" si="5"/>
        <v>-253.740343055556</v>
      </c>
      <c r="F14" s="4">
        <f t="shared" si="5"/>
        <v>-238.821713611111</v>
      </c>
      <c r="G14" s="4">
        <f t="shared" si="5"/>
        <v>0</v>
      </c>
      <c r="H14" s="4">
        <f t="shared" si="5"/>
        <v>0</v>
      </c>
      <c r="I14" s="4">
        <f t="shared" si="5"/>
        <v>0</v>
      </c>
    </row>
    <row r="15" ht="41" customHeight="1" spans="1:9">
      <c r="A15" s="3">
        <v>2.1</v>
      </c>
      <c r="B15" s="9" t="s">
        <v>430</v>
      </c>
      <c r="C15" s="4">
        <f t="shared" si="4"/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customHeight="1" spans="1:9">
      <c r="A16" s="3">
        <v>2.2</v>
      </c>
      <c r="B16" s="3" t="s">
        <v>341</v>
      </c>
      <c r="C16" s="4">
        <f t="shared" si="4"/>
        <v>673.690056666667</v>
      </c>
      <c r="D16" s="4">
        <f t="shared" ref="D16:I16" si="6">SUM(D17:D20)</f>
        <v>181.128</v>
      </c>
      <c r="E16" s="4">
        <f t="shared" si="6"/>
        <v>253.740343055556</v>
      </c>
      <c r="F16" s="4">
        <f t="shared" si="6"/>
        <v>238.821713611111</v>
      </c>
      <c r="G16" s="4">
        <f t="shared" si="6"/>
        <v>0</v>
      </c>
      <c r="H16" s="4">
        <f t="shared" si="6"/>
        <v>0</v>
      </c>
      <c r="I16" s="4">
        <f t="shared" si="6"/>
        <v>0</v>
      </c>
    </row>
    <row r="17" customHeight="1" spans="1:9">
      <c r="A17" s="3" t="s">
        <v>144</v>
      </c>
      <c r="B17" s="3" t="s">
        <v>132</v>
      </c>
      <c r="C17" s="4">
        <f t="shared" si="4"/>
        <v>648.96</v>
      </c>
      <c r="D17" s="4">
        <f>D.2项目总投资使用计划与资金筹措表!D4</f>
        <v>181.128</v>
      </c>
      <c r="E17" s="4">
        <f>D.2项目总投资使用计划与资金筹措表!E4</f>
        <v>240.512</v>
      </c>
      <c r="F17" s="4">
        <f>D.2项目总投资使用计划与资金筹措表!F4</f>
        <v>227.32</v>
      </c>
      <c r="G17" s="4">
        <f>D.2项目总投资使用计划与资金筹措表!G4</f>
        <v>0</v>
      </c>
      <c r="H17" s="4">
        <f>D.2项目总投资使用计划与资金筹措表!H4</f>
        <v>0</v>
      </c>
      <c r="I17" s="4">
        <f>D.2项目总投资使用计划与资金筹措表!I4</f>
        <v>0</v>
      </c>
    </row>
    <row r="18" customHeight="1" spans="1:9">
      <c r="A18" s="3" t="s">
        <v>145</v>
      </c>
      <c r="B18" s="3" t="s">
        <v>344</v>
      </c>
      <c r="C18" s="4">
        <f t="shared" si="4"/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customHeight="1" spans="1:9">
      <c r="A19" s="3" t="s">
        <v>146</v>
      </c>
      <c r="B19" s="3" t="s">
        <v>134</v>
      </c>
      <c r="C19" s="4">
        <f t="shared" si="4"/>
        <v>24.7300566666667</v>
      </c>
      <c r="D19" s="4">
        <f>D.2项目总投资使用计划与资金筹措表!D6</f>
        <v>0</v>
      </c>
      <c r="E19" s="4">
        <f>D.2项目总投资使用计划与资金筹措表!E6</f>
        <v>13.2283430555556</v>
      </c>
      <c r="F19" s="4">
        <f>D.2项目总投资使用计划与资金筹措表!F6</f>
        <v>11.5017136111111</v>
      </c>
      <c r="G19" s="4">
        <f>D.2项目总投资使用计划与资金筹措表!G6</f>
        <v>0</v>
      </c>
      <c r="H19" s="4">
        <f>D.2项目总投资使用计划与资金筹措表!H6</f>
        <v>0</v>
      </c>
      <c r="I19" s="4">
        <f>D.2项目总投资使用计划与资金筹措表!I6</f>
        <v>0</v>
      </c>
    </row>
    <row r="20" customHeight="1" spans="1:9">
      <c r="A20" s="3" t="s">
        <v>431</v>
      </c>
      <c r="B20" s="3" t="s">
        <v>428</v>
      </c>
      <c r="C20" s="4">
        <f t="shared" si="4"/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customHeight="1" spans="1:9">
      <c r="A21" s="3">
        <v>3</v>
      </c>
      <c r="B21" s="3" t="s">
        <v>432</v>
      </c>
      <c r="C21" s="4">
        <f t="shared" si="4"/>
        <v>-13190.0099433333</v>
      </c>
      <c r="D21" s="4">
        <f t="shared" ref="D21:I21" si="7">D22-D25</f>
        <v>181.128</v>
      </c>
      <c r="E21" s="4">
        <f t="shared" si="7"/>
        <v>-746.259656944444</v>
      </c>
      <c r="F21" s="4">
        <f t="shared" si="7"/>
        <v>-761.178286388889</v>
      </c>
      <c r="G21" s="4">
        <f t="shared" si="7"/>
        <v>-1325.7</v>
      </c>
      <c r="H21" s="4">
        <f t="shared" si="7"/>
        <v>-269</v>
      </c>
      <c r="I21" s="4">
        <f t="shared" si="7"/>
        <v>-10269</v>
      </c>
    </row>
    <row r="22" customHeight="1" spans="1:9">
      <c r="A22" s="3">
        <v>3.1</v>
      </c>
      <c r="B22" s="3" t="s">
        <v>337</v>
      </c>
      <c r="C22" s="4">
        <f t="shared" si="4"/>
        <v>1301.09005666667</v>
      </c>
      <c r="D22" s="4">
        <f t="shared" ref="D22:I22" si="8">SUM(D23:D24)</f>
        <v>234.928</v>
      </c>
      <c r="E22" s="4">
        <f t="shared" si="8"/>
        <v>482.740343055556</v>
      </c>
      <c r="F22" s="4">
        <f t="shared" si="8"/>
        <v>583.421713611111</v>
      </c>
      <c r="G22" s="4">
        <f t="shared" si="8"/>
        <v>0</v>
      </c>
      <c r="H22" s="4">
        <f t="shared" si="8"/>
        <v>0</v>
      </c>
      <c r="I22" s="4">
        <f t="shared" si="8"/>
        <v>0</v>
      </c>
    </row>
    <row r="23" customHeight="1" spans="1:9">
      <c r="A23" s="3" t="s">
        <v>433</v>
      </c>
      <c r="B23" s="3" t="s">
        <v>434</v>
      </c>
      <c r="C23" s="4">
        <f t="shared" si="4"/>
        <v>704.819017</v>
      </c>
      <c r="D23" s="4">
        <f>D.2项目总投资使用计划与资金筹措表!D8</f>
        <v>73.8</v>
      </c>
      <c r="E23" s="4">
        <f>D.2项目总投资使用计划与资金筹措表!E8</f>
        <v>252.968502916667</v>
      </c>
      <c r="F23" s="4">
        <f>D.2项目总投资使用计划与资金筹措表!F8</f>
        <v>378.050514083333</v>
      </c>
      <c r="G23" s="4">
        <f>D.2项目总投资使用计划与资金筹措表!G8</f>
        <v>0</v>
      </c>
      <c r="H23" s="4">
        <f>D.2项目总投资使用计划与资金筹措表!H8</f>
        <v>0</v>
      </c>
      <c r="I23" s="4">
        <f>D.2项目总投资使用计划与资金筹措表!I8</f>
        <v>0</v>
      </c>
    </row>
    <row r="24" customHeight="1" spans="1:9">
      <c r="A24" s="3" t="s">
        <v>435</v>
      </c>
      <c r="B24" s="3" t="s">
        <v>436</v>
      </c>
      <c r="C24" s="4">
        <f t="shared" si="4"/>
        <v>596.271039666667</v>
      </c>
      <c r="D24" s="4">
        <f>D.2项目总投资使用计划与资金筹措表!D12</f>
        <v>161.128</v>
      </c>
      <c r="E24" s="4">
        <f>D.2项目总投资使用计划与资金筹措表!E12</f>
        <v>229.771840138889</v>
      </c>
      <c r="F24" s="4">
        <f>D.2项目总投资使用计划与资金筹措表!F12</f>
        <v>205.371199527778</v>
      </c>
      <c r="G24" s="4">
        <f>D.2项目总投资使用计划与资金筹措表!G12</f>
        <v>0</v>
      </c>
      <c r="H24" s="4">
        <f>D.2项目总投资使用计划与资金筹措表!H12</f>
        <v>0</v>
      </c>
      <c r="I24" s="4">
        <f>D.2项目总投资使用计划与资金筹措表!I12</f>
        <v>0</v>
      </c>
    </row>
    <row r="25" customHeight="1" spans="1:9">
      <c r="A25" s="3">
        <v>3.2</v>
      </c>
      <c r="B25" s="3" t="s">
        <v>341</v>
      </c>
      <c r="C25" s="4">
        <f t="shared" si="4"/>
        <v>14491.1</v>
      </c>
      <c r="D25" s="4">
        <f t="shared" ref="D25:I25" si="9">SUM(D26:D27)</f>
        <v>53.8</v>
      </c>
      <c r="E25" s="4">
        <f t="shared" si="9"/>
        <v>1229</v>
      </c>
      <c r="F25" s="4">
        <f t="shared" si="9"/>
        <v>1344.6</v>
      </c>
      <c r="G25" s="4">
        <f t="shared" si="9"/>
        <v>1325.7</v>
      </c>
      <c r="H25" s="4">
        <f t="shared" si="9"/>
        <v>269</v>
      </c>
      <c r="I25" s="4">
        <f t="shared" si="9"/>
        <v>10269</v>
      </c>
    </row>
    <row r="26" customHeight="1" spans="1:9">
      <c r="A26" s="3" t="s">
        <v>437</v>
      </c>
      <c r="B26" s="3" t="s">
        <v>438</v>
      </c>
      <c r="C26" s="4">
        <f t="shared" si="4"/>
        <v>1491.1</v>
      </c>
      <c r="D26" s="4">
        <f>c借款还本付息计划表!D24</f>
        <v>53.8</v>
      </c>
      <c r="E26" s="4">
        <f>c借款还本付息计划表!E24</f>
        <v>229</v>
      </c>
      <c r="F26" s="4">
        <f>c借款还本付息计划表!F24</f>
        <v>344.6</v>
      </c>
      <c r="G26" s="4">
        <f>c借款还本付息计划表!G24</f>
        <v>325.7</v>
      </c>
      <c r="H26" s="4">
        <f>c借款还本付息计划表!K24</f>
        <v>269</v>
      </c>
      <c r="I26" s="4">
        <f>c借款还本付息计划表!L24</f>
        <v>269</v>
      </c>
    </row>
    <row r="27" customHeight="1" spans="1:9">
      <c r="A27" s="3" t="s">
        <v>439</v>
      </c>
      <c r="B27" s="3" t="s">
        <v>440</v>
      </c>
      <c r="C27" s="4">
        <f t="shared" si="4"/>
        <v>13000</v>
      </c>
      <c r="D27" s="4">
        <f>c借款还本付息计划表!D23</f>
        <v>0</v>
      </c>
      <c r="E27" s="4">
        <f>c借款还本付息计划表!E23</f>
        <v>1000</v>
      </c>
      <c r="F27" s="4">
        <f>c借款还本付息计划表!F23</f>
        <v>1000</v>
      </c>
      <c r="G27" s="4">
        <f>c借款还本付息计划表!G23</f>
        <v>1000</v>
      </c>
      <c r="H27" s="4">
        <f>c借款还本付息计划表!K23</f>
        <v>0</v>
      </c>
      <c r="I27" s="4">
        <f>c借款还本付息计划表!L23</f>
        <v>10000</v>
      </c>
    </row>
    <row r="28" customHeight="1" spans="1:9">
      <c r="A28" s="3">
        <v>4</v>
      </c>
      <c r="B28" s="3" t="s">
        <v>376</v>
      </c>
      <c r="C28" s="4">
        <f t="shared" si="4"/>
        <v>-5012.66811760221</v>
      </c>
      <c r="D28" s="4">
        <f t="shared" ref="D28:I28" si="10">D3+D14+D21</f>
        <v>0</v>
      </c>
      <c r="E28" s="4">
        <f t="shared" si="10"/>
        <v>491.412249635403</v>
      </c>
      <c r="F28" s="4">
        <f t="shared" si="10"/>
        <v>932.346914083269</v>
      </c>
      <c r="G28" s="4">
        <f t="shared" si="10"/>
        <v>212.181160054537</v>
      </c>
      <c r="H28" s="4">
        <f t="shared" si="10"/>
        <v>1661.77717596618</v>
      </c>
      <c r="I28" s="4">
        <f t="shared" si="10"/>
        <v>-8310.3856173416</v>
      </c>
    </row>
    <row r="29" customHeight="1" spans="1:9">
      <c r="A29" s="3">
        <v>5</v>
      </c>
      <c r="B29" s="3" t="s">
        <v>441</v>
      </c>
      <c r="C29" s="4"/>
      <c r="D29" s="4">
        <f>D28</f>
        <v>0</v>
      </c>
      <c r="E29" s="4">
        <f>D29+E28</f>
        <v>491.412249635403</v>
      </c>
      <c r="F29" s="4">
        <f>E29+F28</f>
        <v>1423.75916371867</v>
      </c>
      <c r="G29" s="4">
        <f>F29+G28</f>
        <v>1635.94032377321</v>
      </c>
      <c r="H29" s="4">
        <f>G29+H28</f>
        <v>3297.71749973939</v>
      </c>
      <c r="I29" s="4">
        <f>H29+I28</f>
        <v>-5012.66811760221</v>
      </c>
    </row>
  </sheetData>
  <mergeCells count="1">
    <mergeCell ref="A1:I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27"/>
  <sheetViews>
    <sheetView zoomScale="85" zoomScaleNormal="85" workbookViewId="0">
      <selection activeCell="K28" sqref="K28"/>
    </sheetView>
  </sheetViews>
  <sheetFormatPr defaultColWidth="8.88888888888889" defaultRowHeight="28" customHeight="1" outlineLevelCol="7"/>
  <cols>
    <col min="2" max="2" width="20.6666666666667" customWidth="1"/>
    <col min="3" max="3" width="16.8888888888889" customWidth="1"/>
    <col min="4" max="6" width="17.1111111111111"/>
    <col min="7" max="7" width="15.6666666666667"/>
    <col min="8" max="8" width="17.1111111111111"/>
  </cols>
  <sheetData>
    <row r="1" customHeight="1" spans="1:8">
      <c r="A1" s="1" t="s">
        <v>442</v>
      </c>
      <c r="B1" s="1"/>
      <c r="C1" s="1"/>
      <c r="D1" s="1"/>
      <c r="E1" s="1"/>
      <c r="F1" s="1"/>
      <c r="G1" s="1"/>
      <c r="H1" s="1"/>
    </row>
    <row r="2" customHeight="1" spans="1:8">
      <c r="A2" s="2" t="s">
        <v>1</v>
      </c>
      <c r="B2" s="2" t="s">
        <v>167</v>
      </c>
      <c r="C2" s="2">
        <v>2025</v>
      </c>
      <c r="D2" s="2">
        <v>2026</v>
      </c>
      <c r="E2" s="2">
        <v>2027</v>
      </c>
      <c r="F2" s="2">
        <v>2028</v>
      </c>
      <c r="G2" s="2" t="s">
        <v>52</v>
      </c>
      <c r="H2" s="2">
        <v>2045</v>
      </c>
    </row>
    <row r="3" customHeight="1" spans="1:8">
      <c r="A3" s="3">
        <v>1</v>
      </c>
      <c r="B3" s="3" t="s">
        <v>443</v>
      </c>
      <c r="C3" s="4">
        <f t="shared" ref="C3:H3" si="0">SUM(C4+C10+C11+C12)</f>
        <v>234.928</v>
      </c>
      <c r="D3" s="4">
        <f t="shared" si="0"/>
        <v>987.464269079847</v>
      </c>
      <c r="E3" s="4">
        <f t="shared" si="0"/>
        <v>2018.74092427423</v>
      </c>
      <c r="F3" s="4">
        <f t="shared" si="0"/>
        <v>2799.34403906784</v>
      </c>
      <c r="G3" s="4" t="e">
        <f t="shared" si="0"/>
        <v>#VALUE!</v>
      </c>
      <c r="H3" s="4">
        <f t="shared" si="0"/>
        <v>-5017.98360192336</v>
      </c>
    </row>
    <row r="4" customHeight="1" spans="1:8">
      <c r="A4" s="3">
        <v>1.1</v>
      </c>
      <c r="B4" s="3" t="s">
        <v>444</v>
      </c>
      <c r="C4" s="4">
        <f t="shared" ref="C4:H4" si="1">SUM(C5:C9)</f>
        <v>0</v>
      </c>
      <c r="D4" s="4">
        <f t="shared" si="1"/>
        <v>504.723926024292</v>
      </c>
      <c r="E4" s="4">
        <f t="shared" si="1"/>
        <v>1435.31921066312</v>
      </c>
      <c r="F4" s="4">
        <f t="shared" si="1"/>
        <v>1643.17084752321</v>
      </c>
      <c r="G4" s="4">
        <f t="shared" si="1"/>
        <v>3306.8090558505</v>
      </c>
      <c r="H4" s="4">
        <f t="shared" si="1"/>
        <v>-5003.49330690777</v>
      </c>
    </row>
    <row r="5" customHeight="1" spans="1:8">
      <c r="A5" s="3" t="s">
        <v>152</v>
      </c>
      <c r="B5" s="3" t="s">
        <v>445</v>
      </c>
      <c r="C5" s="4">
        <f>D.4流动资金估算表!E10+d财务计划现金流量表!D29</f>
        <v>0</v>
      </c>
      <c r="D5" s="4">
        <f>D.4流动资金估算表!F10+d财务计划现金流量表!E29</f>
        <v>495.186143385403</v>
      </c>
      <c r="E5" s="4">
        <f>D.4流动资金估算表!G10+d财务计划现金流量表!F29</f>
        <v>1426.20029830201</v>
      </c>
      <c r="F5" s="4">
        <f>D.4流动资金估算表!H10+d财务计划现金流量表!G29</f>
        <v>1636.80975231488</v>
      </c>
      <c r="G5" s="4">
        <f>D.4流动资金估算表!I10+d财务计划现金流量表!H29</f>
        <v>3298.80355557272</v>
      </c>
      <c r="H5" s="4">
        <f>D.4流动资金估算表!J10+d财务计划现金流量表!I29</f>
        <v>-5011.58210114388</v>
      </c>
    </row>
    <row r="6" customHeight="1" spans="1:8">
      <c r="A6" s="3" t="s">
        <v>153</v>
      </c>
      <c r="B6" s="3" t="s">
        <v>172</v>
      </c>
      <c r="C6" s="4">
        <f>D.4流动资金估算表!E4</f>
        <v>0</v>
      </c>
      <c r="D6" s="4">
        <f>D.4流动资金估算表!F4</f>
        <v>4.68055555555556</v>
      </c>
      <c r="E6" s="4">
        <f>D.4流动资金估算表!G4</f>
        <v>5.91944444444444</v>
      </c>
      <c r="F6" s="4">
        <f>D.4流动资金估算表!H4</f>
        <v>4.625</v>
      </c>
      <c r="G6" s="4">
        <f>D.4流动资金估算表!I4</f>
        <v>5.83611111111111</v>
      </c>
      <c r="H6" s="4">
        <f>D.4流动资金估算表!J4</f>
        <v>5.91944444444444</v>
      </c>
    </row>
    <row r="7" customHeight="1" spans="1:8">
      <c r="A7" s="3" t="s">
        <v>154</v>
      </c>
      <c r="B7" s="3" t="s">
        <v>446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customHeight="1" spans="1:8">
      <c r="A8" s="3" t="s">
        <v>155</v>
      </c>
      <c r="B8" s="3" t="s">
        <v>173</v>
      </c>
      <c r="C8" s="4">
        <f>D.4流动资金估算表!E5</f>
        <v>0</v>
      </c>
      <c r="D8" s="4">
        <f>D.4流动资金估算表!F5</f>
        <v>4.85722708333333</v>
      </c>
      <c r="E8" s="4">
        <f>D.4流动资金估算表!G5</f>
        <v>3.19946791666667</v>
      </c>
      <c r="F8" s="4">
        <f>D.4流动资金估算表!H5</f>
        <v>1.73609520833333</v>
      </c>
      <c r="G8" s="4">
        <f>D.4流动资金估算表!I5</f>
        <v>2.16938916666667</v>
      </c>
      <c r="H8" s="4">
        <f>D.4流动资金估算表!J5</f>
        <v>2.16934979166667</v>
      </c>
    </row>
    <row r="9" customHeight="1" spans="1:8">
      <c r="A9" s="3" t="s">
        <v>156</v>
      </c>
      <c r="B9" s="3" t="s">
        <v>447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customHeight="1" spans="1:8">
      <c r="A10" s="3">
        <v>1.2</v>
      </c>
      <c r="B10" s="3" t="s">
        <v>448</v>
      </c>
      <c r="C10" s="4">
        <f>D.2项目总投资使用计划与资金筹措表!D3</f>
        <v>234.928</v>
      </c>
      <c r="D10" s="4">
        <f>D.2项目总投资使用计划与资金筹措表!E3</f>
        <v>482.740343055556</v>
      </c>
      <c r="E10" s="4">
        <f>D.2项目总投资使用计划与资金筹措表!F3</f>
        <v>583.421713611111</v>
      </c>
      <c r="F10" s="4">
        <f>D.2项目总投资使用计划与资金筹措表!G3</f>
        <v>0</v>
      </c>
      <c r="G10" s="4">
        <f>D.2项目总投资使用计划与资金筹措表!H3</f>
        <v>0</v>
      </c>
      <c r="H10" s="4">
        <f>D.2项目总投资使用计划与资金筹措表!I3</f>
        <v>0</v>
      </c>
    </row>
    <row r="11" customHeight="1" spans="1:8">
      <c r="A11" s="3">
        <v>1.3</v>
      </c>
      <c r="B11" s="3" t="s">
        <v>449</v>
      </c>
      <c r="C11" s="5">
        <v>0</v>
      </c>
      <c r="D11" s="5">
        <v>0</v>
      </c>
      <c r="E11" s="5">
        <v>0</v>
      </c>
      <c r="F11" s="4">
        <f>E.2固定资产折旧费估算表!F4</f>
        <v>1026.6762605044</v>
      </c>
      <c r="G11" s="4" t="e">
        <f>E.2固定资产折旧费估算表!H4</f>
        <v>#VALUE!</v>
      </c>
      <c r="H11" s="4">
        <f>E.2固定资产折旧费估算表!I4</f>
        <v>-6.39673682557236</v>
      </c>
    </row>
    <row r="12" customHeight="1" spans="1:8">
      <c r="A12" s="3">
        <v>1.4</v>
      </c>
      <c r="B12" s="3" t="s">
        <v>450</v>
      </c>
      <c r="C12" s="5">
        <v>0</v>
      </c>
      <c r="D12" s="5">
        <v>0</v>
      </c>
      <c r="E12" s="5">
        <v>0</v>
      </c>
      <c r="F12" s="4">
        <f>E.3无形资产和其他资产摊销费估算表!F11</f>
        <v>129.49693104024</v>
      </c>
      <c r="G12" s="4" t="e">
        <f>E.3无形资产和其他资产摊销费估算表!H11</f>
        <v>#VALUE!</v>
      </c>
      <c r="H12" s="4">
        <f>E.3无形资产和其他资产摊销费估算表!I11</f>
        <v>-8.09355819001501</v>
      </c>
    </row>
    <row r="13" customHeight="1" spans="1:8">
      <c r="A13" s="3">
        <v>2</v>
      </c>
      <c r="B13" s="3" t="s">
        <v>451</v>
      </c>
      <c r="C13" s="4">
        <f t="shared" ref="C13:H13" si="2">C21+C22</f>
        <v>73.8</v>
      </c>
      <c r="D13" s="4">
        <f t="shared" si="2"/>
        <v>2504.96456734912</v>
      </c>
      <c r="E13" s="4">
        <f t="shared" si="2"/>
        <v>10095.0156470444</v>
      </c>
      <c r="F13" s="4">
        <f t="shared" si="2"/>
        <v>14239.6947367654</v>
      </c>
      <c r="G13" s="4">
        <f t="shared" si="2"/>
        <v>11454.0136115645</v>
      </c>
      <c r="H13" s="4">
        <f t="shared" si="2"/>
        <v>11672.135535422</v>
      </c>
    </row>
    <row r="14" customHeight="1" spans="1:8">
      <c r="A14" s="3">
        <v>2.1</v>
      </c>
      <c r="B14" s="3" t="s">
        <v>452</v>
      </c>
      <c r="C14" s="4">
        <f t="shared" ref="C14:H14" si="3">SUM(C15:C18)</f>
        <v>0</v>
      </c>
      <c r="D14" s="4">
        <f t="shared" si="3"/>
        <v>0.0833333333333333</v>
      </c>
      <c r="E14" s="4">
        <f t="shared" si="3"/>
        <v>0.0583333333333333</v>
      </c>
      <c r="F14" s="4">
        <f t="shared" si="3"/>
        <v>0.0666666666666667</v>
      </c>
      <c r="G14" s="4">
        <f t="shared" si="3"/>
        <v>0.0833333333333333</v>
      </c>
      <c r="H14" s="4">
        <f t="shared" si="3"/>
        <v>0.0833333333333333</v>
      </c>
    </row>
    <row r="15" customHeight="1" spans="1:8">
      <c r="A15" s="3" t="s">
        <v>137</v>
      </c>
      <c r="B15" s="3" t="s">
        <v>453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customHeight="1" spans="1:8">
      <c r="A16" s="3" t="s">
        <v>139</v>
      </c>
      <c r="B16" s="3" t="s">
        <v>181</v>
      </c>
      <c r="C16" s="4">
        <f>D.4流动资金估算表!E12</f>
        <v>0</v>
      </c>
      <c r="D16" s="4">
        <f>D.4流动资金估算表!F12</f>
        <v>0.0833333333333333</v>
      </c>
      <c r="E16" s="4">
        <f>D.4流动资金估算表!G12</f>
        <v>0.0583333333333333</v>
      </c>
      <c r="F16" s="4">
        <f>D.4流动资金估算表!H12</f>
        <v>0.0666666666666667</v>
      </c>
      <c r="G16" s="4">
        <f>D.4流动资金估算表!I12</f>
        <v>0.0833333333333333</v>
      </c>
      <c r="H16" s="4">
        <f>D.4流动资金估算表!J12</f>
        <v>0.0833333333333333</v>
      </c>
    </row>
    <row r="17" customHeight="1" spans="1:8">
      <c r="A17" s="3" t="s">
        <v>141</v>
      </c>
      <c r="B17" s="3" t="s">
        <v>454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</row>
    <row r="18" customHeight="1" spans="1:8">
      <c r="A18" s="3" t="s">
        <v>455</v>
      </c>
      <c r="B18" s="3" t="s">
        <v>447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</row>
    <row r="19" customHeight="1" spans="1:8">
      <c r="A19" s="3">
        <v>2.2</v>
      </c>
      <c r="B19" s="3" t="s">
        <v>436</v>
      </c>
      <c r="C19" s="4">
        <f>c借款还本付息计划表!D21</f>
        <v>0</v>
      </c>
      <c r="D19" s="4">
        <f>c借款还本付息计划表!E21</f>
        <v>2000</v>
      </c>
      <c r="E19" s="4">
        <f>c借款还本付息计划表!F21</f>
        <v>9000</v>
      </c>
      <c r="F19" s="4">
        <f>c借款还本付息计划表!G21</f>
        <v>13000</v>
      </c>
      <c r="G19" s="4">
        <f>c借款还本付息计划表!K21</f>
        <v>10000</v>
      </c>
      <c r="H19" s="4">
        <f>c借款还本付息计划表!L21</f>
        <v>10000</v>
      </c>
    </row>
    <row r="20" customHeight="1" spans="1:8">
      <c r="A20" s="3">
        <v>2.3</v>
      </c>
      <c r="B20" s="3" t="s">
        <v>456</v>
      </c>
      <c r="C20" s="4">
        <f>D.4流动资金估算表!E15</f>
        <v>0</v>
      </c>
      <c r="D20" s="4">
        <f>D.4流动资金估算表!F15</f>
        <v>9.25984013888888</v>
      </c>
      <c r="E20" s="4">
        <f>D.4流动资金估算表!G15</f>
        <v>8.05119952777778</v>
      </c>
      <c r="F20" s="4">
        <f>D.4流动资金估算表!H15</f>
        <v>0</v>
      </c>
      <c r="G20" s="4">
        <f>D.4流动资金估算表!I15</f>
        <v>0</v>
      </c>
      <c r="H20" s="4">
        <f>D.4流动资金估算表!J15</f>
        <v>0</v>
      </c>
    </row>
    <row r="21" customHeight="1" spans="1:8">
      <c r="A21" s="3">
        <v>2.4</v>
      </c>
      <c r="B21" s="3" t="s">
        <v>457</v>
      </c>
      <c r="C21" s="4">
        <f t="shared" ref="C21:H21" si="4">C14+C19+C20</f>
        <v>0</v>
      </c>
      <c r="D21" s="4">
        <f t="shared" si="4"/>
        <v>2009.34317347222</v>
      </c>
      <c r="E21" s="4">
        <f t="shared" si="4"/>
        <v>9008.10953286111</v>
      </c>
      <c r="F21" s="4">
        <f t="shared" si="4"/>
        <v>13000.0666666667</v>
      </c>
      <c r="G21" s="4">
        <f t="shared" si="4"/>
        <v>10000.0833333333</v>
      </c>
      <c r="H21" s="4">
        <f t="shared" si="4"/>
        <v>10000.0833333333</v>
      </c>
    </row>
    <row r="22" customHeight="1" spans="1:8">
      <c r="A22" s="3">
        <v>2.5</v>
      </c>
      <c r="B22" s="3" t="s">
        <v>458</v>
      </c>
      <c r="C22" s="4">
        <f t="shared" ref="C22:H22" si="5">SUM(C23:C26)</f>
        <v>73.8</v>
      </c>
      <c r="D22" s="4">
        <f t="shared" si="5"/>
        <v>495.621393876902</v>
      </c>
      <c r="E22" s="4">
        <f t="shared" si="5"/>
        <v>1086.90611418334</v>
      </c>
      <c r="F22" s="4">
        <f t="shared" si="5"/>
        <v>1239.62807009865</v>
      </c>
      <c r="G22" s="4">
        <f t="shared" si="5"/>
        <v>1453.93027823116</v>
      </c>
      <c r="H22" s="4">
        <f t="shared" si="5"/>
        <v>1672.05220208875</v>
      </c>
    </row>
    <row r="23" customHeight="1" spans="1:8">
      <c r="A23" s="3" t="s">
        <v>459</v>
      </c>
      <c r="B23" s="3" t="s">
        <v>460</v>
      </c>
      <c r="C23" s="4">
        <f>D.2项目总投资使用计划与资金筹措表!D8</f>
        <v>73.8</v>
      </c>
      <c r="D23" s="4">
        <f>C23+D.2项目总投资使用计划与资金筹措表!E8</f>
        <v>326.768502916667</v>
      </c>
      <c r="E23" s="4">
        <f>D23+D.2项目总投资使用计划与资金筹措表!F8</f>
        <v>704.819017</v>
      </c>
      <c r="F23" s="4">
        <f>E23+D.2项目总投资使用计划与资金筹措表!G8</f>
        <v>704.819017</v>
      </c>
      <c r="G23" s="4">
        <f>F23+D.2项目总投资使用计划与资金筹措表!H8</f>
        <v>704.819017</v>
      </c>
      <c r="H23" s="4">
        <f>G23+D.2项目总投资使用计划与资金筹措表!I8</f>
        <v>704.819017</v>
      </c>
    </row>
    <row r="24" customHeight="1" spans="1:8">
      <c r="A24" s="3" t="s">
        <v>461</v>
      </c>
      <c r="B24" s="3" t="s">
        <v>462</v>
      </c>
      <c r="C24" s="4">
        <f>'b利润与利润分配表（损益和利润分配表）'!E15</f>
        <v>0</v>
      </c>
      <c r="D24" s="4">
        <f>C24+'b利润与利润分配表（损益和利润分配表）'!F15</f>
        <v>116.450269627749</v>
      </c>
      <c r="E24" s="4">
        <f>D24+'b利润与利润分配表（损益和利润分配表）'!G15</f>
        <v>263.508342885062</v>
      </c>
      <c r="F24" s="4">
        <f>E24+'b利润与利润分配表（损益和利润分配表）'!H15</f>
        <v>368.833829723209</v>
      </c>
      <c r="G24" s="4">
        <f>F24+'b利润与利润分配表（损益和利润分配表）'!I15</f>
        <v>516.628456021488</v>
      </c>
      <c r="H24" s="4">
        <f>G24+'b利润与利润分配表（损益和利润分配表）'!J15</f>
        <v>667.057369026724</v>
      </c>
    </row>
    <row r="25" customHeight="1" spans="1:8">
      <c r="A25" s="3" t="s">
        <v>463</v>
      </c>
      <c r="B25" s="3" t="s">
        <v>464</v>
      </c>
      <c r="C25" s="4">
        <f>'b利润与利润分配表（损益和利润分配表）'!E18</f>
        <v>0</v>
      </c>
      <c r="D25" s="4">
        <f>C25+'b利润与利润分配表（损益和利润分配表）'!F18</f>
        <v>52.402621332487</v>
      </c>
      <c r="E25" s="4">
        <f>D25+'b利润与利润分配表（损益和利润分配表）'!G18</f>
        <v>118.578754298278</v>
      </c>
      <c r="F25" s="4">
        <f>E25+'b利润与利润分配表（损益和利润分配表）'!H18</f>
        <v>165.975223375444</v>
      </c>
      <c r="G25" s="4">
        <f>F25+'b利润与利润分配表（损益和利润分配表）'!I18</f>
        <v>232.482805209669</v>
      </c>
      <c r="H25" s="4">
        <f>G25+'b利润与利润分配表（损益和利润分配表）'!J18</f>
        <v>300.175816062026</v>
      </c>
    </row>
    <row r="26" customHeight="1" spans="1:8">
      <c r="A26" s="3" t="s">
        <v>465</v>
      </c>
      <c r="B26" s="3" t="s">
        <v>398</v>
      </c>
      <c r="C26" s="4">
        <f>'b利润与利润分配表（损益和利润分配表）'!E24</f>
        <v>0</v>
      </c>
      <c r="D26" s="4">
        <f>'b利润与利润分配表（损益和利润分配表）'!F24</f>
        <v>0</v>
      </c>
      <c r="E26" s="4">
        <f>'b利润与利润分配表（损益和利润分配表）'!G24</f>
        <v>0</v>
      </c>
      <c r="F26" s="4">
        <f>'b利润与利润分配表（损益和利润分配表）'!H24</f>
        <v>0</v>
      </c>
      <c r="G26" s="4">
        <f>'b利润与利润分配表（损益和利润分配表）'!I24</f>
        <v>0</v>
      </c>
      <c r="H26" s="4">
        <f>'b利润与利润分配表（损益和利润分配表）'!J24</f>
        <v>0</v>
      </c>
    </row>
    <row r="27" customHeight="1" spans="1:8">
      <c r="A27" s="6" t="s">
        <v>466</v>
      </c>
      <c r="B27" s="6"/>
      <c r="C27" s="7">
        <f t="shared" ref="C27:H27" si="6">C21/C3</f>
        <v>0</v>
      </c>
      <c r="D27" s="7">
        <f t="shared" si="6"/>
        <v>2.03485152464767</v>
      </c>
      <c r="E27" s="7">
        <f t="shared" si="6"/>
        <v>4.46224150139508</v>
      </c>
      <c r="F27" s="7">
        <f t="shared" si="6"/>
        <v>4.64396890315618</v>
      </c>
      <c r="G27" s="7" t="e">
        <f t="shared" si="6"/>
        <v>#VALUE!</v>
      </c>
      <c r="H27" s="7">
        <f t="shared" si="6"/>
        <v>-1.99284894623815</v>
      </c>
    </row>
  </sheetData>
  <mergeCells count="2">
    <mergeCell ref="A1:H1"/>
    <mergeCell ref="A27:B2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FF00"/>
  </sheetPr>
  <dimension ref="A1:M6"/>
  <sheetViews>
    <sheetView zoomScale="85" zoomScaleNormal="85" topLeftCell="C1" workbookViewId="0">
      <selection activeCell="K4" sqref="K4"/>
    </sheetView>
  </sheetViews>
  <sheetFormatPr defaultColWidth="8.88888888888889" defaultRowHeight="28" customHeight="1" outlineLevelRow="5"/>
  <cols>
    <col min="1" max="1" width="7.77777777777778" customWidth="1"/>
    <col min="2" max="2" width="9.55555555555556" customWidth="1"/>
    <col min="3" max="3" width="16.537037037037" customWidth="1"/>
    <col min="4" max="4" width="15.6666666666667" customWidth="1"/>
    <col min="5" max="5" width="11.3518518518519" customWidth="1"/>
    <col min="6" max="6" width="12.7777777777778" customWidth="1"/>
    <col min="7" max="7" width="21.7777777777778" customWidth="1"/>
    <col min="8" max="8" width="21.8888888888889" customWidth="1"/>
    <col min="9" max="9" width="28.6666666666667" customWidth="1"/>
    <col min="10" max="10" width="13.8148148148148" customWidth="1"/>
    <col min="11" max="11" width="29.0092592592593" customWidth="1"/>
    <col min="12" max="12" width="23.2222222222222" customWidth="1"/>
    <col min="13" max="13" width="26" customWidth="1"/>
    <col min="15" max="15" width="18.8888888888889" customWidth="1"/>
  </cols>
  <sheetData>
    <row r="1" s="21" customFormat="1" customHeight="1" spans="1:13">
      <c r="A1" s="31" t="s">
        <v>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="21" customFormat="1" ht="40" customHeight="1" spans="1:13">
      <c r="A2" s="2" t="s">
        <v>1</v>
      </c>
      <c r="B2" s="2" t="s">
        <v>67</v>
      </c>
      <c r="C2" s="2" t="s">
        <v>68</v>
      </c>
      <c r="D2" s="49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49" t="s">
        <v>77</v>
      </c>
      <c r="M2" s="49" t="s">
        <v>78</v>
      </c>
    </row>
    <row r="3" s="21" customFormat="1" ht="82" customHeight="1" spans="1:13">
      <c r="A3" s="22"/>
      <c r="B3" s="22"/>
      <c r="C3" s="51" t="s">
        <v>79</v>
      </c>
      <c r="D3" s="22"/>
      <c r="E3" s="22"/>
      <c r="F3" s="22"/>
      <c r="G3" s="51" t="s">
        <v>80</v>
      </c>
      <c r="H3" s="51" t="s">
        <v>81</v>
      </c>
      <c r="I3" s="51" t="s">
        <v>82</v>
      </c>
      <c r="J3" s="22"/>
      <c r="K3" s="51" t="s">
        <v>83</v>
      </c>
      <c r="L3" s="51" t="s">
        <v>84</v>
      </c>
      <c r="M3" s="51" t="s">
        <v>85</v>
      </c>
    </row>
    <row r="4" s="21" customFormat="1" customHeight="1" spans="1:13">
      <c r="A4" s="3">
        <v>1</v>
      </c>
      <c r="B4" s="3" t="s">
        <v>86</v>
      </c>
      <c r="C4" s="3" t="s">
        <v>87</v>
      </c>
      <c r="D4" s="5">
        <v>10000</v>
      </c>
      <c r="E4" s="85">
        <v>45901</v>
      </c>
      <c r="F4" s="85">
        <v>53175</v>
      </c>
      <c r="G4" s="43">
        <v>20</v>
      </c>
      <c r="H4" s="86">
        <v>0.0269</v>
      </c>
      <c r="I4" s="54" t="s">
        <v>88</v>
      </c>
      <c r="J4" s="85">
        <v>46082</v>
      </c>
      <c r="K4" s="76">
        <f>D4*A财务假设!D16</f>
        <v>8</v>
      </c>
      <c r="L4" s="32">
        <f>D4*A财务假设!D17</f>
        <v>0.64</v>
      </c>
      <c r="M4" s="8">
        <f>c借款还本付息计划表!C9</f>
        <v>0.603565</v>
      </c>
    </row>
    <row r="5" s="21" customFormat="1" customHeight="1" spans="1:13">
      <c r="A5" s="3">
        <v>2</v>
      </c>
      <c r="B5" s="3" t="s">
        <v>89</v>
      </c>
      <c r="C5" s="3" t="s">
        <v>87</v>
      </c>
      <c r="D5" s="5">
        <v>5000</v>
      </c>
      <c r="E5" s="85">
        <v>46023</v>
      </c>
      <c r="F5" s="85">
        <v>47818</v>
      </c>
      <c r="G5" s="43">
        <v>5</v>
      </c>
      <c r="H5" s="86">
        <v>0.0189</v>
      </c>
      <c r="I5" s="54" t="s">
        <v>90</v>
      </c>
      <c r="J5" s="85">
        <v>46054</v>
      </c>
      <c r="K5" s="76">
        <f>D5*A财务假设!D16</f>
        <v>4</v>
      </c>
      <c r="L5" s="32">
        <f>D5*A财务假设!D17</f>
        <v>0.32</v>
      </c>
      <c r="M5" s="8">
        <f>c借款还本付息计划表!C17</f>
        <v>0.264175</v>
      </c>
    </row>
    <row r="6" s="21" customFormat="1" customHeight="1" spans="1:13">
      <c r="A6" s="3" t="s">
        <v>50</v>
      </c>
      <c r="B6" s="3" t="s">
        <v>91</v>
      </c>
      <c r="C6" s="3" t="s">
        <v>92</v>
      </c>
      <c r="D6" s="3"/>
      <c r="E6" s="3"/>
      <c r="F6" s="3"/>
      <c r="G6" s="3"/>
      <c r="H6" s="3"/>
      <c r="I6" s="3"/>
      <c r="J6" s="3"/>
      <c r="K6" s="3"/>
      <c r="L6" s="3"/>
      <c r="M6" s="3"/>
    </row>
  </sheetData>
  <mergeCells count="1">
    <mergeCell ref="A1:M1"/>
  </mergeCells>
  <dataValidations count="2">
    <dataValidation type="list" allowBlank="1" showInputMessage="1" showErrorMessage="1" sqref="I4">
      <formula1>"贷款期内本期等额本金还款,贷款期内本期等额本息还款,后五年每年还本20%,后十年每年还本10%,后二十年每年还本5%,到期一次性还清,自定义还款"</formula1>
    </dataValidation>
    <dataValidation type="list" allowBlank="1" showInputMessage="1" showErrorMessage="1" sqref="I5:I6">
      <formula1>"贷款期内等额本金还款,贷款期内等额本息还款,后五年每年还本20%,后十年每年还本10%,后二十年每年还本5%,到期一次性还款,自定义还款"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FF00"/>
  </sheetPr>
  <dimension ref="A1:E6"/>
  <sheetViews>
    <sheetView zoomScale="115" zoomScaleNormal="115" workbookViewId="0">
      <selection activeCell="J11" sqref="J11"/>
    </sheetView>
  </sheetViews>
  <sheetFormatPr defaultColWidth="8.88888888888889" defaultRowHeight="28" customHeight="1" outlineLevelRow="5" outlineLevelCol="4"/>
  <cols>
    <col min="1" max="1" width="10.7777777777778" customWidth="1"/>
    <col min="2" max="2" width="13" customWidth="1"/>
    <col min="3" max="3" width="15.8888888888889" customWidth="1"/>
    <col min="4" max="4" width="16.2222222222222" customWidth="1"/>
    <col min="5" max="5" width="16.3333333333333" customWidth="1"/>
  </cols>
  <sheetData>
    <row r="1" customHeight="1" spans="1:5">
      <c r="A1" s="1" t="s">
        <v>93</v>
      </c>
      <c r="B1" s="1"/>
      <c r="C1" s="1"/>
      <c r="D1" s="1"/>
      <c r="E1" s="1"/>
    </row>
    <row r="2" s="82" customFormat="1" customHeight="1" spans="1:5">
      <c r="A2" s="2" t="s">
        <v>1</v>
      </c>
      <c r="B2" s="2" t="s">
        <v>94</v>
      </c>
      <c r="C2" s="2" t="s">
        <v>95</v>
      </c>
      <c r="D2" s="2" t="s">
        <v>96</v>
      </c>
      <c r="E2" s="2" t="s">
        <v>97</v>
      </c>
    </row>
    <row r="3" customHeight="1" spans="1:5">
      <c r="A3" s="3">
        <v>1</v>
      </c>
      <c r="B3" s="3" t="s">
        <v>86</v>
      </c>
      <c r="C3" s="5">
        <v>2000</v>
      </c>
      <c r="D3" s="5">
        <v>3000</v>
      </c>
      <c r="E3" s="5">
        <v>5000</v>
      </c>
    </row>
    <row r="4" customHeight="1" spans="1:5">
      <c r="A4" s="3">
        <v>2</v>
      </c>
      <c r="B4" s="3" t="s">
        <v>89</v>
      </c>
      <c r="C4" s="5">
        <v>0</v>
      </c>
      <c r="D4" s="5">
        <v>5000</v>
      </c>
      <c r="E4" s="5">
        <v>0</v>
      </c>
    </row>
    <row r="5" customHeight="1" spans="1:5">
      <c r="A5" s="3">
        <v>3</v>
      </c>
      <c r="B5" s="3" t="s">
        <v>91</v>
      </c>
      <c r="C5" s="5" t="s">
        <v>98</v>
      </c>
      <c r="D5" s="5" t="s">
        <v>98</v>
      </c>
      <c r="E5" s="5" t="s">
        <v>98</v>
      </c>
    </row>
    <row r="6" customHeight="1" spans="1:5">
      <c r="A6" s="83" t="s">
        <v>99</v>
      </c>
      <c r="B6" s="84"/>
      <c r="C6" s="84"/>
      <c r="D6" s="84"/>
      <c r="E6" s="84"/>
    </row>
  </sheetData>
  <mergeCells count="2">
    <mergeCell ref="A1:E1"/>
    <mergeCell ref="A6:E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FF00"/>
  </sheetPr>
  <dimension ref="A1:D22"/>
  <sheetViews>
    <sheetView zoomScale="70" zoomScaleNormal="70" topLeftCell="A5" workbookViewId="0">
      <selection activeCell="G13" sqref="G13"/>
    </sheetView>
  </sheetViews>
  <sheetFormatPr defaultColWidth="8.88888888888889" defaultRowHeight="28" customHeight="1" outlineLevelCol="3"/>
  <cols>
    <col min="2" max="2" width="20.6666666666667" customWidth="1"/>
    <col min="3" max="3" width="55.6666666666667" customWidth="1"/>
    <col min="4" max="4" width="18.8888888888889" customWidth="1"/>
  </cols>
  <sheetData>
    <row r="1" s="19" customFormat="1" customHeight="1" spans="1:4">
      <c r="A1" s="24" t="s">
        <v>100</v>
      </c>
      <c r="B1" s="25"/>
      <c r="C1" s="25"/>
      <c r="D1" s="28"/>
    </row>
    <row r="2" s="19" customFormat="1" customHeight="1" spans="1:4">
      <c r="A2" s="2" t="s">
        <v>1</v>
      </c>
      <c r="B2" s="2" t="s">
        <v>101</v>
      </c>
      <c r="C2" s="2" t="s">
        <v>102</v>
      </c>
      <c r="D2" s="2" t="s">
        <v>103</v>
      </c>
    </row>
    <row r="3" s="19" customFormat="1" customHeight="1" spans="1:4">
      <c r="A3" s="3" t="s">
        <v>104</v>
      </c>
      <c r="B3" s="3" t="s">
        <v>105</v>
      </c>
      <c r="C3" s="3"/>
      <c r="D3" s="77">
        <f>D4+D8</f>
        <v>498</v>
      </c>
    </row>
    <row r="4" s="19" customFormat="1" customHeight="1" spans="1:4">
      <c r="A4" s="22">
        <v>1</v>
      </c>
      <c r="B4" s="22" t="s">
        <v>106</v>
      </c>
      <c r="C4" s="22"/>
      <c r="D4" s="80">
        <f>SUM(D5:D7)</f>
        <v>474</v>
      </c>
    </row>
    <row r="5" s="19" customFormat="1" ht="87" customHeight="1" spans="1:4">
      <c r="A5" s="3">
        <v>1.1</v>
      </c>
      <c r="B5" s="3" t="s">
        <v>107</v>
      </c>
      <c r="C5" s="47" t="s">
        <v>108</v>
      </c>
      <c r="D5" s="77">
        <f>D.3建设投资计划分年计划表!D5</f>
        <v>165</v>
      </c>
    </row>
    <row r="6" s="19" customFormat="1" customHeight="1" spans="1:4">
      <c r="A6" s="3">
        <v>1.2</v>
      </c>
      <c r="B6" s="3" t="s">
        <v>109</v>
      </c>
      <c r="C6" s="3"/>
      <c r="D6" s="77">
        <f>D.3建设投资计划分年计划表!D11</f>
        <v>270</v>
      </c>
    </row>
    <row r="7" s="19" customFormat="1" ht="47" customHeight="1" spans="1:4">
      <c r="A7" s="3">
        <v>1.3</v>
      </c>
      <c r="B7" s="3" t="s">
        <v>110</v>
      </c>
      <c r="C7" s="47" t="s">
        <v>111</v>
      </c>
      <c r="D7" s="77">
        <f>D.3建设投资计划分年计划表!D16</f>
        <v>39</v>
      </c>
    </row>
    <row r="8" s="19" customFormat="1" customHeight="1" spans="1:4">
      <c r="A8" s="22">
        <v>2</v>
      </c>
      <c r="B8" s="22" t="s">
        <v>112</v>
      </c>
      <c r="C8" s="22"/>
      <c r="D8" s="80">
        <f>SUM(D9:D12)</f>
        <v>24</v>
      </c>
    </row>
    <row r="9" s="19" customFormat="1" ht="52" customHeight="1" spans="1:4">
      <c r="A9" s="3">
        <v>2.1</v>
      </c>
      <c r="B9" s="3" t="s">
        <v>113</v>
      </c>
      <c r="C9" s="47" t="s">
        <v>111</v>
      </c>
      <c r="D9" s="77">
        <f>D.3建设投资计划分年计划表!D22</f>
        <v>6</v>
      </c>
    </row>
    <row r="10" s="19" customFormat="1" customHeight="1" spans="1:4">
      <c r="A10" s="3">
        <v>2.2</v>
      </c>
      <c r="B10" s="3" t="s">
        <v>114</v>
      </c>
      <c r="C10" s="3"/>
      <c r="D10" s="77">
        <f>D.3建设投资计划分年计划表!D23</f>
        <v>6</v>
      </c>
    </row>
    <row r="11" s="19" customFormat="1" customHeight="1" spans="1:4">
      <c r="A11" s="3">
        <v>2.3</v>
      </c>
      <c r="B11" s="3" t="s">
        <v>115</v>
      </c>
      <c r="C11" s="3"/>
      <c r="D11" s="77">
        <f>D.3建设投资计划分年计划表!D24</f>
        <v>6</v>
      </c>
    </row>
    <row r="12" s="19" customFormat="1" customHeight="1" spans="1:4">
      <c r="A12" s="3">
        <v>2.4</v>
      </c>
      <c r="B12" s="3" t="s">
        <v>116</v>
      </c>
      <c r="C12" s="3"/>
      <c r="D12" s="77">
        <f>D.3建设投资计划分年计划表!D25</f>
        <v>6</v>
      </c>
    </row>
    <row r="13" s="19" customFormat="1" customHeight="1" spans="1:4">
      <c r="A13" s="22" t="s">
        <v>117</v>
      </c>
      <c r="B13" s="22" t="s">
        <v>118</v>
      </c>
      <c r="C13" s="22"/>
      <c r="D13" s="80">
        <f>SUM(D14:D19)</f>
        <v>144.96</v>
      </c>
    </row>
    <row r="14" s="19" customFormat="1" customHeight="1" spans="1:4">
      <c r="A14" s="3">
        <v>1</v>
      </c>
      <c r="B14" s="3" t="s">
        <v>119</v>
      </c>
      <c r="C14" s="3"/>
      <c r="D14" s="77">
        <f>D.3建设投资计划分年计划表!D27</f>
        <v>6</v>
      </c>
    </row>
    <row r="15" s="19" customFormat="1" customHeight="1" spans="1:4">
      <c r="A15" s="3">
        <v>2</v>
      </c>
      <c r="B15" s="3" t="s">
        <v>120</v>
      </c>
      <c r="C15" s="3"/>
      <c r="D15" s="77">
        <f>D.3建设投资计划分年计划表!D28</f>
        <v>6</v>
      </c>
    </row>
    <row r="16" s="19" customFormat="1" customHeight="1" spans="1:4">
      <c r="A16" s="3">
        <v>3</v>
      </c>
      <c r="B16" s="3" t="s">
        <v>121</v>
      </c>
      <c r="C16" s="3"/>
      <c r="D16" s="77">
        <f>D.3建设投资计划分年计划表!D29</f>
        <v>6</v>
      </c>
    </row>
    <row r="17" s="19" customFormat="1" customHeight="1" spans="1:4">
      <c r="A17" s="3">
        <v>4</v>
      </c>
      <c r="B17" s="3" t="s">
        <v>122</v>
      </c>
      <c r="C17" s="3"/>
      <c r="D17" s="77">
        <f>D.3建设投资计划分年计划表!D30</f>
        <v>6</v>
      </c>
    </row>
    <row r="18" s="19" customFormat="1" customHeight="1" spans="1:4">
      <c r="A18" s="3">
        <v>5</v>
      </c>
      <c r="B18" s="32" t="s">
        <v>123</v>
      </c>
      <c r="C18" s="32"/>
      <c r="D18" s="23">
        <f>D.3建设投资计划分年计划表!D31</f>
        <v>120.96</v>
      </c>
    </row>
    <row r="19" s="19" customFormat="1" customHeight="1" spans="1:4">
      <c r="A19" s="3">
        <v>6</v>
      </c>
      <c r="B19" s="3" t="s">
        <v>52</v>
      </c>
      <c r="C19" s="3"/>
      <c r="D19" s="77">
        <f>D.3建设投资计划分年计划表!D32</f>
        <v>0</v>
      </c>
    </row>
    <row r="20" s="19" customFormat="1" customHeight="1" spans="1:4">
      <c r="A20" s="22" t="s">
        <v>124</v>
      </c>
      <c r="B20" s="22" t="s">
        <v>125</v>
      </c>
      <c r="C20" s="22"/>
      <c r="D20" s="80">
        <f>D21</f>
        <v>6</v>
      </c>
    </row>
    <row r="21" s="19" customFormat="1" customHeight="1" spans="1:4">
      <c r="A21" s="3">
        <v>1</v>
      </c>
      <c r="B21" s="3" t="s">
        <v>126</v>
      </c>
      <c r="C21" s="3"/>
      <c r="D21" s="77">
        <f>D.3建设投资计划分年计划表!D34</f>
        <v>6</v>
      </c>
    </row>
    <row r="22" s="19" customFormat="1" customHeight="1" spans="1:4">
      <c r="A22" s="36" t="s">
        <v>127</v>
      </c>
      <c r="B22" s="81"/>
      <c r="C22" s="37"/>
      <c r="D22" s="77">
        <f>D3+D13+D20</f>
        <v>648.96</v>
      </c>
    </row>
  </sheetData>
  <mergeCells count="2">
    <mergeCell ref="A1:D1"/>
    <mergeCell ref="A22:C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FF00"/>
  </sheetPr>
  <dimension ref="A1:F22"/>
  <sheetViews>
    <sheetView zoomScale="70" zoomScaleNormal="70" workbookViewId="0">
      <selection activeCell="O22" sqref="O22"/>
    </sheetView>
  </sheetViews>
  <sheetFormatPr defaultColWidth="8.88888888888889" defaultRowHeight="28" customHeight="1" outlineLevelCol="5"/>
  <cols>
    <col min="1" max="1" width="13.4444444444444" customWidth="1"/>
    <col min="2" max="2" width="23.3333333333333" customWidth="1"/>
    <col min="3" max="3" width="14.3703703703704" customWidth="1"/>
    <col min="4" max="6" width="13.1111111111111" customWidth="1"/>
  </cols>
  <sheetData>
    <row r="1" s="21" customFormat="1" customHeight="1" spans="1:6">
      <c r="A1" s="1" t="s">
        <v>128</v>
      </c>
      <c r="B1" s="1"/>
      <c r="C1" s="1"/>
      <c r="D1" s="1"/>
      <c r="E1" s="1"/>
      <c r="F1" s="1"/>
    </row>
    <row r="2" s="21" customFormat="1" customHeight="1" spans="1:6">
      <c r="A2" s="2" t="s">
        <v>1</v>
      </c>
      <c r="B2" s="2" t="s">
        <v>129</v>
      </c>
      <c r="C2" s="2" t="s">
        <v>130</v>
      </c>
      <c r="D2" s="2">
        <v>2025</v>
      </c>
      <c r="E2" s="2">
        <v>2026</v>
      </c>
      <c r="F2" s="2">
        <v>2027</v>
      </c>
    </row>
    <row r="3" s="21" customFormat="1" customHeight="1" spans="1:6">
      <c r="A3" s="22">
        <v>1</v>
      </c>
      <c r="B3" s="22" t="s">
        <v>131</v>
      </c>
      <c r="C3" s="58">
        <f>SUM(D3:F3)</f>
        <v>1301.09005666667</v>
      </c>
      <c r="D3" s="58">
        <f>SUM(D4:D6)</f>
        <v>234.928</v>
      </c>
      <c r="E3" s="58">
        <f>SUM(E4:E6)</f>
        <v>482.740343055556</v>
      </c>
      <c r="F3" s="58">
        <f>SUM(F4:F6)</f>
        <v>583.421713611111</v>
      </c>
    </row>
    <row r="4" s="21" customFormat="1" customHeight="1" spans="1:6">
      <c r="A4" s="3">
        <v>1.1</v>
      </c>
      <c r="B4" s="3" t="s">
        <v>132</v>
      </c>
      <c r="C4" s="4">
        <f>SUM(D4:F4)</f>
        <v>648.96</v>
      </c>
      <c r="D4" s="4">
        <f>D.3建设投资计划分年计划表!E35</f>
        <v>181.128</v>
      </c>
      <c r="E4" s="4">
        <f>D.3建设投资计划分年计划表!F35</f>
        <v>240.512</v>
      </c>
      <c r="F4" s="4">
        <f>D.3建设投资计划分年计划表!G35</f>
        <v>227.32</v>
      </c>
    </row>
    <row r="5" s="21" customFormat="1" customHeight="1" spans="1:6">
      <c r="A5" s="3">
        <v>1.2</v>
      </c>
      <c r="B5" s="3" t="s">
        <v>133</v>
      </c>
      <c r="C5" s="4">
        <f>SUM(D5:F5)</f>
        <v>627.4</v>
      </c>
      <c r="D5" s="4">
        <f>c借款还本付息计划表!D24</f>
        <v>53.8</v>
      </c>
      <c r="E5" s="4">
        <f>c借款还本付息计划表!E24</f>
        <v>229</v>
      </c>
      <c r="F5" s="4">
        <f>c借款还本付息计划表!F24</f>
        <v>344.6</v>
      </c>
    </row>
    <row r="6" s="21" customFormat="1" customHeight="1" spans="1:6">
      <c r="A6" s="3">
        <v>1.3</v>
      </c>
      <c r="B6" s="3" t="s">
        <v>134</v>
      </c>
      <c r="C6" s="4">
        <f>SUM(D6:F6)</f>
        <v>24.7300566666667</v>
      </c>
      <c r="D6" s="4">
        <f>D.4流动资金估算表!E14</f>
        <v>0</v>
      </c>
      <c r="E6" s="4">
        <f>D.4流动资金估算表!F14</f>
        <v>13.2283430555556</v>
      </c>
      <c r="F6" s="4">
        <f>D.4流动资金估算表!G14</f>
        <v>11.5017136111111</v>
      </c>
    </row>
    <row r="7" s="21" customFormat="1" customHeight="1" spans="1:6">
      <c r="A7" s="22">
        <v>2</v>
      </c>
      <c r="B7" s="22" t="s">
        <v>135</v>
      </c>
      <c r="C7" s="58">
        <f>SUM(C8+C12+C16)</f>
        <v>1301.09005666667</v>
      </c>
      <c r="D7" s="58">
        <f>D8+D12+D16</f>
        <v>234.928</v>
      </c>
      <c r="E7" s="58">
        <f>E8+E12+E16</f>
        <v>482.740343055556</v>
      </c>
      <c r="F7" s="58">
        <f>F8+F12+F16</f>
        <v>583.421713611111</v>
      </c>
    </row>
    <row r="8" s="21" customFormat="1" customHeight="1" spans="1:6">
      <c r="A8" s="3">
        <v>2.1</v>
      </c>
      <c r="B8" s="3" t="s">
        <v>136</v>
      </c>
      <c r="C8" s="4">
        <f>SUM(C9:C11)</f>
        <v>704.819017</v>
      </c>
      <c r="D8" s="4">
        <f>SUM(D9:D11)</f>
        <v>73.8</v>
      </c>
      <c r="E8" s="4">
        <f>SUM(E9:E11)</f>
        <v>252.968502916667</v>
      </c>
      <c r="F8" s="4">
        <f>SUM(F9:F11)</f>
        <v>378.050514083333</v>
      </c>
    </row>
    <row r="9" s="21" customFormat="1" customHeight="1" spans="1:6">
      <c r="A9" s="3" t="s">
        <v>137</v>
      </c>
      <c r="B9" s="3" t="s">
        <v>138</v>
      </c>
      <c r="C9" s="75">
        <f>SUM(D9:F9)</f>
        <v>70</v>
      </c>
      <c r="D9" s="76">
        <v>20</v>
      </c>
      <c r="E9" s="76">
        <v>20</v>
      </c>
      <c r="F9" s="76">
        <v>30</v>
      </c>
    </row>
    <row r="10" s="21" customFormat="1" customHeight="1" spans="1:6">
      <c r="A10" s="3" t="s">
        <v>139</v>
      </c>
      <c r="B10" s="3" t="s">
        <v>140</v>
      </c>
      <c r="C10" s="4">
        <f>SUM(D10:F10)</f>
        <v>627.4</v>
      </c>
      <c r="D10" s="77">
        <f>D5</f>
        <v>53.8</v>
      </c>
      <c r="E10" s="77">
        <f>E5</f>
        <v>229</v>
      </c>
      <c r="F10" s="77">
        <f>F5</f>
        <v>344.6</v>
      </c>
    </row>
    <row r="11" s="21" customFormat="1" customHeight="1" spans="1:6">
      <c r="A11" s="3" t="s">
        <v>141</v>
      </c>
      <c r="B11" s="3" t="s">
        <v>142</v>
      </c>
      <c r="C11" s="4">
        <f>C6*A财务假设!D14</f>
        <v>7.419017</v>
      </c>
      <c r="D11" s="4">
        <f>D6*A财务假设!D14</f>
        <v>0</v>
      </c>
      <c r="E11" s="48">
        <f>E6*A财务假设!D14</f>
        <v>3.96850291666666</v>
      </c>
      <c r="F11" s="4">
        <f>F6*A财务假设!D14</f>
        <v>3.45051408333333</v>
      </c>
    </row>
    <row r="12" s="21" customFormat="1" customHeight="1" spans="1:6">
      <c r="A12" s="3">
        <v>2.2</v>
      </c>
      <c r="B12" s="3" t="s">
        <v>143</v>
      </c>
      <c r="C12" s="4">
        <f>SUM(D12:F12)</f>
        <v>596.271039666667</v>
      </c>
      <c r="D12" s="4">
        <f>SUM(D13:D15)</f>
        <v>161.128</v>
      </c>
      <c r="E12" s="4">
        <f>SUM(E13:E15)</f>
        <v>229.771840138889</v>
      </c>
      <c r="F12" s="4">
        <f>SUM(F13:F15)</f>
        <v>205.371199527778</v>
      </c>
    </row>
    <row r="13" s="21" customFormat="1" customHeight="1" spans="1:6">
      <c r="A13" s="3" t="s">
        <v>144</v>
      </c>
      <c r="B13" s="3" t="s">
        <v>138</v>
      </c>
      <c r="C13" s="75">
        <f>SUM(D13:F13)</f>
        <v>578.96</v>
      </c>
      <c r="D13" s="8">
        <f>D4-D9</f>
        <v>161.128</v>
      </c>
      <c r="E13" s="8">
        <f>E4-E9</f>
        <v>220.512</v>
      </c>
      <c r="F13" s="8">
        <f>F4-F9</f>
        <v>197.32</v>
      </c>
    </row>
    <row r="14" s="21" customFormat="1" customHeight="1" spans="1:6">
      <c r="A14" s="3" t="s">
        <v>145</v>
      </c>
      <c r="B14" s="3" t="s">
        <v>140</v>
      </c>
      <c r="C14" s="4">
        <f>SUM(D14:F14)</f>
        <v>0</v>
      </c>
      <c r="D14" s="5">
        <v>0</v>
      </c>
      <c r="E14" s="5">
        <v>0</v>
      </c>
      <c r="F14" s="5">
        <v>0</v>
      </c>
    </row>
    <row r="15" s="21" customFormat="1" customHeight="1" spans="1:6">
      <c r="A15" s="3" t="s">
        <v>146</v>
      </c>
      <c r="B15" s="3" t="s">
        <v>142</v>
      </c>
      <c r="C15" s="4">
        <f>SUM(D15:F15)</f>
        <v>17.3110396666667</v>
      </c>
      <c r="D15" s="4">
        <f>D6-D11</f>
        <v>0</v>
      </c>
      <c r="E15" s="4">
        <f>E6-E11</f>
        <v>9.25984013888888</v>
      </c>
      <c r="F15" s="4">
        <f>F6-F11</f>
        <v>8.05119952777778</v>
      </c>
    </row>
    <row r="16" s="21" customFormat="1" customHeight="1" spans="1:6">
      <c r="A16" s="3">
        <v>2.3</v>
      </c>
      <c r="B16" s="3" t="s">
        <v>147</v>
      </c>
      <c r="C16" s="4">
        <f>SUM(D16:F16)</f>
        <v>0</v>
      </c>
      <c r="D16" s="5">
        <v>0</v>
      </c>
      <c r="E16" s="5">
        <v>0</v>
      </c>
      <c r="F16" s="5">
        <v>0</v>
      </c>
    </row>
    <row r="17" s="21" customFormat="1" customHeight="1" spans="1:6">
      <c r="A17" s="22">
        <v>3</v>
      </c>
      <c r="B17" s="22" t="s">
        <v>148</v>
      </c>
      <c r="C17" s="58">
        <f>SUM(C18:C20)</f>
        <v>704.819017</v>
      </c>
      <c r="D17" s="58">
        <f>SUM(D18:D20)</f>
        <v>73.8</v>
      </c>
      <c r="E17" s="58">
        <f>SUM(E18:E20)</f>
        <v>252.968502916667</v>
      </c>
      <c r="F17" s="58">
        <f>SUM(F18:F20)</f>
        <v>378.050514083333</v>
      </c>
    </row>
    <row r="18" s="21" customFormat="1" customHeight="1" spans="1:6">
      <c r="A18" s="3">
        <v>3.1</v>
      </c>
      <c r="B18" s="3" t="s">
        <v>132</v>
      </c>
      <c r="C18" s="78">
        <f>C9</f>
        <v>70</v>
      </c>
      <c r="D18" s="4">
        <f>D9</f>
        <v>20</v>
      </c>
      <c r="E18" s="4">
        <f>E9</f>
        <v>20</v>
      </c>
      <c r="F18" s="4">
        <f>F9</f>
        <v>30</v>
      </c>
    </row>
    <row r="19" s="21" customFormat="1" customHeight="1" spans="1:6">
      <c r="A19" s="3">
        <v>3.2</v>
      </c>
      <c r="B19" s="3" t="s">
        <v>133</v>
      </c>
      <c r="C19" s="4">
        <f>C10</f>
        <v>627.4</v>
      </c>
      <c r="D19" s="4">
        <f>D10</f>
        <v>53.8</v>
      </c>
      <c r="E19" s="4">
        <f>E10</f>
        <v>229</v>
      </c>
      <c r="F19" s="4">
        <f>F10</f>
        <v>344.6</v>
      </c>
    </row>
    <row r="20" s="21" customFormat="1" customHeight="1" spans="1:6">
      <c r="A20" s="3">
        <v>3.3</v>
      </c>
      <c r="B20" s="3" t="s">
        <v>149</v>
      </c>
      <c r="C20" s="4">
        <f>C11</f>
        <v>7.419017</v>
      </c>
      <c r="D20" s="4">
        <f>D11</f>
        <v>0</v>
      </c>
      <c r="E20" s="4">
        <f>E11</f>
        <v>3.96850291666666</v>
      </c>
      <c r="F20" s="4">
        <f>F11</f>
        <v>3.45051408333333</v>
      </c>
    </row>
    <row r="21" s="21" customFormat="1" ht="49" customHeight="1" spans="1:6">
      <c r="A21" s="22">
        <v>4</v>
      </c>
      <c r="B21" s="51" t="s">
        <v>150</v>
      </c>
      <c r="C21" s="79">
        <f>C17/C3</f>
        <v>0.541714244443397</v>
      </c>
      <c r="D21" s="79" t="s">
        <v>98</v>
      </c>
      <c r="E21" s="79" t="s">
        <v>98</v>
      </c>
      <c r="F21" s="79" t="s">
        <v>98</v>
      </c>
    </row>
    <row r="22" s="72" customFormat="1" customHeight="1"/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FF00"/>
  </sheetPr>
  <dimension ref="A1:G35"/>
  <sheetViews>
    <sheetView zoomScale="70" zoomScaleNormal="70" workbookViewId="0">
      <selection activeCell="E4" sqref="E4"/>
    </sheetView>
  </sheetViews>
  <sheetFormatPr defaultColWidth="8.88888888888889" defaultRowHeight="28" customHeight="1" outlineLevelCol="6"/>
  <cols>
    <col min="2" max="2" width="19.8703703703704" customWidth="1"/>
    <col min="3" max="3" width="46.9259259259259" customWidth="1"/>
    <col min="4" max="4" width="13.2222222222222" customWidth="1"/>
    <col min="5" max="6" width="9"/>
  </cols>
  <sheetData>
    <row r="1" s="21" customFormat="1" customHeight="1" spans="1:7">
      <c r="A1" s="31" t="s">
        <v>151</v>
      </c>
      <c r="B1" s="31"/>
      <c r="C1" s="31"/>
      <c r="D1" s="31"/>
      <c r="E1" s="31"/>
      <c r="F1" s="31"/>
      <c r="G1" s="31"/>
    </row>
    <row r="2" s="21" customFormat="1" customHeight="1" spans="1:7">
      <c r="A2" s="2" t="s">
        <v>1</v>
      </c>
      <c r="B2" s="2" t="s">
        <v>101</v>
      </c>
      <c r="C2" s="2" t="s">
        <v>102</v>
      </c>
      <c r="D2" s="2" t="s">
        <v>103</v>
      </c>
      <c r="E2" s="2">
        <v>2025</v>
      </c>
      <c r="F2" s="2">
        <v>2026</v>
      </c>
      <c r="G2" s="2">
        <v>2027</v>
      </c>
    </row>
    <row r="3" s="21" customFormat="1" customHeight="1" spans="1:7">
      <c r="A3" s="3" t="s">
        <v>104</v>
      </c>
      <c r="B3" s="3" t="s">
        <v>105</v>
      </c>
      <c r="C3" s="3"/>
      <c r="D3" s="4">
        <f>SUM(D4+D21)</f>
        <v>498</v>
      </c>
      <c r="E3" s="4">
        <f>E4+E21</f>
        <v>155</v>
      </c>
      <c r="F3" s="4">
        <f>F4+F21</f>
        <v>166</v>
      </c>
      <c r="G3" s="4">
        <f>G4+G21</f>
        <v>177</v>
      </c>
    </row>
    <row r="4" s="21" customFormat="1" customHeight="1" spans="1:7">
      <c r="A4" s="22">
        <v>1</v>
      </c>
      <c r="B4" s="22" t="s">
        <v>106</v>
      </c>
      <c r="C4" s="22"/>
      <c r="D4" s="58">
        <f>SUM(D5:D16)</f>
        <v>474</v>
      </c>
      <c r="E4" s="58">
        <f>E5+E11+E16</f>
        <v>147</v>
      </c>
      <c r="F4" s="58">
        <f>F5+F11+F16</f>
        <v>158</v>
      </c>
      <c r="G4" s="58">
        <f>G5+G11+G16</f>
        <v>169</v>
      </c>
    </row>
    <row r="5" s="21" customFormat="1" ht="88" customHeight="1" spans="1:7">
      <c r="A5" s="3">
        <v>1.1</v>
      </c>
      <c r="B5" s="3" t="s">
        <v>107</v>
      </c>
      <c r="C5" s="47" t="s">
        <v>108</v>
      </c>
      <c r="D5" s="4">
        <f>SUM(E5:G5)</f>
        <v>165</v>
      </c>
      <c r="E5" s="4">
        <f>SUM(E6:E10)</f>
        <v>50</v>
      </c>
      <c r="F5" s="4">
        <f>SUM(F6:F10)</f>
        <v>55</v>
      </c>
      <c r="G5" s="4">
        <f>SUM(G6:G10)</f>
        <v>60</v>
      </c>
    </row>
    <row r="6" s="21" customFormat="1" customHeight="1" spans="1:7">
      <c r="A6" s="3" t="s">
        <v>152</v>
      </c>
      <c r="B6" s="3" t="s">
        <v>52</v>
      </c>
      <c r="C6" s="3"/>
      <c r="D6" s="4" t="s">
        <v>98</v>
      </c>
      <c r="E6" s="5">
        <v>10</v>
      </c>
      <c r="F6" s="5">
        <v>11</v>
      </c>
      <c r="G6" s="5">
        <v>12</v>
      </c>
    </row>
    <row r="7" s="21" customFormat="1" customHeight="1" spans="1:7">
      <c r="A7" s="3" t="s">
        <v>153</v>
      </c>
      <c r="B7" s="3" t="s">
        <v>52</v>
      </c>
      <c r="C7" s="3"/>
      <c r="D7" s="4" t="s">
        <v>98</v>
      </c>
      <c r="E7" s="5">
        <v>10</v>
      </c>
      <c r="F7" s="5">
        <v>11</v>
      </c>
      <c r="G7" s="5">
        <v>12</v>
      </c>
    </row>
    <row r="8" s="21" customFormat="1" customHeight="1" spans="1:7">
      <c r="A8" s="3" t="s">
        <v>154</v>
      </c>
      <c r="B8" s="3" t="s">
        <v>52</v>
      </c>
      <c r="C8" s="3"/>
      <c r="D8" s="4" t="s">
        <v>98</v>
      </c>
      <c r="E8" s="5">
        <v>10</v>
      </c>
      <c r="F8" s="5">
        <v>11</v>
      </c>
      <c r="G8" s="5">
        <v>12</v>
      </c>
    </row>
    <row r="9" s="21" customFormat="1" customHeight="1" spans="1:7">
      <c r="A9" s="3" t="s">
        <v>155</v>
      </c>
      <c r="B9" s="3" t="s">
        <v>52</v>
      </c>
      <c r="C9" s="3"/>
      <c r="D9" s="4" t="s">
        <v>98</v>
      </c>
      <c r="E9" s="5">
        <v>10</v>
      </c>
      <c r="F9" s="5">
        <v>11</v>
      </c>
      <c r="G9" s="5">
        <v>12</v>
      </c>
    </row>
    <row r="10" s="21" customFormat="1" customHeight="1" spans="1:7">
      <c r="A10" s="3" t="s">
        <v>156</v>
      </c>
      <c r="B10" s="3" t="s">
        <v>52</v>
      </c>
      <c r="C10" s="3"/>
      <c r="D10" s="4" t="s">
        <v>98</v>
      </c>
      <c r="E10" s="5">
        <v>10</v>
      </c>
      <c r="F10" s="5">
        <v>11</v>
      </c>
      <c r="G10" s="5">
        <v>12</v>
      </c>
    </row>
    <row r="11" s="21" customFormat="1" customHeight="1" spans="1:7">
      <c r="A11" s="3">
        <v>1.2</v>
      </c>
      <c r="B11" s="3" t="s">
        <v>109</v>
      </c>
      <c r="C11" s="3"/>
      <c r="D11" s="4">
        <f>SUM(E11:G11)</f>
        <v>270</v>
      </c>
      <c r="E11" s="4">
        <f>SUM(E12:E15)</f>
        <v>86</v>
      </c>
      <c r="F11" s="4">
        <f>SUM(F12:F15)</f>
        <v>90</v>
      </c>
      <c r="G11" s="4">
        <f>SUM(G12:G15)</f>
        <v>94</v>
      </c>
    </row>
    <row r="12" s="21" customFormat="1" ht="30" customHeight="1" spans="1:7">
      <c r="A12" s="3" t="s">
        <v>157</v>
      </c>
      <c r="B12" s="3" t="s">
        <v>52</v>
      </c>
      <c r="C12" s="47"/>
      <c r="D12" s="4" t="s">
        <v>98</v>
      </c>
      <c r="E12" s="5">
        <v>20</v>
      </c>
      <c r="F12" s="5">
        <v>21</v>
      </c>
      <c r="G12" s="5">
        <v>22</v>
      </c>
    </row>
    <row r="13" s="21" customFormat="1" ht="30" customHeight="1" spans="1:7">
      <c r="A13" s="3" t="s">
        <v>158</v>
      </c>
      <c r="B13" s="3" t="s">
        <v>52</v>
      </c>
      <c r="C13" s="47"/>
      <c r="D13" s="4" t="s">
        <v>98</v>
      </c>
      <c r="E13" s="5">
        <v>21</v>
      </c>
      <c r="F13" s="5">
        <v>22</v>
      </c>
      <c r="G13" s="5">
        <v>23</v>
      </c>
    </row>
    <row r="14" s="21" customFormat="1" ht="29" customHeight="1" spans="1:7">
      <c r="A14" s="3" t="s">
        <v>159</v>
      </c>
      <c r="B14" s="3" t="s">
        <v>52</v>
      </c>
      <c r="C14" s="47"/>
      <c r="D14" s="4" t="s">
        <v>98</v>
      </c>
      <c r="E14" s="5">
        <v>22</v>
      </c>
      <c r="F14" s="5">
        <v>23</v>
      </c>
      <c r="G14" s="5">
        <v>24</v>
      </c>
    </row>
    <row r="15" s="21" customFormat="1" ht="29" customHeight="1" spans="1:7">
      <c r="A15" s="3" t="s">
        <v>160</v>
      </c>
      <c r="B15" s="3" t="s">
        <v>52</v>
      </c>
      <c r="C15" s="47"/>
      <c r="D15" s="4" t="s">
        <v>98</v>
      </c>
      <c r="E15" s="5">
        <v>23</v>
      </c>
      <c r="F15" s="5">
        <v>24</v>
      </c>
      <c r="G15" s="5">
        <v>25</v>
      </c>
    </row>
    <row r="16" s="21" customFormat="1" ht="34" customHeight="1" spans="1:7">
      <c r="A16" s="3">
        <v>1.3</v>
      </c>
      <c r="B16" s="3" t="s">
        <v>110</v>
      </c>
      <c r="C16" s="47" t="s">
        <v>111</v>
      </c>
      <c r="D16" s="4">
        <f>SUM(E16:G16)</f>
        <v>39</v>
      </c>
      <c r="E16" s="4">
        <f>SUM(E17:E20)</f>
        <v>11</v>
      </c>
      <c r="F16" s="4">
        <f>SUM(F17:F20)</f>
        <v>13</v>
      </c>
      <c r="G16" s="4">
        <f>SUM(G17:G20)</f>
        <v>15</v>
      </c>
    </row>
    <row r="17" s="21" customFormat="1" customHeight="1" spans="1:7">
      <c r="A17" s="32" t="s">
        <v>161</v>
      </c>
      <c r="B17" s="3" t="s">
        <v>52</v>
      </c>
      <c r="C17" s="32"/>
      <c r="D17" s="8" t="s">
        <v>98</v>
      </c>
      <c r="E17" s="5">
        <v>2</v>
      </c>
      <c r="F17" s="5">
        <v>2</v>
      </c>
      <c r="G17" s="5">
        <v>2</v>
      </c>
    </row>
    <row r="18" s="21" customFormat="1" customHeight="1" spans="1:7">
      <c r="A18" s="32" t="s">
        <v>162</v>
      </c>
      <c r="B18" s="3" t="s">
        <v>52</v>
      </c>
      <c r="C18" s="32"/>
      <c r="D18" s="8" t="s">
        <v>98</v>
      </c>
      <c r="E18" s="5">
        <v>2</v>
      </c>
      <c r="F18" s="5">
        <v>2</v>
      </c>
      <c r="G18" s="5">
        <v>2</v>
      </c>
    </row>
    <row r="19" s="21" customFormat="1" customHeight="1" spans="1:7">
      <c r="A19" s="32" t="s">
        <v>163</v>
      </c>
      <c r="B19" s="3" t="s">
        <v>52</v>
      </c>
      <c r="C19" s="32"/>
      <c r="D19" s="8" t="s">
        <v>98</v>
      </c>
      <c r="E19" s="5">
        <v>3</v>
      </c>
      <c r="F19" s="5">
        <v>4</v>
      </c>
      <c r="G19" s="5">
        <v>5</v>
      </c>
    </row>
    <row r="20" s="21" customFormat="1" customHeight="1" spans="1:7">
      <c r="A20" s="32" t="s">
        <v>164</v>
      </c>
      <c r="B20" s="3" t="s">
        <v>52</v>
      </c>
      <c r="C20" s="32"/>
      <c r="D20" s="8" t="s">
        <v>98</v>
      </c>
      <c r="E20" s="5">
        <v>4</v>
      </c>
      <c r="F20" s="5">
        <v>5</v>
      </c>
      <c r="G20" s="5">
        <v>6</v>
      </c>
    </row>
    <row r="21" s="21" customFormat="1" customHeight="1" spans="1:7">
      <c r="A21" s="22">
        <v>2</v>
      </c>
      <c r="B21" s="22" t="s">
        <v>112</v>
      </c>
      <c r="C21" s="22"/>
      <c r="D21" s="58">
        <f>SUM(D22:D25)</f>
        <v>24</v>
      </c>
      <c r="E21" s="58">
        <f>SUM(E22:E25)</f>
        <v>8</v>
      </c>
      <c r="F21" s="58">
        <f>SUM(F22:F25)</f>
        <v>8</v>
      </c>
      <c r="G21" s="58">
        <f>SUM(G22:G25)</f>
        <v>8</v>
      </c>
    </row>
    <row r="22" s="21" customFormat="1" customHeight="1" spans="1:7">
      <c r="A22" s="3">
        <v>2.1</v>
      </c>
      <c r="B22" s="3" t="s">
        <v>113</v>
      </c>
      <c r="C22" s="3" t="s">
        <v>165</v>
      </c>
      <c r="D22" s="4">
        <f>SUM(E22:G22)</f>
        <v>6</v>
      </c>
      <c r="E22" s="5">
        <v>2</v>
      </c>
      <c r="F22" s="5">
        <v>2</v>
      </c>
      <c r="G22" s="5">
        <v>2</v>
      </c>
    </row>
    <row r="23" s="21" customFormat="1" customHeight="1" spans="1:7">
      <c r="A23" s="3">
        <v>2.2</v>
      </c>
      <c r="B23" s="3" t="s">
        <v>114</v>
      </c>
      <c r="C23" s="3"/>
      <c r="D23" s="4">
        <f>SUM(E23:G23)</f>
        <v>6</v>
      </c>
      <c r="E23" s="5">
        <v>2</v>
      </c>
      <c r="F23" s="5">
        <v>2</v>
      </c>
      <c r="G23" s="5">
        <v>2</v>
      </c>
    </row>
    <row r="24" s="21" customFormat="1" customHeight="1" spans="1:7">
      <c r="A24" s="3">
        <v>2.3</v>
      </c>
      <c r="B24" s="3" t="s">
        <v>115</v>
      </c>
      <c r="C24" s="3"/>
      <c r="D24" s="4">
        <f>SUM(E24:G24)</f>
        <v>6</v>
      </c>
      <c r="E24" s="5">
        <v>2</v>
      </c>
      <c r="F24" s="5">
        <v>2</v>
      </c>
      <c r="G24" s="5">
        <v>2</v>
      </c>
    </row>
    <row r="25" s="21" customFormat="1" customHeight="1" spans="1:7">
      <c r="A25" s="3">
        <v>2.4</v>
      </c>
      <c r="B25" s="3" t="s">
        <v>116</v>
      </c>
      <c r="C25" s="3"/>
      <c r="D25" s="4">
        <f>SUM(E25:G25)</f>
        <v>6</v>
      </c>
      <c r="E25" s="5">
        <v>2</v>
      </c>
      <c r="F25" s="5">
        <v>2</v>
      </c>
      <c r="G25" s="5">
        <v>2</v>
      </c>
    </row>
    <row r="26" s="21" customFormat="1" customHeight="1" spans="1:7">
      <c r="A26" s="22" t="s">
        <v>117</v>
      </c>
      <c r="B26" s="22" t="s">
        <v>118</v>
      </c>
      <c r="C26" s="22"/>
      <c r="D26" s="22">
        <f>SUM(D27:D32)</f>
        <v>144.96</v>
      </c>
      <c r="E26" s="22">
        <f>SUM(E27:E32)</f>
        <v>24.128</v>
      </c>
      <c r="F26" s="22">
        <f>SUM(F27:F32)</f>
        <v>72.512</v>
      </c>
      <c r="G26" s="22">
        <f>SUM(G27:G32)</f>
        <v>48.32</v>
      </c>
    </row>
    <row r="27" s="21" customFormat="1" customHeight="1" spans="1:7">
      <c r="A27" s="3">
        <v>1</v>
      </c>
      <c r="B27" s="3" t="s">
        <v>119</v>
      </c>
      <c r="C27" s="3"/>
      <c r="D27" s="4">
        <f>SUM(E27:G27)</f>
        <v>6</v>
      </c>
      <c r="E27" s="5">
        <v>2</v>
      </c>
      <c r="F27" s="5">
        <v>2</v>
      </c>
      <c r="G27" s="5">
        <v>2</v>
      </c>
    </row>
    <row r="28" s="21" customFormat="1" customHeight="1" spans="1:7">
      <c r="A28" s="3">
        <v>2</v>
      </c>
      <c r="B28" s="3" t="s">
        <v>120</v>
      </c>
      <c r="C28" s="3"/>
      <c r="D28" s="4">
        <f>SUM(E28:G28)</f>
        <v>6</v>
      </c>
      <c r="E28" s="5">
        <v>2</v>
      </c>
      <c r="F28" s="5">
        <v>2</v>
      </c>
      <c r="G28" s="5">
        <v>2</v>
      </c>
    </row>
    <row r="29" s="21" customFormat="1" customHeight="1" spans="1:7">
      <c r="A29" s="3">
        <v>3</v>
      </c>
      <c r="B29" s="3" t="s">
        <v>121</v>
      </c>
      <c r="C29" s="3"/>
      <c r="D29" s="4">
        <f>SUM(E29:G29)</f>
        <v>6</v>
      </c>
      <c r="E29" s="5">
        <v>2</v>
      </c>
      <c r="F29" s="5">
        <v>2</v>
      </c>
      <c r="G29" s="5">
        <v>2</v>
      </c>
    </row>
    <row r="30" s="21" customFormat="1" customHeight="1" spans="1:7">
      <c r="A30" s="3">
        <v>4</v>
      </c>
      <c r="B30" s="3" t="s">
        <v>122</v>
      </c>
      <c r="C30" s="3"/>
      <c r="D30" s="4">
        <f>SUM(E30:G30)</f>
        <v>6</v>
      </c>
      <c r="E30" s="5">
        <v>2</v>
      </c>
      <c r="F30" s="5">
        <v>2</v>
      </c>
      <c r="G30" s="5">
        <v>2</v>
      </c>
    </row>
    <row r="31" s="21" customFormat="1" customHeight="1" spans="1:7">
      <c r="A31" s="3">
        <v>5</v>
      </c>
      <c r="B31" s="3" t="s">
        <v>123</v>
      </c>
      <c r="C31" s="3"/>
      <c r="D31" s="4">
        <f>c借款还本付息计划表!C27</f>
        <v>120.96</v>
      </c>
      <c r="E31" s="23">
        <f>c借款还本付息计划表!D27</f>
        <v>16.128</v>
      </c>
      <c r="F31" s="23">
        <f>c借款还本付息计划表!E27</f>
        <v>64.512</v>
      </c>
      <c r="G31" s="23">
        <f>c借款还本付息计划表!F27</f>
        <v>40.32</v>
      </c>
    </row>
    <row r="32" s="21" customFormat="1" customHeight="1" spans="1:7">
      <c r="A32" s="3">
        <v>6</v>
      </c>
      <c r="B32" s="3" t="s">
        <v>52</v>
      </c>
      <c r="C32" s="3"/>
      <c r="D32" s="4">
        <f>SUM(E32:G32)</f>
        <v>0</v>
      </c>
      <c r="E32" s="5">
        <v>0</v>
      </c>
      <c r="F32" s="5">
        <v>0</v>
      </c>
      <c r="G32" s="5">
        <v>0</v>
      </c>
    </row>
    <row r="33" s="21" customFormat="1" customHeight="1" spans="1:7">
      <c r="A33" s="22" t="s">
        <v>124</v>
      </c>
      <c r="B33" s="22" t="s">
        <v>125</v>
      </c>
      <c r="C33" s="22"/>
      <c r="D33" s="58">
        <f>D34</f>
        <v>6</v>
      </c>
      <c r="E33" s="58">
        <f>E34</f>
        <v>2</v>
      </c>
      <c r="F33" s="58">
        <f>F34</f>
        <v>2</v>
      </c>
      <c r="G33" s="58">
        <f>G34</f>
        <v>2</v>
      </c>
    </row>
    <row r="34" s="21" customFormat="1" customHeight="1" spans="1:7">
      <c r="A34" s="3">
        <v>1</v>
      </c>
      <c r="B34" s="14" t="s">
        <v>126</v>
      </c>
      <c r="C34" s="14"/>
      <c r="D34" s="4">
        <f>SUM(E34:G34)</f>
        <v>6</v>
      </c>
      <c r="E34" s="5">
        <v>2</v>
      </c>
      <c r="F34" s="5">
        <v>2</v>
      </c>
      <c r="G34" s="5">
        <v>2</v>
      </c>
    </row>
    <row r="35" s="21" customFormat="1" customHeight="1" spans="1:7">
      <c r="A35" s="3"/>
      <c r="B35" s="3" t="s">
        <v>127</v>
      </c>
      <c r="C35" s="3"/>
      <c r="D35" s="4">
        <f>D3+D26+D33</f>
        <v>648.96</v>
      </c>
      <c r="E35" s="4">
        <f>E3+E26+E33</f>
        <v>181.128</v>
      </c>
      <c r="F35" s="4">
        <f>F3+F26+F33</f>
        <v>240.512</v>
      </c>
      <c r="G35" s="4">
        <f>G3+G26+G33</f>
        <v>227.32</v>
      </c>
    </row>
  </sheetData>
  <mergeCells count="2">
    <mergeCell ref="A1:G1"/>
    <mergeCell ref="B35:C3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FFFF00"/>
  </sheetPr>
  <dimension ref="A1:J16"/>
  <sheetViews>
    <sheetView zoomScale="70" zoomScaleNormal="70" topLeftCell="B1" workbookViewId="0">
      <selection activeCell="N17" sqref="N17"/>
    </sheetView>
  </sheetViews>
  <sheetFormatPr defaultColWidth="8.88888888888889" defaultRowHeight="28" customHeight="1"/>
  <cols>
    <col min="2" max="2" width="22.5555555555556" customWidth="1"/>
    <col min="3" max="3" width="19.7407407407407" customWidth="1"/>
    <col min="4" max="4" width="11.4444444444444" customWidth="1"/>
    <col min="5" max="5" width="16.9907407407407" customWidth="1"/>
    <col min="6" max="6" width="19.9907407407407" customWidth="1"/>
    <col min="7" max="7" width="21.0462962962963" customWidth="1"/>
    <col min="8" max="8" width="19.7314814814815" customWidth="1"/>
    <col min="9" max="9" width="19.1944444444444" customWidth="1"/>
    <col min="10" max="10" width="20.4722222222222" customWidth="1"/>
  </cols>
  <sheetData>
    <row r="1" s="21" customFormat="1" customHeight="1" spans="1:10">
      <c r="A1" s="31" t="s">
        <v>166</v>
      </c>
      <c r="B1" s="31"/>
      <c r="C1" s="31"/>
      <c r="D1" s="31"/>
      <c r="E1" s="31"/>
      <c r="F1" s="31"/>
      <c r="G1" s="31"/>
      <c r="H1" s="31"/>
      <c r="I1" s="31"/>
      <c r="J1" s="31"/>
    </row>
    <row r="2" s="21" customFormat="1" ht="33" customHeight="1" spans="1:10">
      <c r="A2" s="2" t="s">
        <v>1</v>
      </c>
      <c r="B2" s="2" t="s">
        <v>167</v>
      </c>
      <c r="C2" s="2" t="s">
        <v>168</v>
      </c>
      <c r="D2" s="2" t="s">
        <v>169</v>
      </c>
      <c r="E2" s="2" t="s">
        <v>170</v>
      </c>
      <c r="F2" s="2">
        <v>2026</v>
      </c>
      <c r="G2" s="2">
        <v>2027</v>
      </c>
      <c r="H2" s="2">
        <v>2028</v>
      </c>
      <c r="I2" s="2" t="s">
        <v>52</v>
      </c>
      <c r="J2" s="2">
        <v>2045</v>
      </c>
    </row>
    <row r="3" s="21" customFormat="1" customHeight="1" spans="1:10">
      <c r="A3" s="3">
        <v>1</v>
      </c>
      <c r="B3" s="3" t="s">
        <v>171</v>
      </c>
      <c r="C3" s="43">
        <v>2</v>
      </c>
      <c r="D3" s="3">
        <f t="shared" ref="D3:D15" si="0">360/C3</f>
        <v>180</v>
      </c>
      <c r="E3" s="73">
        <v>0</v>
      </c>
      <c r="F3" s="4">
        <f>F4+F5+F10</f>
        <v>13.3116763888889</v>
      </c>
      <c r="G3" s="4">
        <f>G4+G5+G10</f>
        <v>11.5600469444444</v>
      </c>
      <c r="H3" s="4">
        <f>H4+H5+H10</f>
        <v>7.23052375</v>
      </c>
      <c r="I3" s="4">
        <f>I4+I5+I10</f>
        <v>9.09155611111111</v>
      </c>
      <c r="J3" s="4">
        <f>J4+J5+J10</f>
        <v>9.17481069444444</v>
      </c>
    </row>
    <row r="4" s="21" customFormat="1" customHeight="1" spans="1:10">
      <c r="A4" s="3">
        <v>1.1</v>
      </c>
      <c r="B4" s="3" t="s">
        <v>172</v>
      </c>
      <c r="C4" s="43">
        <v>1</v>
      </c>
      <c r="D4" s="3">
        <f t="shared" si="0"/>
        <v>360</v>
      </c>
      <c r="E4" s="73">
        <v>0</v>
      </c>
      <c r="F4" s="4">
        <f>F项目收入!E10/D4</f>
        <v>4.68055555555556</v>
      </c>
      <c r="G4" s="4">
        <f>F项目收入!F10/D4</f>
        <v>5.91944444444444</v>
      </c>
      <c r="H4" s="4">
        <f>F项目收入!G10/D4</f>
        <v>4.625</v>
      </c>
      <c r="I4" s="4">
        <f>F项目收入!H10/D4</f>
        <v>5.83611111111111</v>
      </c>
      <c r="J4" s="4">
        <f>F项目收入!I10/D4</f>
        <v>5.91944444444444</v>
      </c>
    </row>
    <row r="5" s="21" customFormat="1" customHeight="1" spans="1:10">
      <c r="A5" s="3">
        <v>1.2</v>
      </c>
      <c r="B5" s="3" t="s">
        <v>173</v>
      </c>
      <c r="C5" s="43">
        <v>3</v>
      </c>
      <c r="D5" s="3">
        <f t="shared" si="0"/>
        <v>120</v>
      </c>
      <c r="E5" s="73">
        <v>0</v>
      </c>
      <c r="F5" s="4">
        <f>SUM(F6:F9)</f>
        <v>4.85722708333333</v>
      </c>
      <c r="G5" s="4">
        <f>SUM(G6:G9)</f>
        <v>3.19946791666667</v>
      </c>
      <c r="H5" s="4">
        <f>SUM(H6:H9)</f>
        <v>1.73609520833333</v>
      </c>
      <c r="I5" s="4">
        <f>SUM(I6:I9)</f>
        <v>2.16938916666667</v>
      </c>
      <c r="J5" s="4">
        <f>SUM(J6:J9)</f>
        <v>2.16934979166667</v>
      </c>
    </row>
    <row r="6" s="21" customFormat="1" customHeight="1" spans="1:10">
      <c r="A6" s="3" t="s">
        <v>157</v>
      </c>
      <c r="B6" s="3" t="s">
        <v>174</v>
      </c>
      <c r="C6" s="43">
        <v>30</v>
      </c>
      <c r="D6" s="3">
        <f t="shared" si="0"/>
        <v>12</v>
      </c>
      <c r="E6" s="73">
        <v>0</v>
      </c>
      <c r="F6" s="4">
        <f>E总成本费用估算表!D3/D6</f>
        <v>0.333333333333333</v>
      </c>
      <c r="G6" s="4">
        <f>E总成本费用估算表!E3/D6</f>
        <v>0.233333333333333</v>
      </c>
      <c r="H6" s="4">
        <f>E总成本费用估算表!F3/D6</f>
        <v>0.266666666666667</v>
      </c>
      <c r="I6" s="4">
        <f>E总成本费用估算表!G3/D6</f>
        <v>0.333333333333333</v>
      </c>
      <c r="J6" s="4">
        <f>E总成本费用估算表!H3/D6</f>
        <v>0.333333333333333</v>
      </c>
    </row>
    <row r="7" s="21" customFormat="1" customHeight="1" spans="1:10">
      <c r="A7" s="3" t="s">
        <v>158</v>
      </c>
      <c r="B7" s="3" t="s">
        <v>175</v>
      </c>
      <c r="C7" s="43">
        <v>15</v>
      </c>
      <c r="D7" s="3">
        <f t="shared" si="0"/>
        <v>24</v>
      </c>
      <c r="E7" s="73">
        <v>0</v>
      </c>
      <c r="F7" s="4">
        <f>E总成本费用估算表!D4/D7</f>
        <v>0.25</v>
      </c>
      <c r="G7" s="4">
        <f>E总成本费用估算表!E4/D7</f>
        <v>0.175</v>
      </c>
      <c r="H7" s="4">
        <f>E总成本费用估算表!F4/D7</f>
        <v>0.2</v>
      </c>
      <c r="I7" s="4">
        <f>E总成本费用估算表!G4/D7</f>
        <v>0.25</v>
      </c>
      <c r="J7" s="4">
        <f>E总成本费用估算表!H4/D7</f>
        <v>0.25</v>
      </c>
    </row>
    <row r="8" s="21" customFormat="1" customHeight="1" spans="1:10">
      <c r="A8" s="3" t="s">
        <v>159</v>
      </c>
      <c r="B8" s="3" t="s">
        <v>176</v>
      </c>
      <c r="C8" s="43">
        <v>3</v>
      </c>
      <c r="D8" s="3">
        <f t="shared" si="0"/>
        <v>120</v>
      </c>
      <c r="E8" s="73">
        <v>0</v>
      </c>
      <c r="F8" s="74" t="s">
        <v>177</v>
      </c>
      <c r="G8" s="74" t="s">
        <v>177</v>
      </c>
      <c r="H8" s="74" t="s">
        <v>177</v>
      </c>
      <c r="I8" s="74" t="s">
        <v>177</v>
      </c>
      <c r="J8" s="74" t="s">
        <v>177</v>
      </c>
    </row>
    <row r="9" s="21" customFormat="1" customHeight="1" spans="1:10">
      <c r="A9" s="3" t="s">
        <v>160</v>
      </c>
      <c r="B9" s="3" t="s">
        <v>178</v>
      </c>
      <c r="C9" s="43">
        <v>15</v>
      </c>
      <c r="D9" s="3">
        <f t="shared" si="0"/>
        <v>24</v>
      </c>
      <c r="E9" s="73">
        <v>0</v>
      </c>
      <c r="F9" s="4">
        <f>(E总成本费用估算表!D11-E总成本费用估算表!D10)/D9</f>
        <v>4.27389375</v>
      </c>
      <c r="G9" s="4">
        <f>(E总成本费用估算表!E11-E总成本费用估算表!E10)/D9</f>
        <v>2.79113458333333</v>
      </c>
      <c r="H9" s="4">
        <f>(E总成本费用估算表!F11-E总成本费用估算表!F10)/D9</f>
        <v>1.26942854166667</v>
      </c>
      <c r="I9" s="4">
        <f>(E总成本费用估算表!G11-E总成本费用估算表!G10)/D9</f>
        <v>1.58605583333333</v>
      </c>
      <c r="J9" s="4">
        <f>(E总成本费用估算表!H11-E总成本费用估算表!H10)/D9</f>
        <v>1.58601645833333</v>
      </c>
    </row>
    <row r="10" s="21" customFormat="1" customHeight="1" spans="1:10">
      <c r="A10" s="3">
        <v>1.3</v>
      </c>
      <c r="B10" s="3" t="s">
        <v>179</v>
      </c>
      <c r="C10" s="43">
        <v>15</v>
      </c>
      <c r="D10" s="3">
        <f t="shared" si="0"/>
        <v>24</v>
      </c>
      <c r="E10" s="73">
        <v>0</v>
      </c>
      <c r="F10" s="4">
        <f>(E总成本费用估算表!D5+E总成本费用估算表!D7)/D10</f>
        <v>3.77389375</v>
      </c>
      <c r="G10" s="4">
        <f>(E总成本费用估算表!E5+E总成本费用估算表!E7)/D10</f>
        <v>2.44113458333333</v>
      </c>
      <c r="H10" s="4">
        <f>(E总成本费用估算表!F5+E总成本费用估算表!F7)/D10</f>
        <v>0.869428541666667</v>
      </c>
      <c r="I10" s="4">
        <f>(E总成本费用估算表!G5+E总成本费用估算表!G7)/D10</f>
        <v>1.08605583333333</v>
      </c>
      <c r="J10" s="4">
        <f>(E总成本费用估算表!H5+E总成本费用估算表!H7)/D10</f>
        <v>1.08601645833333</v>
      </c>
    </row>
    <row r="11" s="21" customFormat="1" customHeight="1" spans="1:10">
      <c r="A11" s="3">
        <v>2</v>
      </c>
      <c r="B11" s="3" t="s">
        <v>180</v>
      </c>
      <c r="C11" s="43">
        <v>3</v>
      </c>
      <c r="D11" s="3">
        <f t="shared" si="0"/>
        <v>120</v>
      </c>
      <c r="E11" s="73">
        <v>0</v>
      </c>
      <c r="F11" s="4">
        <f>F12</f>
        <v>0.0833333333333333</v>
      </c>
      <c r="G11" s="4">
        <f>G12</f>
        <v>0.0583333333333333</v>
      </c>
      <c r="H11" s="4">
        <f>H12</f>
        <v>0.0666666666666667</v>
      </c>
      <c r="I11" s="4">
        <f>I12</f>
        <v>0.0833333333333333</v>
      </c>
      <c r="J11" s="4">
        <f>J12</f>
        <v>0.0833333333333333</v>
      </c>
    </row>
    <row r="12" s="21" customFormat="1" customHeight="1" spans="1:10">
      <c r="A12" s="3">
        <v>2.1</v>
      </c>
      <c r="B12" s="3" t="s">
        <v>181</v>
      </c>
      <c r="C12" s="43">
        <v>3</v>
      </c>
      <c r="D12" s="3">
        <f t="shared" si="0"/>
        <v>120</v>
      </c>
      <c r="E12" s="73">
        <v>0</v>
      </c>
      <c r="F12" s="4">
        <f>(E总成本费用估算表!D3+E总成本费用估算表!D4)/D12</f>
        <v>0.0833333333333333</v>
      </c>
      <c r="G12" s="4">
        <f>(E总成本费用估算表!E3+E总成本费用估算表!E4)/D12</f>
        <v>0.0583333333333333</v>
      </c>
      <c r="H12" s="4">
        <f>(E总成本费用估算表!F3+E总成本费用估算表!F4)/D12</f>
        <v>0.0666666666666667</v>
      </c>
      <c r="I12" s="4">
        <f>(E总成本费用估算表!G3+E总成本费用估算表!G4)/D12</f>
        <v>0.0833333333333333</v>
      </c>
      <c r="J12" s="4">
        <f>(E总成本费用估算表!H3+E总成本费用估算表!H4)/D12</f>
        <v>0.0833333333333333</v>
      </c>
    </row>
    <row r="13" s="21" customFormat="1" customHeight="1" spans="1:10">
      <c r="A13" s="3">
        <v>3</v>
      </c>
      <c r="B13" s="3" t="s">
        <v>182</v>
      </c>
      <c r="C13" s="43">
        <v>3</v>
      </c>
      <c r="D13" s="3">
        <f t="shared" si="0"/>
        <v>120</v>
      </c>
      <c r="E13" s="73">
        <v>0</v>
      </c>
      <c r="F13" s="4">
        <f>F3-F11</f>
        <v>13.2283430555556</v>
      </c>
      <c r="G13" s="4">
        <f>G3-G11</f>
        <v>11.5017136111111</v>
      </c>
      <c r="H13" s="4">
        <f>H3-H11</f>
        <v>7.16385708333333</v>
      </c>
      <c r="I13" s="4">
        <f>I3-I11</f>
        <v>9.00822277777778</v>
      </c>
      <c r="J13" s="4">
        <f>J3-J11</f>
        <v>9.09147736111111</v>
      </c>
    </row>
    <row r="14" s="21" customFormat="1" customHeight="1" spans="1:10">
      <c r="A14" s="3">
        <v>4</v>
      </c>
      <c r="B14" s="3" t="s">
        <v>183</v>
      </c>
      <c r="C14" s="43">
        <v>3</v>
      </c>
      <c r="D14" s="3">
        <f t="shared" si="0"/>
        <v>120</v>
      </c>
      <c r="E14" s="73">
        <v>0</v>
      </c>
      <c r="F14" s="4">
        <f>F13</f>
        <v>13.2283430555556</v>
      </c>
      <c r="G14" s="4">
        <f>G13</f>
        <v>11.5017136111111</v>
      </c>
      <c r="H14" s="4">
        <f>H13</f>
        <v>7.16385708333333</v>
      </c>
      <c r="I14" s="4">
        <f>I13</f>
        <v>9.00822277777778</v>
      </c>
      <c r="J14" s="4">
        <f>J13</f>
        <v>9.09147736111111</v>
      </c>
    </row>
    <row r="15" s="21" customFormat="1" customHeight="1" spans="1:10">
      <c r="A15" s="3">
        <v>5</v>
      </c>
      <c r="B15" s="3" t="s">
        <v>184</v>
      </c>
      <c r="C15" s="43">
        <v>3</v>
      </c>
      <c r="D15" s="3">
        <f t="shared" si="0"/>
        <v>120</v>
      </c>
      <c r="E15" s="3">
        <f>D.2项目总投资使用计划与资金筹措表!D15</f>
        <v>0</v>
      </c>
      <c r="F15" s="4">
        <f>D.2项目总投资使用计划与资金筹措表!E15</f>
        <v>9.25984013888888</v>
      </c>
      <c r="G15" s="4">
        <f>D.2项目总投资使用计划与资金筹措表!F15</f>
        <v>8.05119952777778</v>
      </c>
      <c r="H15" s="4">
        <f>D.2项目总投资使用计划与资金筹措表!G15</f>
        <v>0</v>
      </c>
      <c r="I15" s="4">
        <f>D.2项目总投资使用计划与资金筹措表!H15</f>
        <v>0</v>
      </c>
      <c r="J15" s="4">
        <f>D.2项目总投资使用计划与资金筹措表!I15</f>
        <v>0</v>
      </c>
    </row>
    <row r="16" customHeight="1" spans="1:10">
      <c r="A16" s="57" t="s">
        <v>185</v>
      </c>
      <c r="B16" s="57"/>
      <c r="C16" s="57"/>
      <c r="D16" s="57"/>
      <c r="E16" s="57"/>
      <c r="F16" s="57"/>
      <c r="G16" s="57"/>
      <c r="H16" s="57"/>
      <c r="I16" s="57"/>
      <c r="J16" s="57"/>
    </row>
  </sheetData>
  <mergeCells count="2">
    <mergeCell ref="A1:J1"/>
    <mergeCell ref="A16:J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4" tint="-0.25"/>
  </sheetPr>
  <dimension ref="A1:H18"/>
  <sheetViews>
    <sheetView tabSelected="1" zoomScale="85" zoomScaleNormal="85" workbookViewId="0">
      <selection activeCell="L8" sqref="L8"/>
    </sheetView>
  </sheetViews>
  <sheetFormatPr defaultColWidth="8.88888888888889" defaultRowHeight="28" customHeight="1" outlineLevelCol="7"/>
  <cols>
    <col min="2" max="2" width="29.7777777777778" customWidth="1"/>
    <col min="3" max="3" width="14.1111111111111" customWidth="1"/>
    <col min="4" max="4" width="13.8518518518519" customWidth="1"/>
    <col min="5" max="5" width="13.5925925925926" customWidth="1"/>
    <col min="6" max="8" width="15.6666666666667"/>
  </cols>
  <sheetData>
    <row r="1" s="21" customFormat="1" customHeight="1" spans="1:8">
      <c r="A1" s="1" t="s">
        <v>186</v>
      </c>
      <c r="B1" s="1"/>
      <c r="C1" s="1"/>
      <c r="D1" s="1"/>
      <c r="E1" s="1"/>
      <c r="F1" s="1"/>
      <c r="G1" s="1"/>
      <c r="H1" s="1"/>
    </row>
    <row r="2" s="21" customFormat="1" ht="51" customHeight="1" spans="1:8">
      <c r="A2" s="2" t="s">
        <v>1</v>
      </c>
      <c r="B2" s="2" t="s">
        <v>129</v>
      </c>
      <c r="C2" s="49" t="s">
        <v>187</v>
      </c>
      <c r="D2" s="2" t="s">
        <v>188</v>
      </c>
      <c r="E2" s="2" t="s">
        <v>189</v>
      </c>
      <c r="F2" s="2" t="s">
        <v>190</v>
      </c>
      <c r="G2" s="2" t="s">
        <v>191</v>
      </c>
      <c r="H2" s="2" t="s">
        <v>192</v>
      </c>
    </row>
    <row r="3" s="21" customFormat="1" customHeight="1" spans="1:8">
      <c r="A3" s="3">
        <v>1</v>
      </c>
      <c r="B3" s="3" t="s">
        <v>193</v>
      </c>
      <c r="C3" s="51">
        <v>0</v>
      </c>
      <c r="D3" s="4">
        <f>E.1项目运营费用!H7+E.1项目运营费用!H13</f>
        <v>4</v>
      </c>
      <c r="E3" s="4">
        <f>E.1项目运营费用!I7+E.1项目运营费用!I13</f>
        <v>2.8</v>
      </c>
      <c r="F3" s="4">
        <f>E.1项目运营费用!J7+E.1项目运营费用!J13</f>
        <v>3.2</v>
      </c>
      <c r="G3" s="4">
        <f>E.1项目运营费用!K7+E.1项目运营费用!K13</f>
        <v>4</v>
      </c>
      <c r="H3" s="4">
        <f>E.1项目运营费用!L7+E.1项目运营费用!L13</f>
        <v>4</v>
      </c>
    </row>
    <row r="4" s="21" customFormat="1" customHeight="1" spans="1:8">
      <c r="A4" s="3">
        <v>2</v>
      </c>
      <c r="B4" s="3" t="s">
        <v>194</v>
      </c>
      <c r="C4" s="51">
        <v>0</v>
      </c>
      <c r="D4" s="4">
        <f>E.1项目运营费用!H8+E.1项目运营费用!H9+E.1项目运营费用!H10</f>
        <v>6</v>
      </c>
      <c r="E4" s="4">
        <f>E.1项目运营费用!I8+E.1项目运营费用!I9+E.1项目运营费用!I10</f>
        <v>4.2</v>
      </c>
      <c r="F4" s="4">
        <f>E.1项目运营费用!J8+E.1项目运营费用!J9+E.1项目运营费用!J10</f>
        <v>4.8</v>
      </c>
      <c r="G4" s="4">
        <f>E.1项目运营费用!K8+E.1项目运营费用!K9+E.1项目运营费用!K10</f>
        <v>6</v>
      </c>
      <c r="H4" s="4">
        <f>E.1项目运营费用!L8+E.1项目运营费用!L9+E.1项目运营费用!L10</f>
        <v>6</v>
      </c>
    </row>
    <row r="5" s="21" customFormat="1" customHeight="1" spans="1:8">
      <c r="A5" s="3">
        <v>3</v>
      </c>
      <c r="B5" s="3" t="s">
        <v>195</v>
      </c>
      <c r="C5" s="51">
        <v>0</v>
      </c>
      <c r="D5" s="4">
        <f>E.1项目运营费用!H16</f>
        <v>2</v>
      </c>
      <c r="E5" s="4">
        <f>E.1项目运营费用!I16</f>
        <v>1.4</v>
      </c>
      <c r="F5" s="4">
        <f>E.1项目运营费用!J16</f>
        <v>1.6</v>
      </c>
      <c r="G5" s="4">
        <f>E.1项目运营费用!K16</f>
        <v>2</v>
      </c>
      <c r="H5" s="4">
        <f>E.1项目运营费用!L16</f>
        <v>2</v>
      </c>
    </row>
    <row r="6" s="21" customFormat="1" customHeight="1" spans="1:8">
      <c r="A6" s="3">
        <v>4</v>
      </c>
      <c r="B6" s="3" t="s">
        <v>196</v>
      </c>
      <c r="C6" s="51">
        <v>0</v>
      </c>
      <c r="D6" s="4">
        <f>E.1项目运营费用!H5+E.1项目运营费用!H12</f>
        <v>4</v>
      </c>
      <c r="E6" s="4">
        <f>E.1项目运营费用!I5+E.1项目运营费用!I12</f>
        <v>2.8</v>
      </c>
      <c r="F6" s="4">
        <f>E.1项目运营费用!J5+E.1项目运营费用!J12</f>
        <v>3.2</v>
      </c>
      <c r="G6" s="4">
        <f>E.1项目运营费用!K5+E.1项目运营费用!K12</f>
        <v>4</v>
      </c>
      <c r="H6" s="4">
        <f>E.1项目运营费用!L5+E.1项目运营费用!L12</f>
        <v>4</v>
      </c>
    </row>
    <row r="7" s="21" customFormat="1" customHeight="1" spans="1:8">
      <c r="A7" s="3">
        <v>5</v>
      </c>
      <c r="B7" s="3" t="s">
        <v>197</v>
      </c>
      <c r="C7" s="51">
        <v>0</v>
      </c>
      <c r="D7" s="8">
        <f>D8+D9+D10</f>
        <v>88.57345</v>
      </c>
      <c r="E7" s="8">
        <f>E8+E9+E10</f>
        <v>57.18723</v>
      </c>
      <c r="F7" s="8">
        <f>F8+F9+F10</f>
        <v>19.266285</v>
      </c>
      <c r="G7" s="8">
        <f>G8+G9+G10</f>
        <v>24.06534</v>
      </c>
      <c r="H7" s="8">
        <f>H8+H9+H10</f>
        <v>24.064395</v>
      </c>
    </row>
    <row r="8" s="21" customFormat="1" customHeight="1" spans="1:8">
      <c r="A8" s="3">
        <v>5.1</v>
      </c>
      <c r="B8" s="3" t="s">
        <v>198</v>
      </c>
      <c r="C8" s="51">
        <v>0</v>
      </c>
      <c r="D8" s="8">
        <f>E.1项目运营费用!H4+E.1项目运营费用!H14</f>
        <v>4</v>
      </c>
      <c r="E8" s="8">
        <f>E.1项目运营费用!I4+E.1项目运营费用!I14</f>
        <v>2.8</v>
      </c>
      <c r="F8" s="8">
        <f>E.1项目运营费用!J4+E.1项目运营费用!J14</f>
        <v>3.2</v>
      </c>
      <c r="G8" s="8">
        <f>E.1项目运营费用!K4+E.1项目运营费用!K14</f>
        <v>4</v>
      </c>
      <c r="H8" s="8">
        <f>E.1项目运营费用!L4+E.1项目运营费用!L14</f>
        <v>4</v>
      </c>
    </row>
    <row r="9" s="21" customFormat="1" customHeight="1" spans="1:8">
      <c r="A9" s="3">
        <v>5.2</v>
      </c>
      <c r="B9" s="3" t="s">
        <v>199</v>
      </c>
      <c r="C9" s="51">
        <v>0</v>
      </c>
      <c r="D9" s="4">
        <f>E.1项目运营费用!H6+E.1项目运营费用!H11+E.1项目运营费用!H17+E.1项目运营费用!H18+E.1项目运营费用!H19+E.1项目运营费用!H20+E.1项目运营费用!H21+E.1项目运营费用!H22+E.1项目运营费用!H23+c借款还本付息计划表!E26+c借款还本付息计划表!E27</f>
        <v>82.57345</v>
      </c>
      <c r="E9" s="4">
        <f>E.1项目运营费用!I6+E.1项目运营费用!I11+E.1项目运营费用!I17+E.1项目运营费用!I18+E.1项目运营费用!I19+E.1项目运营费用!I20+E.1项目运营费用!I21+E.1项目运营费用!I22+E.1项目运营费用!I23+c借款还本付息计划表!F26+c借款还本付息计划表!F27</f>
        <v>52.98723</v>
      </c>
      <c r="F9" s="4">
        <f>E.1项目运营费用!J6+E.1项目运营费用!J11+E.1项目运营费用!J17+E.1项目运营费用!J18+E.1项目运营费用!J19+E.1项目运营费用!J20+E.1项目运营费用!J21+E.1项目运营费用!J22+E.1项目运营费用!J23+c借款还本付息计划表!G26+c借款还本付息计划表!G27</f>
        <v>14.466285</v>
      </c>
      <c r="G9" s="4">
        <f>E.1项目运营费用!K6+E.1项目运营费用!K11+E.1项目运营费用!K17+E.1项目运营费用!K18+E.1项目运营费用!K19+E.1项目运营费用!K20+E.1项目运营费用!K21+E.1项目运营费用!K22+E.1项目运营费用!K23+c借款还本付息计划表!H26+c借款还本付息计划表!H27</f>
        <v>18.06534</v>
      </c>
      <c r="H9" s="4">
        <f>E.1项目运营费用!L6+E.1项目运营费用!L11+E.1项目运营费用!L17+E.1项目运营费用!L18+E.1项目运营费用!L19+E.1项目运营费用!L20+E.1项目运营费用!L21+E.1项目运营费用!L22+E.1项目运营费用!L23+c借款还本付息计划表!I26+c借款还本付息计划表!I27</f>
        <v>18.064395</v>
      </c>
    </row>
    <row r="10" s="21" customFormat="1" customHeight="1" spans="1:8">
      <c r="A10" s="3">
        <v>5.3</v>
      </c>
      <c r="B10" s="3" t="s">
        <v>200</v>
      </c>
      <c r="C10" s="51">
        <v>0</v>
      </c>
      <c r="D10" s="4">
        <f>E.1项目运营费用!H15</f>
        <v>2</v>
      </c>
      <c r="E10" s="4">
        <f>E.1项目运营费用!I15</f>
        <v>1.4</v>
      </c>
      <c r="F10" s="4">
        <f>E.1项目运营费用!J15</f>
        <v>1.6</v>
      </c>
      <c r="G10" s="4">
        <f>E.1项目运营费用!K15</f>
        <v>2</v>
      </c>
      <c r="H10" s="4">
        <f>E.1项目运营费用!L15</f>
        <v>2</v>
      </c>
    </row>
    <row r="11" s="21" customFormat="1" customHeight="1" spans="1:8">
      <c r="A11" s="3">
        <v>6</v>
      </c>
      <c r="B11" s="3" t="s">
        <v>201</v>
      </c>
      <c r="C11" s="51">
        <v>0</v>
      </c>
      <c r="D11" s="4">
        <f>D3+D4+D5+D6+D7</f>
        <v>104.57345</v>
      </c>
      <c r="E11" s="4">
        <f>E3+E4+E5+E6+E7</f>
        <v>68.38723</v>
      </c>
      <c r="F11" s="4">
        <f>F3+F4+F5+F6+F7</f>
        <v>32.066285</v>
      </c>
      <c r="G11" s="4">
        <f>G3+G4+G5+G6+G7</f>
        <v>40.06534</v>
      </c>
      <c r="H11" s="4">
        <f>H3+H4+H5+H6+H7</f>
        <v>40.064395</v>
      </c>
    </row>
    <row r="12" s="21" customFormat="1" customHeight="1" spans="1:8">
      <c r="A12" s="3">
        <v>7</v>
      </c>
      <c r="B12" s="3" t="s">
        <v>202</v>
      </c>
      <c r="C12" s="51">
        <v>0</v>
      </c>
      <c r="D12" s="8">
        <v>0</v>
      </c>
      <c r="E12" s="8">
        <v>0</v>
      </c>
      <c r="F12" s="8">
        <f>E.2固定资产折旧费估算表!E4</f>
        <v>60.7689998429393</v>
      </c>
      <c r="G12" s="8">
        <f>E.2固定资产折旧费估算表!E4</f>
        <v>60.7689998429393</v>
      </c>
      <c r="H12" s="8">
        <f>E.2固定资产折旧费估算表!E4</f>
        <v>60.7689998429393</v>
      </c>
    </row>
    <row r="13" s="21" customFormat="1" customHeight="1" spans="1:8">
      <c r="A13" s="3">
        <v>8</v>
      </c>
      <c r="B13" s="3" t="s">
        <v>203</v>
      </c>
      <c r="C13" s="51">
        <v>0</v>
      </c>
      <c r="D13" s="8">
        <v>0</v>
      </c>
      <c r="E13" s="8">
        <v>0</v>
      </c>
      <c r="F13" s="8">
        <f>E.3无形资产和其他资产摊销费估算表!E11</f>
        <v>8.09355819001503</v>
      </c>
      <c r="G13" s="8">
        <f>E.3无形资产和其他资产摊销费估算表!E11</f>
        <v>8.09355819001503</v>
      </c>
      <c r="H13" s="8">
        <f>E.3无形资产和其他资产摊销费估算表!E11</f>
        <v>8.09355819001503</v>
      </c>
    </row>
    <row r="14" s="21" customFormat="1" customHeight="1" spans="1:8">
      <c r="A14" s="3">
        <v>9</v>
      </c>
      <c r="B14" s="3" t="s">
        <v>204</v>
      </c>
      <c r="C14" s="51">
        <v>0</v>
      </c>
      <c r="D14" s="4">
        <f>c借款还本付息计划表!E24</f>
        <v>229</v>
      </c>
      <c r="E14" s="4">
        <f>c借款还本付息计划表!F24</f>
        <v>344.6</v>
      </c>
      <c r="F14" s="4">
        <f>c借款还本付息计划表!G24</f>
        <v>325.7</v>
      </c>
      <c r="G14" s="4">
        <f>c借款还本付息计划表!K24</f>
        <v>269</v>
      </c>
      <c r="H14" s="4">
        <f>c借款还本付息计划表!L24</f>
        <v>269</v>
      </c>
    </row>
    <row r="15" s="21" customFormat="1" customHeight="1" spans="1:8">
      <c r="A15" s="3">
        <v>10</v>
      </c>
      <c r="B15" s="3" t="s">
        <v>205</v>
      </c>
      <c r="C15" s="51">
        <v>0</v>
      </c>
      <c r="D15" s="4">
        <f>D11+D12+D13+D14</f>
        <v>333.57345</v>
      </c>
      <c r="E15" s="4">
        <f>E11+E12+E13+E14</f>
        <v>412.98723</v>
      </c>
      <c r="F15" s="4">
        <f>F11+F12+F13+F14</f>
        <v>426.628843032954</v>
      </c>
      <c r="G15" s="4">
        <f>G11+G12+G13+G14</f>
        <v>377.927898032954</v>
      </c>
      <c r="H15" s="4">
        <f>H11+H12+H13+H14</f>
        <v>377.926953032954</v>
      </c>
    </row>
    <row r="16" s="21" customFormat="1" customHeight="1" spans="1:8">
      <c r="A16" s="3">
        <v>10.1</v>
      </c>
      <c r="B16" s="3" t="s">
        <v>206</v>
      </c>
      <c r="C16" s="51">
        <v>0</v>
      </c>
      <c r="D16" s="4">
        <f>D15-D17</f>
        <v>319.57345</v>
      </c>
      <c r="E16" s="4">
        <f>E15-E17</f>
        <v>403.18723</v>
      </c>
      <c r="F16" s="4">
        <f>F15-F17</f>
        <v>415.428843032954</v>
      </c>
      <c r="G16" s="4">
        <f>G15-G17</f>
        <v>363.927898032954</v>
      </c>
      <c r="H16" s="4">
        <f>H15-H17</f>
        <v>363.926953032954</v>
      </c>
    </row>
    <row r="17" s="21" customFormat="1" customHeight="1" spans="1:8">
      <c r="A17" s="3">
        <v>10.2</v>
      </c>
      <c r="B17" s="3" t="s">
        <v>207</v>
      </c>
      <c r="C17" s="51">
        <v>0</v>
      </c>
      <c r="D17" s="4">
        <f>D3+D4+D5+D10</f>
        <v>14</v>
      </c>
      <c r="E17" s="4">
        <f>E3+E4+E5+E10</f>
        <v>9.8</v>
      </c>
      <c r="F17" s="4">
        <f>F3+F4+F5+F10</f>
        <v>11.2</v>
      </c>
      <c r="G17" s="4">
        <f>G3+G4+G5+G10</f>
        <v>14</v>
      </c>
      <c r="H17" s="4">
        <f>H3+H4+H5+H10</f>
        <v>14</v>
      </c>
    </row>
    <row r="18" customHeight="1" spans="3:3">
      <c r="C18" s="72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A财务假设</vt:lpstr>
      <vt:lpstr>B项目信息</vt:lpstr>
      <vt:lpstr>C.1项目融资信息</vt:lpstr>
      <vt:lpstr>C.2项目每年借款信息</vt:lpstr>
      <vt:lpstr>D.1建设投资</vt:lpstr>
      <vt:lpstr>D.2项目总投资使用计划与资金筹措表</vt:lpstr>
      <vt:lpstr>D.3建设投资计划分年计划表</vt:lpstr>
      <vt:lpstr>D.4流动资金估算表</vt:lpstr>
      <vt:lpstr>E总成本费用估算表</vt:lpstr>
      <vt:lpstr>E.1项目运营费用</vt:lpstr>
      <vt:lpstr>E.2固定资产折旧费估算表</vt:lpstr>
      <vt:lpstr>E.3无形资产和其他资产摊销费估算表</vt:lpstr>
      <vt:lpstr>E.4建设投资税后金额表</vt:lpstr>
      <vt:lpstr>F项目收入</vt:lpstr>
      <vt:lpstr>F.1项目单项收入信息</vt:lpstr>
      <vt:lpstr>G.税金及附加测算表</vt:lpstr>
      <vt:lpstr>G.1进项增值税率-建设投资</vt:lpstr>
      <vt:lpstr>G.2进项增值税率-运营成本</vt:lpstr>
      <vt:lpstr>G.3销项增值税率</vt:lpstr>
      <vt:lpstr>a财务现金流量表</vt:lpstr>
      <vt:lpstr>a.2项目资本金现金流量表</vt:lpstr>
      <vt:lpstr>b利润与利润分配表（损益和利润分配表）</vt:lpstr>
      <vt:lpstr>c借款还本付息计划表</vt:lpstr>
      <vt:lpstr>d财务计划现金流量表</vt:lpstr>
      <vt:lpstr>e资产负债表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谢玉君</dc:creator>
  <cp:lastModifiedBy>Gen.</cp:lastModifiedBy>
  <dcterms:created xsi:type="dcterms:W3CDTF">2025-07-25T07:38:00Z</dcterms:created>
  <dcterms:modified xsi:type="dcterms:W3CDTF">2025-08-05T07:16:49Z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74859246F3664B7B810334A7772F83EF</vt:lpwstr>
  </property>
  <property fmtid="{D5CDD505-2E9C-101B-9397-08002B2CF9AE}" pid="3" name="KSOProductBuildVer">
    <vt:lpwstr>2052-11.8.2.11978</vt:lpwstr>
  </property>
</Properties>
</file>