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 tabRatio="775" activeTab="2"/>
  </bookViews>
  <sheets>
    <sheet name="A财务假设" sheetId="1" r:id="rId1"/>
    <sheet name="B项目信息" sheetId="2" r:id="rId2"/>
    <sheet name="C.1项目融资信息" sheetId="3" r:id="rId3"/>
    <sheet name="C.2项目每年借款信息" sheetId="4" r:id="rId4"/>
    <sheet name="D.1建设投资" sheetId="5" r:id="rId5"/>
    <sheet name="D.2项目总投资使用计划与资金筹措表" sheetId="6" r:id="rId6"/>
    <sheet name="D.3建设投资计划分年计划表" sheetId="7" r:id="rId7"/>
    <sheet name="D.4流动资金估算表" sheetId="8" r:id="rId8"/>
    <sheet name="E总成本费用估算表" sheetId="10" r:id="rId9"/>
    <sheet name="E.1项目运营费用" sheetId="9" r:id="rId10"/>
    <sheet name="E.1.1项目运营费用(不含税）" sheetId="26" r:id="rId11"/>
    <sheet name="E.2固定资产折旧费估算表" sheetId="11" r:id="rId12"/>
    <sheet name="E.3无形资产和其他资产摊销费估算表" sheetId="12" r:id="rId13"/>
    <sheet name="E.4建设投资税后金额表" sheetId="13" r:id="rId14"/>
    <sheet name="F项目收入" sheetId="14" r:id="rId15"/>
    <sheet name="F.1项目单项收入信息" sheetId="15" r:id="rId16"/>
    <sheet name="G.税金及附加测算表" sheetId="19" r:id="rId17"/>
    <sheet name="G.1进项增值税率-建设投资" sheetId="16" r:id="rId18"/>
    <sheet name="G.2进项增值税率-运营成本" sheetId="17" r:id="rId19"/>
    <sheet name="G.3销项增值税率" sheetId="18" r:id="rId20"/>
    <sheet name="a.1财务现金流量表" sheetId="20" r:id="rId21"/>
    <sheet name="a.2项目资本金现金流量表" sheetId="22" r:id="rId22"/>
    <sheet name="b利润与利润分配表（损益和利润分配表）" sheetId="23" r:id="rId23"/>
    <sheet name="c借款还本付息计划表" sheetId="21" r:id="rId24"/>
    <sheet name="d财务计划现金流量表" sheetId="24" r:id="rId25"/>
    <sheet name="e资产负债表" sheetId="25" r:id="rId26"/>
    <sheet name="Ⅰ项目投资估算构成表" sheetId="27" r:id="rId27"/>
    <sheet name="Ⅱ项目分年度资金筹措计划表" sheetId="28" r:id="rId28"/>
    <sheet name="Ⅲ项目分年度收入合计表" sheetId="29" r:id="rId29"/>
    <sheet name="Ⅳ项目分年度成本明细表" sheetId="30" r:id="rId30"/>
    <sheet name="Ⅴ项目分年度收益表" sheetId="31" r:id="rId31"/>
    <sheet name="Ⅵ专项债券应付本息情况表" sheetId="32" r:id="rId32"/>
    <sheet name="Ⅶ专项债券资金收益与融资平衡情况表" sheetId="33" r:id="rId33"/>
    <sheet name="VIII债券资金覆盖率压力测试表" sheetId="34" r:id="rId34"/>
  </sheets>
  <calcPr calcId="144525"/>
</workbook>
</file>

<file path=xl/comments1.xml><?xml version="1.0" encoding="utf-8"?>
<comments xmlns="http://schemas.openxmlformats.org/spreadsheetml/2006/main">
  <authors>
    <author>周亮</author>
  </authors>
  <commentList>
    <comment ref="D13" authorId="0">
      <text>
        <r>
          <rPr>
            <b/>
            <sz val="9"/>
            <rFont val="宋体"/>
            <charset val="134"/>
          </rPr>
          <t>周亮:</t>
        </r>
        <r>
          <rPr>
            <sz val="9"/>
            <rFont val="宋体"/>
            <charset val="134"/>
          </rPr>
          <t xml:space="preserve">
需与B表一致，比如2025+20-2027</t>
        </r>
      </text>
    </comment>
  </commentList>
</comments>
</file>

<file path=xl/comments2.xml><?xml version="1.0" encoding="utf-8"?>
<comments xmlns="http://schemas.openxmlformats.org/spreadsheetml/2006/main">
  <authors>
    <author>周亮</author>
  </authors>
  <commentList>
    <comment ref="D10" authorId="0">
      <text>
        <r>
          <rPr>
            <b/>
            <sz val="9"/>
            <rFont val="宋体"/>
            <charset val="134"/>
          </rPr>
          <t>周亮:</t>
        </r>
        <r>
          <rPr>
            <sz val="9"/>
            <rFont val="宋体"/>
            <charset val="134"/>
          </rPr>
          <t xml:space="preserve">
建设期利息不能用专项债</t>
        </r>
      </text>
    </comment>
  </commentList>
</comments>
</file>

<file path=xl/comments3.xml><?xml version="1.0" encoding="utf-8"?>
<comments xmlns="http://schemas.openxmlformats.org/spreadsheetml/2006/main">
  <authors>
    <author>周亮</author>
  </authors>
  <commentList>
    <comment ref="F7" authorId="0">
      <text>
        <r>
          <rPr>
            <b/>
            <sz val="9"/>
            <rFont val="宋体"/>
            <charset val="134"/>
          </rPr>
          <t>周亮:</t>
        </r>
        <r>
          <rPr>
            <sz val="9"/>
            <rFont val="宋体"/>
            <charset val="134"/>
          </rPr>
          <t xml:space="preserve">
需根据选项，单独计算每行的值</t>
        </r>
      </text>
    </comment>
  </commentList>
</comments>
</file>

<file path=xl/comments4.xml><?xml version="1.0" encoding="utf-8"?>
<comments xmlns="http://schemas.openxmlformats.org/spreadsheetml/2006/main">
  <authors>
    <author>谢玉君</author>
  </authors>
  <commentList>
    <comment ref="I29" authorId="0">
      <text>
        <r>
          <rPr>
            <b/>
            <sz val="12"/>
            <rFont val="宋体"/>
            <charset val="134"/>
          </rPr>
          <t>谢玉君:</t>
        </r>
        <r>
          <rPr>
            <sz val="12"/>
            <rFont val="宋体"/>
            <charset val="134"/>
          </rPr>
          <t xml:space="preserve">
其他表格中没有这三个年份 2029 2030 2031</t>
        </r>
      </text>
    </comment>
  </commentList>
</comments>
</file>

<file path=xl/comments5.xml><?xml version="1.0" encoding="utf-8"?>
<comments xmlns="http://schemas.openxmlformats.org/spreadsheetml/2006/main">
  <authors>
    <author>谢玉君</author>
  </authors>
  <commentList>
    <comment ref="H11" authorId="0">
      <text>
        <r>
          <rPr>
            <b/>
            <sz val="9"/>
            <rFont val="宋体"/>
            <charset val="134"/>
          </rPr>
          <t>谢玉君:</t>
        </r>
        <r>
          <rPr>
            <sz val="9"/>
            <rFont val="宋体"/>
            <charset val="134"/>
          </rPr>
          <t xml:space="preserve">
修改A后三行浮动值，手动填写b表最后两行数值。</t>
        </r>
      </text>
    </comment>
  </commentList>
</comments>
</file>

<file path=xl/sharedStrings.xml><?xml version="1.0" encoding="utf-8"?>
<sst xmlns="http://schemas.openxmlformats.org/spreadsheetml/2006/main" count="944" uniqueCount="550">
  <si>
    <r>
      <rPr>
        <b/>
        <sz val="16"/>
        <color theme="0"/>
        <rFont val="微软雅黑"/>
        <charset val="134"/>
      </rPr>
      <t>A财务假设（此表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</si>
  <si>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序号</t>
  </si>
  <si>
    <t>名称</t>
  </si>
  <si>
    <t>解释</t>
  </si>
  <si>
    <t>参考值</t>
  </si>
  <si>
    <t>项目投资财务基准收益率(税前)</t>
  </si>
  <si>
    <t>国家发改委《建设项目财务基准收益率取值表》</t>
  </si>
  <si>
    <t>项目投资财务基准收益率(税后)</t>
  </si>
  <si>
    <t>项目资本金财务基准收益率</t>
  </si>
  <si>
    <t>项目资本金财务基准收益率应体现项目发起人（代表项目所有权益投资者）
对投资获利的最低期望值（也称最低可接受收益率）。当项目资本金财务
内部收益率大于或等于该最低可接受收益率时，说明在该融资方案下，项目
资本金获利水平超过或达到了要求，该融资方案是可以接受的。</t>
  </si>
  <si>
    <t>城市维护建设税税率</t>
  </si>
  <si>
    <t>市区：7%；县城、镇：5%；
不在市区、县城或者镇：1% ；
缴纳基数为：增值税税额+营业税税额+消费税税额</t>
  </si>
  <si>
    <t>教育费附加费率</t>
  </si>
  <si>
    <t>缴纳基数为：增值税税额+营业税税额+消费税税额</t>
  </si>
  <si>
    <t>地方教育费附加费率</t>
  </si>
  <si>
    <t>企业所得税率</t>
  </si>
  <si>
    <t>是针对企业应纳税所得额征收的税种</t>
  </si>
  <si>
    <t>法定盈余公积提取比例</t>
  </si>
  <si>
    <t>企业应按照一定的比例从税后利润中提取盈余公积</t>
  </si>
  <si>
    <t>任意盈余公积提取比例</t>
  </si>
  <si>
    <t>提取比例由企业自主决定，没有固定标</t>
  </si>
  <si>
    <t>残值率</t>
  </si>
  <si>
    <t>资产在预计使用寿命结束时的剩余价值占其原始成本的百分比</t>
  </si>
  <si>
    <t>折旧年限（年）</t>
  </si>
  <si>
    <t>可与运营期对齐</t>
  </si>
  <si>
    <t>资本金用于流动资金比例</t>
  </si>
  <si>
    <t>不低于30%，但专项债资金不能用于流动资金，故设为 100%</t>
  </si>
  <si>
    <t>折现率</t>
  </si>
  <si>
    <t>投资者要求的最低收益率，可参考基准收益率，是由国家或行业主管部门制
定的，针对特定行业的标准折现率（如《建设项目经济评价方法与参数》中
规定的行业基准值）</t>
  </si>
  <si>
    <t>债券发行手续费率</t>
  </si>
  <si>
    <t xml:space="preserve"> 3年期及以下债券发行手续费为发行额的0.04%</t>
  </si>
  <si>
    <t>5年期及以上债券发行手续费为发行额的0.08%</t>
  </si>
  <si>
    <t>债券发行登记服务费率</t>
  </si>
  <si>
    <t>债券发行登记服务费为发行额的0.0064%</t>
  </si>
  <si>
    <t>债券还本付息兑付手续费率</t>
  </si>
  <si>
    <t>金额为本息和的0.005%</t>
  </si>
  <si>
    <t>成本浮动系数</t>
  </si>
  <si>
    <t>用于压力测试表中对应的系数填写</t>
  </si>
  <si>
    <t>收入浮动系数</t>
  </si>
  <si>
    <t>贷款利率浮动系数</t>
  </si>
  <si>
    <r>
      <rPr>
        <b/>
        <sz val="16"/>
        <color theme="0"/>
        <rFont val="微软雅黑"/>
        <charset val="134"/>
      </rPr>
      <t>B项目信息（此表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</si>
  <si>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建设分期一</t>
  </si>
  <si>
    <t>建设开始年月</t>
  </si>
  <si>
    <t>建设完成年月</t>
  </si>
  <si>
    <t>建设期</t>
  </si>
  <si>
    <t>建设完成年月-建设开始年月</t>
  </si>
  <si>
    <t>27个月</t>
  </si>
  <si>
    <t>运营开始年月</t>
  </si>
  <si>
    <t>开始有运营收入的时间，可以在建设期间</t>
  </si>
  <si>
    <t>运营期</t>
  </si>
  <si>
    <t>按照债务周期为截止时间</t>
  </si>
  <si>
    <t>17年</t>
  </si>
  <si>
    <t>建设分期二</t>
  </si>
  <si>
    <t>如果有</t>
  </si>
  <si>
    <t>n</t>
  </si>
  <si>
    <t>建设分期n</t>
  </si>
  <si>
    <t>......</t>
  </si>
  <si>
    <t>Ⅰ</t>
  </si>
  <si>
    <t>项目总体周期</t>
  </si>
  <si>
    <t>求取整个项目的周期（建设+运营，以所有债务结束为截至）</t>
  </si>
  <si>
    <t>20年</t>
  </si>
  <si>
    <t>Ⅱ</t>
  </si>
  <si>
    <t>项目总体建设开始年份</t>
  </si>
  <si>
    <t>整个项目建设的时间</t>
  </si>
  <si>
    <t>Ⅲ</t>
  </si>
  <si>
    <t>项目总体建设结束年份</t>
  </si>
  <si>
    <t>整个项目建设完毕的时间</t>
  </si>
  <si>
    <t>Ⅳ</t>
  </si>
  <si>
    <t>项目起始运营期</t>
  </si>
  <si>
    <t>第一次进入运营期的年份</t>
  </si>
  <si>
    <r>
      <rPr>
        <b/>
        <sz val="16"/>
        <color theme="0"/>
        <rFont val="微软雅黑"/>
        <charset val="134"/>
      </rPr>
      <t>C.1项目融资信息（此表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</si>
  <si>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借款名称</t>
  </si>
  <si>
    <t>借款类别</t>
  </si>
  <si>
    <t>借款金额
（万元）</t>
  </si>
  <si>
    <t>开始时间</t>
  </si>
  <si>
    <t>结束时间</t>
  </si>
  <si>
    <t>借款周期（年）</t>
  </si>
  <si>
    <t>借款利率</t>
  </si>
  <si>
    <t>还款方式</t>
  </si>
  <si>
    <t>首年计息月份</t>
  </si>
  <si>
    <t>债券发行费（万元）</t>
  </si>
  <si>
    <t>债券发行登记服务费
（万元）</t>
  </si>
  <si>
    <t>债券还本付息兑付手续费
（万元）</t>
  </si>
  <si>
    <t>地方政府专项债
/市场化融资</t>
  </si>
  <si>
    <t>1,2,3,5,7,10,15,20,30
根据实际需要选择</t>
  </si>
  <si>
    <t>专项债按发行前5个
工作日国债均价利率，
选择性上浮15%-30%</t>
  </si>
  <si>
    <t>允许地方结合实际情况，采取
到期还本（10年期以下按年付息，10年期以上按半年付息）、提前还本、分年还本等不同还本方式</t>
  </si>
  <si>
    <t>3年期及以下债券发行手续费
为发行额的0.04%，5年期及以
上债券发行手续费为发行额的0.08%</t>
  </si>
  <si>
    <t>发行额的0.0064%</t>
  </si>
  <si>
    <t>在每年还本付息时支付，
金额为本息和的0.005%</t>
  </si>
  <si>
    <t>借款1</t>
  </si>
  <si>
    <t>地方政府专项债</t>
  </si>
  <si>
    <t>到期一次性还清</t>
  </si>
  <si>
    <t>借款2</t>
  </si>
  <si>
    <t>贷款期内本期等额本金还款</t>
  </si>
  <si>
    <t>借款n</t>
  </si>
  <si>
    <t>市场化融资</t>
  </si>
  <si>
    <r>
      <rPr>
        <b/>
        <sz val="14"/>
        <color theme="0"/>
        <rFont val="微软雅黑"/>
        <charset val="134"/>
      </rPr>
      <t>C.2项目每年借款信息</t>
    </r>
    <r>
      <rPr>
        <b/>
        <sz val="12"/>
        <color theme="0"/>
        <rFont val="微软雅黑"/>
        <charset val="134"/>
      </rPr>
      <t>（此表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部分需要填写，覆盖建设期年份）</t>
    </r>
  </si>
  <si>
    <t>计算期年序</t>
  </si>
  <si>
    <t>2025（万元）</t>
  </si>
  <si>
    <t>2026（万元）</t>
  </si>
  <si>
    <t>2027（万元）</t>
  </si>
  <si>
    <t>/</t>
  </si>
  <si>
    <t>合计</t>
  </si>
  <si>
    <t>注：年份列数=B项目信息表中建设期年数之和（如建设期3年，此表是3列年份）</t>
  </si>
  <si>
    <r>
      <rPr>
        <b/>
        <sz val="16"/>
        <color theme="0"/>
        <rFont val="微软雅黑"/>
        <charset val="134"/>
      </rPr>
      <t>D.1建设投资（此表不需要填写，</t>
    </r>
    <r>
      <rPr>
        <b/>
        <sz val="16"/>
        <color rgb="FFFF0000"/>
        <rFont val="微软雅黑"/>
        <charset val="134"/>
      </rPr>
      <t>B列跟随D.3的B列</t>
    </r>
    <r>
      <rPr>
        <b/>
        <sz val="16"/>
        <color theme="0"/>
        <rFont val="微软雅黑"/>
        <charset val="134"/>
      </rPr>
      <t>）</t>
    </r>
  </si>
  <si>
    <t>分项费用</t>
  </si>
  <si>
    <t>说明</t>
  </si>
  <si>
    <t>金额（万元）</t>
  </si>
  <si>
    <t>一</t>
  </si>
  <si>
    <t>工程建设费用</t>
  </si>
  <si>
    <t>工程类费用</t>
  </si>
  <si>
    <t>建筑工程费</t>
  </si>
  <si>
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</si>
  <si>
    <t>设备购置费</t>
  </si>
  <si>
    <t>安装工程费</t>
  </si>
  <si>
    <t>指的是建筑工程中的管线安装、设备安装（如空调、电线、水管等），以及室内装修、园林绿化等方面的费用。</t>
  </si>
  <si>
    <t>信息化建设费用</t>
  </si>
  <si>
    <t>硬件类</t>
  </si>
  <si>
    <t>软件类</t>
  </si>
  <si>
    <t>安全类</t>
  </si>
  <si>
    <t>数据类</t>
  </si>
  <si>
    <t>二</t>
  </si>
  <si>
    <t>工程建设其他费用</t>
  </si>
  <si>
    <t>建设单位管理费</t>
  </si>
  <si>
    <t>前期咨询费</t>
  </si>
  <si>
    <t>工程设计费</t>
  </si>
  <si>
    <t>工程监理费</t>
  </si>
  <si>
    <t>专项债发行及服务费</t>
  </si>
  <si>
    <t>三</t>
  </si>
  <si>
    <t>预备费</t>
  </si>
  <si>
    <t>基本预备费</t>
  </si>
  <si>
    <t>总计</t>
  </si>
  <si>
    <r>
      <rPr>
        <b/>
        <sz val="16"/>
        <color theme="0"/>
        <rFont val="微软雅黑"/>
        <charset val="134"/>
      </rPr>
      <t>D.2项目总投资使用计划与资金筹措表（此表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</si>
  <si>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科目</t>
  </si>
  <si>
    <t>...</t>
  </si>
  <si>
    <t>总投资</t>
  </si>
  <si>
    <t>建设投资</t>
  </si>
  <si>
    <t>建设期利息</t>
  </si>
  <si>
    <t>流动资金</t>
  </si>
  <si>
    <t>资金筹措</t>
  </si>
  <si>
    <t>项目资本金</t>
  </si>
  <si>
    <t>2.1.1</t>
  </si>
  <si>
    <t>用于建设投资</t>
  </si>
  <si>
    <t>2.1.2</t>
  </si>
  <si>
    <t>用于建设期利息</t>
  </si>
  <si>
    <t>2.1.3</t>
  </si>
  <si>
    <t>用于流动资金</t>
  </si>
  <si>
    <t>债务资金</t>
  </si>
  <si>
    <t>2.2.1</t>
  </si>
  <si>
    <t>2.2.2</t>
  </si>
  <si>
    <t>2.2.3</t>
  </si>
  <si>
    <t>其他资金</t>
  </si>
  <si>
    <t>资本金基数总投资</t>
  </si>
  <si>
    <t>辅底流动资金</t>
  </si>
  <si>
    <t>资本金比例
（不能少于20%）</t>
  </si>
  <si>
    <r>
      <rPr>
        <b/>
        <sz val="16"/>
        <color theme="0"/>
        <rFont val="微软雅黑"/>
        <charset val="134"/>
      </rPr>
      <t>D.3建设投资分年计划表（万元）（此表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部分需要填写，覆盖建设期年份）</t>
    </r>
  </si>
  <si>
    <t>包括服务器、存储、网络等设备</t>
  </si>
  <si>
    <r>
      <rPr>
        <b/>
        <sz val="16"/>
        <color theme="0"/>
        <rFont val="微软雅黑"/>
        <charset val="134"/>
      </rPr>
      <t>D.4流动资金估算表(此表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</si>
  <si>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项目</t>
  </si>
  <si>
    <t>最低周转天数(天)</t>
  </si>
  <si>
    <t>周转次数</t>
  </si>
  <si>
    <t>2025（建设期）</t>
  </si>
  <si>
    <t>2026（建设期）</t>
  </si>
  <si>
    <t>2027（建设期）</t>
  </si>
  <si>
    <t>流动资产</t>
  </si>
  <si>
    <t>应收账款</t>
  </si>
  <si>
    <t>存货</t>
  </si>
  <si>
    <t>1.2.1</t>
  </si>
  <si>
    <t>原材料</t>
  </si>
  <si>
    <t>1.2.2</t>
  </si>
  <si>
    <t>燃料动力</t>
  </si>
  <si>
    <t>1.2.3</t>
  </si>
  <si>
    <t>在产品</t>
  </si>
  <si>
    <t>1.2.4</t>
  </si>
  <si>
    <t>产成品</t>
  </si>
  <si>
    <t>现金</t>
  </si>
  <si>
    <t>流动负债</t>
  </si>
  <si>
    <t>应付账款</t>
  </si>
  <si>
    <t>流动资金（1-2）</t>
  </si>
  <si>
    <t>流动资金当年增加额</t>
  </si>
  <si>
    <t>流动资金贷款</t>
  </si>
  <si>
    <t>注：一次性投入，进入运营的第一年才有。最低周转天数可问AI</t>
  </si>
  <si>
    <t>E总成本费用估算表(建设期不计算)</t>
  </si>
  <si>
    <t>2025(万元）</t>
  </si>
  <si>
    <t>2026(万元）</t>
  </si>
  <si>
    <t>2027(万元）</t>
  </si>
  <si>
    <t>2028(万元）</t>
  </si>
  <si>
    <t>....(万元）</t>
  </si>
  <si>
    <t>2045(万元）</t>
  </si>
  <si>
    <t>外购原材料费</t>
  </si>
  <si>
    <t>外购燃料及动力费</t>
  </si>
  <si>
    <t>工资福利费</t>
  </si>
  <si>
    <t>修理费</t>
  </si>
  <si>
    <t>其他费用 （5.1+5.2+5.3）</t>
  </si>
  <si>
    <t>其他制造费用</t>
  </si>
  <si>
    <t>其他管理费用</t>
  </si>
  <si>
    <t>其他营业费用</t>
  </si>
  <si>
    <t>经营成本 （1+2+3+4+5）</t>
  </si>
  <si>
    <t>折旧费</t>
  </si>
  <si>
    <t>摊销费</t>
  </si>
  <si>
    <t>利息支出</t>
  </si>
  <si>
    <t>总成本费用 （6+7+8+9）</t>
  </si>
  <si>
    <t>其中固定成本 （10-10.2）</t>
  </si>
  <si>
    <t>其中可变成本 （1+2+3+5.3）</t>
  </si>
  <si>
    <r>
      <rPr>
        <b/>
        <sz val="16"/>
        <color theme="0"/>
        <rFont val="微软雅黑"/>
        <charset val="134"/>
      </rPr>
      <t>E.1项目运营期费用(此表</t>
    </r>
    <r>
      <rPr>
        <b/>
        <sz val="16"/>
        <color rgb="FFFF0000"/>
        <rFont val="微软雅黑"/>
        <charset val="134"/>
      </rPr>
      <t>红色字体</t>
    </r>
    <r>
      <rPr>
        <b/>
        <sz val="16"/>
        <color theme="0"/>
        <rFont val="微软雅黑"/>
        <charset val="134"/>
      </rPr>
      <t>部分需要填写）</t>
    </r>
  </si>
  <si>
    <t>成本类别</t>
  </si>
  <si>
    <t>取费计算方式</t>
  </si>
  <si>
    <t>数量</t>
  </si>
  <si>
    <t>单价
（万元）</t>
  </si>
  <si>
    <t>浮动后单价</t>
  </si>
  <si>
    <t>2028（万元）</t>
  </si>
  <si>
    <t>....</t>
  </si>
  <si>
    <t>2045（万元）</t>
  </si>
  <si>
    <t>负荷系数</t>
  </si>
  <si>
    <t>场地维护成本</t>
  </si>
  <si>
    <t>场地租金</t>
  </si>
  <si>
    <t>按面积×租金单价</t>
  </si>
  <si>
    <t>场地日常维护（停机坪/起降场/交通枢纽/飞行营地/指挥中心等）</t>
  </si>
  <si>
    <t>按面积 × 单位维护单价（元 / ㎡・年）</t>
  </si>
  <si>
    <t>消防设施年检</t>
  </si>
  <si>
    <t>按设备数量 × 单台年检费（元 / 台・次）</t>
  </si>
  <si>
    <t>防鸟措施（驱鸟器维护）</t>
  </si>
  <si>
    <t>按套数 × 年费（元 / 套・年）+ 耗材费（如驱鸟剂）</t>
  </si>
  <si>
    <t>燃料动力费</t>
  </si>
  <si>
    <t>飞行器能耗</t>
  </si>
  <si>
    <t>按电耗或油耗计算</t>
  </si>
  <si>
    <t>核心设备电力能耗</t>
  </si>
  <si>
    <t>按实际用电量 × 电价（元 / 千瓦 时）</t>
  </si>
  <si>
    <t>水电能耗</t>
  </si>
  <si>
    <t>按面积估算</t>
  </si>
  <si>
    <t>网络费</t>
  </si>
  <si>
    <t>网络通信费用</t>
  </si>
  <si>
    <t>按年计算租金</t>
  </si>
  <si>
    <t>硬件维护成本</t>
  </si>
  <si>
    <t>硬件设备维护</t>
  </si>
  <si>
    <t>按照固定资产15%计算</t>
  </si>
  <si>
    <t>备品备件储备</t>
  </si>
  <si>
    <t>按年度设备维护预算 × 储备比例 （10%-20%）</t>
  </si>
  <si>
    <t>软件维护费</t>
  </si>
  <si>
    <t>软件维护</t>
  </si>
  <si>
    <t>按无形资产造价的20%计算</t>
  </si>
  <si>
    <t>营销费用</t>
  </si>
  <si>
    <t>营销及活动</t>
  </si>
  <si>
    <t>按年平均营业收入的2%计算</t>
  </si>
  <si>
    <t>工资及福利费</t>
  </si>
  <si>
    <t>人员薪酬</t>
  </si>
  <si>
    <t>按岗位月薪 ×12 + 福利（月薪 ×20%-30%）</t>
  </si>
  <si>
    <t>培训与资质认证</t>
  </si>
  <si>
    <t>按人次 × 人均培训费（元 / 人 次）</t>
  </si>
  <si>
    <t>办公与行政支出</t>
  </si>
  <si>
    <t>按人员数量 × 人均办公费（元 / 人・月）</t>
  </si>
  <si>
    <t>合规性与安全成本</t>
  </si>
  <si>
    <t>空域使用审批费</t>
  </si>
  <si>
    <t>按空域面积 × 年费率（元 / 平方 公里・年）</t>
  </si>
  <si>
    <t>场地责任险</t>
  </si>
  <si>
    <t>按保额 × 保险费率（年费率 0.1%-0.3%）</t>
  </si>
  <si>
    <t>安全演练与应急处置</t>
  </si>
  <si>
    <t>按次数 × 单次演练成本（元 / 次）</t>
  </si>
  <si>
    <t>其他费用</t>
  </si>
  <si>
    <t>第三方安全评估</t>
  </si>
  <si>
    <t>按项目投资额 × 评估费率 （0.1%-0.3%）</t>
  </si>
  <si>
    <t>不可预见支出</t>
  </si>
  <si>
    <t>按年度总成本 × 计提比例 （5%-10%）</t>
  </si>
  <si>
    <r>
      <rPr>
        <b/>
        <sz val="16"/>
        <color theme="0"/>
        <rFont val="微软雅黑"/>
        <charset val="134"/>
      </rPr>
      <t>E.1项目运营期费用</t>
    </r>
    <r>
      <rPr>
        <b/>
        <sz val="12"/>
        <color theme="0"/>
        <rFont val="微软雅黑"/>
        <charset val="134"/>
      </rPr>
      <t>(此表不需要填写，A、C列复制E.1表对应列）</t>
    </r>
  </si>
  <si>
    <t>浮动后单价（万元）</t>
  </si>
  <si>
    <t>合计（万元）</t>
  </si>
  <si>
    <r>
      <rPr>
        <b/>
        <sz val="14"/>
        <color theme="0"/>
        <rFont val="微软雅黑"/>
        <charset val="134"/>
      </rPr>
      <t>E.2固定资产折旧费估算表（</t>
    </r>
    <r>
      <rPr>
        <b/>
        <sz val="14"/>
        <color rgb="FFFF0000"/>
        <rFont val="微软雅黑"/>
        <charset val="134"/>
      </rPr>
      <t>应按照B表和D.3，分不同运营期计算折旧</t>
    </r>
    <r>
      <rPr>
        <b/>
        <sz val="14"/>
        <color theme="0"/>
        <rFont val="微软雅黑"/>
        <charset val="134"/>
      </rPr>
      <t>）</t>
    </r>
  </si>
  <si>
    <t>原值</t>
  </si>
  <si>
    <t>年折旧率</t>
  </si>
  <si>
    <t>年折旧额</t>
  </si>
  <si>
    <t>净值（原值-年折旧额*n）</t>
  </si>
  <si>
    <t>不含税（固定资产金额）+不含税（工程其他费）+预备费 + c建设期利息</t>
  </si>
  <si>
    <t xml:space="preserve"> =1 /A 折旧年折旧年限 × 100%</t>
  </si>
  <si>
    <t>原值 × A~（1-残值残值率）× 年折旧率）</t>
  </si>
  <si>
    <t>固定资产投资</t>
  </si>
  <si>
    <r>
      <rPr>
        <b/>
        <sz val="16"/>
        <color theme="0"/>
        <rFont val="微软雅黑"/>
        <charset val="134"/>
      </rPr>
      <t>E.3无形资产和其他资产摊销费估算表</t>
    </r>
    <r>
      <rPr>
        <b/>
        <sz val="14"/>
        <color theme="0"/>
        <rFont val="微软雅黑"/>
        <charset val="134"/>
      </rPr>
      <t>（此表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部分按实际填写，</t>
    </r>
    <r>
      <rPr>
        <b/>
        <sz val="14"/>
        <color rgb="FFFF0000"/>
        <rFont val="微软雅黑"/>
        <charset val="134"/>
      </rPr>
      <t>同时应按照B表和D.3，分不同运营期计算摊销</t>
    </r>
    <r>
      <rPr>
        <b/>
        <sz val="14"/>
        <color theme="0"/>
        <rFont val="微软雅黑"/>
        <charset val="134"/>
      </rPr>
      <t>）</t>
    </r>
  </si>
  <si>
    <t>净值</t>
  </si>
  <si>
    <t>不含税(软件类)+不含税(安全类软件)+不含税 (数据类)+专利费+土地使用权费+商标权、著作权费</t>
  </si>
  <si>
    <t>1/A折旧年限×100%</t>
  </si>
  <si>
    <t>原值×年折旧率</t>
  </si>
  <si>
    <t>无形资产</t>
  </si>
  <si>
    <t>土地使用权</t>
  </si>
  <si>
    <t>专利技术</t>
  </si>
  <si>
    <t>软件及其他无形资产
(不一定全是软件，作判别）</t>
  </si>
  <si>
    <t>其他资产</t>
  </si>
  <si>
    <t>项目开办费</t>
  </si>
  <si>
    <r>
      <rPr>
        <b/>
        <sz val="14"/>
        <color theme="0"/>
        <rFont val="微软雅黑"/>
        <charset val="134"/>
      </rPr>
      <t>E.4建设投资税后金额表(此表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部分按实际填写)</t>
    </r>
  </si>
  <si>
    <t>增值税率</t>
  </si>
  <si>
    <t>税后金额(万元)</t>
  </si>
  <si>
    <r>
      <rPr>
        <b/>
        <sz val="14"/>
        <color theme="0"/>
        <rFont val="微软雅黑"/>
        <charset val="134"/>
      </rPr>
      <t>F项目收入（此表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部分需要填写）</t>
    </r>
  </si>
  <si>
    <t>收入类别</t>
  </si>
  <si>
    <t>含税/不含税</t>
  </si>
  <si>
    <t>2026（万元）（建设期）</t>
  </si>
  <si>
    <t>2027(万元)（建设期）</t>
  </si>
  <si>
    <t>2028(万元)</t>
  </si>
  <si>
    <t>2045(万元)</t>
  </si>
  <si>
    <t>租赁收入</t>
  </si>
  <si>
    <t>含税</t>
  </si>
  <si>
    <t>不含税</t>
  </si>
  <si>
    <t>停车收入</t>
  </si>
  <si>
    <t>充电桩收入</t>
  </si>
  <si>
    <t>补贴收入</t>
  </si>
  <si>
    <t>年度合计（含税）</t>
  </si>
  <si>
    <t>年度合计（不含税）</t>
  </si>
  <si>
    <t>注：表头年份，以所有借款起始时间为开始，以所有借款结束时间为终止</t>
  </si>
  <si>
    <r>
      <rPr>
        <b/>
        <sz val="14"/>
        <color theme="0"/>
        <rFont val="微软雅黑"/>
        <charset val="134"/>
      </rPr>
      <t>F.1项目单项收入信息</t>
    </r>
    <r>
      <rPr>
        <b/>
        <sz val="12"/>
        <color theme="0"/>
        <rFont val="微软雅黑"/>
        <charset val="134"/>
      </rPr>
      <t>（此表</t>
    </r>
    <r>
      <rPr>
        <b/>
        <sz val="12"/>
        <color rgb="FFFF0000"/>
        <rFont val="微软雅黑"/>
        <charset val="134"/>
      </rPr>
      <t>红色部分</t>
    </r>
    <r>
      <rPr>
        <b/>
        <sz val="12"/>
        <color theme="0"/>
        <rFont val="微软雅黑"/>
        <charset val="134"/>
      </rPr>
      <t>需要填写，</t>
    </r>
    <r>
      <rPr>
        <b/>
        <sz val="12"/>
        <color rgb="FFFF0000"/>
        <rFont val="微软雅黑"/>
        <charset val="134"/>
      </rPr>
      <t>每行需要根据E列单独计算</t>
    </r>
    <r>
      <rPr>
        <b/>
        <sz val="12"/>
        <color theme="0"/>
        <rFont val="微软雅黑"/>
        <charset val="134"/>
      </rPr>
      <t>）</t>
    </r>
  </si>
  <si>
    <t>单价（万元/年）</t>
  </si>
  <si>
    <t>单价年增长情况</t>
  </si>
  <si>
    <t>增长比例</t>
  </si>
  <si>
    <t>2027（万元）（建设期）</t>
  </si>
  <si>
    <t>....（万元）</t>
  </si>
  <si>
    <t>不增长</t>
  </si>
  <si>
    <t>年度负荷</t>
  </si>
  <si>
    <t>每年增长</t>
  </si>
  <si>
    <t>G.税金及附加测算表（万元）</t>
  </si>
  <si>
    <t>建设投资进项税</t>
  </si>
  <si>
    <t>2025
（建设期不计算）</t>
  </si>
  <si>
    <t>2026
（建设期不计算）</t>
  </si>
  <si>
    <t>2027
（建设期不计算）</t>
  </si>
  <si>
    <t>G.1 进项税总计-建设投资
可一直累进抵扣，直至为0</t>
  </si>
  <si>
    <t>当期进项税额</t>
  </si>
  <si>
    <t>当期销项税额</t>
  </si>
  <si>
    <t xml:space="preserve">当期应缴增值税 </t>
  </si>
  <si>
    <t>城建税及教育费附加</t>
  </si>
  <si>
    <r>
      <rPr>
        <b/>
        <sz val="14"/>
        <color theme="0"/>
        <rFont val="微软雅黑"/>
        <charset val="134"/>
      </rPr>
      <t>G.1进项增值税率-建设投资</t>
    </r>
    <r>
      <rPr>
        <b/>
        <sz val="12"/>
        <color theme="0"/>
        <rFont val="微软雅黑"/>
        <charset val="134"/>
      </rPr>
      <t>(此表内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需要填写，但</t>
    </r>
    <r>
      <rPr>
        <b/>
        <sz val="12"/>
        <color rgb="FFFF0000"/>
        <rFont val="微软雅黑"/>
        <charset val="134"/>
      </rPr>
      <t>税率一般是固定</t>
    </r>
    <r>
      <rPr>
        <b/>
        <sz val="12"/>
        <color theme="0"/>
        <rFont val="微软雅黑"/>
        <charset val="134"/>
      </rPr>
      <t>的)</t>
    </r>
  </si>
  <si>
    <t>增值税（万元）</t>
  </si>
  <si>
    <t>工程类</t>
  </si>
  <si>
    <t>进项税总计-建设投资</t>
  </si>
  <si>
    <r>
      <rPr>
        <b/>
        <sz val="14"/>
        <color theme="0"/>
        <rFont val="微软雅黑"/>
        <charset val="134"/>
      </rPr>
      <t xml:space="preserve">G.2进项增值税率-运营成本
</t>
    </r>
    <r>
      <rPr>
        <b/>
        <sz val="12"/>
        <color theme="0"/>
        <rFont val="微软雅黑"/>
        <charset val="134"/>
      </rPr>
      <t>(此表内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需要填写，但</t>
    </r>
    <r>
      <rPr>
        <b/>
        <sz val="12"/>
        <color rgb="FFFF0000"/>
        <rFont val="微软雅黑"/>
        <charset val="134"/>
      </rPr>
      <t>税率一般是固定</t>
    </r>
    <r>
      <rPr>
        <b/>
        <sz val="12"/>
        <color theme="0"/>
        <rFont val="微软雅黑"/>
        <charset val="134"/>
      </rPr>
      <t>的)</t>
    </r>
  </si>
  <si>
    <t>水9% 电13%</t>
  </si>
  <si>
    <r>
      <rPr>
        <b/>
        <sz val="14"/>
        <color theme="0"/>
        <rFont val="微软雅黑"/>
        <charset val="134"/>
      </rPr>
      <t xml:space="preserve">G.3销项增值税率
</t>
    </r>
    <r>
      <rPr>
        <b/>
        <sz val="12"/>
        <color theme="0"/>
        <rFont val="微软雅黑"/>
        <charset val="134"/>
      </rPr>
      <t>(此表内</t>
    </r>
    <r>
      <rPr>
        <b/>
        <sz val="12"/>
        <color rgb="FFFF0000"/>
        <rFont val="微软雅黑"/>
        <charset val="134"/>
      </rPr>
      <t>红色字体</t>
    </r>
    <r>
      <rPr>
        <b/>
        <sz val="12"/>
        <color theme="0"/>
        <rFont val="微软雅黑"/>
        <charset val="134"/>
      </rPr>
      <t>需要填写，但</t>
    </r>
    <r>
      <rPr>
        <b/>
        <sz val="12"/>
        <color rgb="FFFF0000"/>
        <rFont val="微软雅黑"/>
        <charset val="134"/>
      </rPr>
      <t>税率一般是固定</t>
    </r>
    <r>
      <rPr>
        <b/>
        <sz val="12"/>
        <color theme="0"/>
        <rFont val="微软雅黑"/>
        <charset val="134"/>
      </rPr>
      <t>的)</t>
    </r>
  </si>
  <si>
    <t>广告收入</t>
  </si>
  <si>
    <t>政务服务收入</t>
  </si>
  <si>
    <t>企业服务收入</t>
  </si>
  <si>
    <t>文旅服务收入</t>
  </si>
  <si>
    <t>飞行服务收入</t>
  </si>
  <si>
    <t>数据收入</t>
  </si>
  <si>
    <t>产学研成果转化及输入收入</t>
  </si>
  <si>
    <t>a财务现金流量表</t>
  </si>
  <si>
    <t>现金流入</t>
  </si>
  <si>
    <t>营业收入</t>
  </si>
  <si>
    <t>回收固定资产余值</t>
  </si>
  <si>
    <t>回收流动资金</t>
  </si>
  <si>
    <t>现金流出</t>
  </si>
  <si>
    <t>经营成本</t>
  </si>
  <si>
    <t>营业税金及附加</t>
  </si>
  <si>
    <t>维持运营投资</t>
  </si>
  <si>
    <t>所得税前净现金流量（1-2）</t>
  </si>
  <si>
    <t>累计所得税前净现金流量</t>
  </si>
  <si>
    <t>调整所得税</t>
  </si>
  <si>
    <t>所得税后净现金流量（3-5）</t>
  </si>
  <si>
    <t>累计所得税后净现金流量</t>
  </si>
  <si>
    <t>折现值-所得税前净现金流量</t>
  </si>
  <si>
    <t>折现值-累计所得税前净现金流量</t>
  </si>
  <si>
    <t>折现值-所得税后净现金流量</t>
  </si>
  <si>
    <t>折现值-累计所得税后净现金流量</t>
  </si>
  <si>
    <t>项目投资财务内部收益率（%）
（所得税前）</t>
  </si>
  <si>
    <t>项目投资财务内部收益率（%）
（所得税后）</t>
  </si>
  <si>
    <t>项目投资财务净现值（所得税前）
（ic = %）</t>
  </si>
  <si>
    <t>ic参考表A</t>
  </si>
  <si>
    <t>项目投资财务净现值（所得税后）
（ic = %）</t>
  </si>
  <si>
    <t>Ⅴ</t>
  </si>
  <si>
    <t>项目静态投资回收期（年）
（所得税前）</t>
  </si>
  <si>
    <t>行4转正年份 - 1 + 行4[行4转正年份-1] / 行3[行4转正年份]</t>
  </si>
  <si>
    <t>Ⅵ</t>
  </si>
  <si>
    <t>项目动态投资回收期（年）
（所得税前）</t>
  </si>
  <si>
    <t>行9转正年份 - 1 + 行9[行9转正年份-1] / 行8[行9转正年份]</t>
  </si>
  <si>
    <t>Ⅶ</t>
  </si>
  <si>
    <t>★项目静态投资回收期（年）
（所得税后）</t>
  </si>
  <si>
    <t>行7转正年份 - 1 + 行7[行7转正年份-1] / 行6[行7转正年份]</t>
  </si>
  <si>
    <t>Ⅷ</t>
  </si>
  <si>
    <t>★项目动态投资回收期（年）
（所得税后）</t>
  </si>
  <si>
    <t>行11转正年份 - 1 + 行11[行11转正年份-1] / 行10[行11转正年份]</t>
  </si>
  <si>
    <t>a.2项目资本金现金流量表</t>
  </si>
  <si>
    <t>回收流动资产</t>
  </si>
  <si>
    <t>借款本金偿还</t>
  </si>
  <si>
    <t>借款利息支付</t>
  </si>
  <si>
    <t>所得税</t>
  </si>
  <si>
    <t>净现金流量</t>
  </si>
  <si>
    <t>资本金财务内部收益率（%）</t>
  </si>
  <si>
    <r>
      <rPr>
        <b/>
        <sz val="14"/>
        <color theme="0"/>
        <rFont val="微软雅黑"/>
        <charset val="134"/>
      </rPr>
      <t>b利润与利润分配表（万元）（损益和利润分配表）（</t>
    </r>
    <r>
      <rPr>
        <b/>
        <sz val="14"/>
        <color rgb="FFFF0000"/>
        <rFont val="微软雅黑"/>
        <charset val="134"/>
      </rPr>
      <t>红色字体</t>
    </r>
    <r>
      <rPr>
        <b/>
        <sz val="14"/>
        <color theme="0"/>
        <rFont val="微软雅黑"/>
        <charset val="134"/>
      </rPr>
      <t>需要填写）</t>
    </r>
  </si>
  <si>
    <t>营业收入（不含增值税）</t>
  </si>
  <si>
    <t>总成本费用（不含增值税）</t>
  </si>
  <si>
    <t>利润总额</t>
  </si>
  <si>
    <t>弥补以前年度亏损</t>
  </si>
  <si>
    <t>期末未弥补亏损</t>
  </si>
  <si>
    <t>应纳税所得额</t>
  </si>
  <si>
    <t>所得税
（大于0才交税，税率见表A）</t>
  </si>
  <si>
    <t>净利润</t>
  </si>
  <si>
    <t>期初未分配利润</t>
  </si>
  <si>
    <t>可供分配的利润</t>
  </si>
  <si>
    <t>提取法定盈余公积金</t>
  </si>
  <si>
    <t>可供投资者分配的利润</t>
  </si>
  <si>
    <t>应付优先股股利</t>
  </si>
  <si>
    <t>提取任意盈余公积金</t>
  </si>
  <si>
    <t>应付普通股股利</t>
  </si>
  <si>
    <t>各投资方利润分配：</t>
  </si>
  <si>
    <t>其中：投资方</t>
  </si>
  <si>
    <t>未分配利润</t>
  </si>
  <si>
    <t>其中：偿还借款</t>
  </si>
  <si>
    <t>累计未分配利润</t>
  </si>
  <si>
    <t>息税前利润
（利润总额+利息支出）</t>
  </si>
  <si>
    <t>息税折旧摊销前利润
（息税前利润+折旧+摊销）</t>
  </si>
  <si>
    <t>本金资金覆盖率</t>
  </si>
  <si>
    <t>本息资金覆盖率</t>
  </si>
  <si>
    <r>
      <rPr>
        <b/>
        <sz val="14"/>
        <color theme="0"/>
        <rFont val="微软雅黑"/>
        <charset val="134"/>
      </rPr>
      <t>c借款还本付息计划表（万元）</t>
    </r>
    <r>
      <rPr>
        <b/>
        <sz val="11"/>
        <color theme="0"/>
        <rFont val="微软雅黑"/>
        <charset val="134"/>
      </rPr>
      <t>（此表</t>
    </r>
    <r>
      <rPr>
        <b/>
        <sz val="11"/>
        <color rgb="FFFF0000"/>
        <rFont val="微软雅黑"/>
        <charset val="134"/>
      </rPr>
      <t>红色字体</t>
    </r>
    <r>
      <rPr>
        <b/>
        <sz val="11"/>
        <color theme="0"/>
        <rFont val="微软雅黑"/>
        <charset val="134"/>
      </rPr>
      <t>部分需要填写）</t>
    </r>
  </si>
  <si>
    <r>
      <rPr>
        <sz val="11"/>
        <color theme="1"/>
        <rFont val="微软雅黑"/>
        <charset val="134"/>
      </rPr>
      <t>（还款方式为</t>
    </r>
    <r>
      <rPr>
        <sz val="11"/>
        <color rgb="FFFF0000"/>
        <rFont val="微软雅黑"/>
        <charset val="134"/>
      </rPr>
      <t>到期还本</t>
    </r>
    <r>
      <rPr>
        <sz val="11"/>
        <color theme="1"/>
        <rFont val="微软雅黑"/>
        <charset val="134"/>
      </rPr>
      <t>）</t>
    </r>
  </si>
  <si>
    <t>期初借款余额</t>
  </si>
  <si>
    <t>当期还本付息</t>
  </si>
  <si>
    <t>其中：还本</t>
  </si>
  <si>
    <t>付息</t>
  </si>
  <si>
    <t>期末借款余额</t>
  </si>
  <si>
    <t>还本付息兑付手续费</t>
  </si>
  <si>
    <t>债券发行及服务费</t>
  </si>
  <si>
    <r>
      <rPr>
        <sz val="11"/>
        <color theme="1"/>
        <rFont val="微软雅黑"/>
        <charset val="134"/>
      </rPr>
      <t>（还款方式为</t>
    </r>
    <r>
      <rPr>
        <sz val="11"/>
        <color rgb="FFFF0000"/>
        <rFont val="微软雅黑"/>
        <charset val="134"/>
      </rPr>
      <t>等额本金</t>
    </r>
    <r>
      <rPr>
        <sz val="11"/>
        <color theme="1"/>
        <rFont val="微软雅黑"/>
        <charset val="134"/>
      </rPr>
      <t>）</t>
    </r>
  </si>
  <si>
    <t>借款合计</t>
  </si>
  <si>
    <t>n.1</t>
  </si>
  <si>
    <t>n.2</t>
  </si>
  <si>
    <t>n.2.1</t>
  </si>
  <si>
    <t>n.2.2</t>
  </si>
  <si>
    <t>n.3</t>
  </si>
  <si>
    <t>n.4</t>
  </si>
  <si>
    <t>n.5</t>
  </si>
  <si>
    <t>计算指标</t>
  </si>
  <si>
    <t>利息备付率（%）</t>
  </si>
  <si>
    <t>偿债备付率（%）</t>
  </si>
  <si>
    <r>
      <rPr>
        <b/>
        <sz val="11"/>
        <color rgb="FFFF0000"/>
        <rFont val="微软雅黑"/>
        <charset val="134"/>
      </rPr>
      <t>注</t>
    </r>
    <r>
      <rPr>
        <b/>
        <sz val="11"/>
        <color theme="1"/>
        <rFont val="微软雅黑"/>
        <charset val="134"/>
      </rPr>
      <t>：表头年份，以所有借款起始时间为开始，以所有借款结束时间为终止</t>
    </r>
  </si>
  <si>
    <t>d财务计划现金流量表（万元）</t>
  </si>
  <si>
    <t>经营活动净现金流量</t>
  </si>
  <si>
    <t>1.1.1</t>
  </si>
  <si>
    <t>1.1.2</t>
  </si>
  <si>
    <t>增值税销项税额</t>
  </si>
  <si>
    <t>1.1.3</t>
  </si>
  <si>
    <t>1.1.4</t>
  </si>
  <si>
    <t>其他流入</t>
  </si>
  <si>
    <t>增值税进项税额</t>
  </si>
  <si>
    <t>增值税</t>
  </si>
  <si>
    <t>1.2.5</t>
  </si>
  <si>
    <t>1.2.6</t>
  </si>
  <si>
    <t>其他流出</t>
  </si>
  <si>
    <t>投资活动净现金流量</t>
  </si>
  <si>
    <t>现金流入
（卖资产收回的钱）</t>
  </si>
  <si>
    <t>2.2.4</t>
  </si>
  <si>
    <t>筹资活动净现金流量</t>
  </si>
  <si>
    <t>3.1.1</t>
  </si>
  <si>
    <t>项目资本金投入</t>
  </si>
  <si>
    <t>3.1.2</t>
  </si>
  <si>
    <t>建设投资借款</t>
  </si>
  <si>
    <t>3.2.1</t>
  </si>
  <si>
    <t>各种利息支出</t>
  </si>
  <si>
    <t>3.2.2</t>
  </si>
  <si>
    <t>偿还债务本金</t>
  </si>
  <si>
    <t>累计盈余资金</t>
  </si>
  <si>
    <t>e资产负债表</t>
  </si>
  <si>
    <t>资产</t>
  </si>
  <si>
    <t>流动资产总额</t>
  </si>
  <si>
    <t>货币资金</t>
  </si>
  <si>
    <t>预付账款</t>
  </si>
  <si>
    <t>1.1.5</t>
  </si>
  <si>
    <t>其他</t>
  </si>
  <si>
    <t>在建工程</t>
  </si>
  <si>
    <t>固定资产净值</t>
  </si>
  <si>
    <t>无形及其他资产净值</t>
  </si>
  <si>
    <t>负债及所有者权益</t>
  </si>
  <si>
    <t>流动负债总额</t>
  </si>
  <si>
    <t>短期借款</t>
  </si>
  <si>
    <t>预收账款</t>
  </si>
  <si>
    <t>2.1.4</t>
  </si>
  <si>
    <t>流动资金借款</t>
  </si>
  <si>
    <t>负债小计</t>
  </si>
  <si>
    <t>所有者权益</t>
  </si>
  <si>
    <t>2.5.1</t>
  </si>
  <si>
    <t>资本金</t>
  </si>
  <si>
    <t>2.5.2</t>
  </si>
  <si>
    <t>资本公积</t>
  </si>
  <si>
    <t>2.5.3</t>
  </si>
  <si>
    <t>累计盈余公积金</t>
  </si>
  <si>
    <t>2.5.4</t>
  </si>
  <si>
    <t>计算指标：资产负债率</t>
  </si>
  <si>
    <t xml:space="preserve">       </t>
  </si>
  <si>
    <t>Ⅰ项目投资估算构成表</t>
  </si>
  <si>
    <t>投资构成类别</t>
  </si>
  <si>
    <t>工程费用</t>
  </si>
  <si>
    <t>预备费用</t>
  </si>
  <si>
    <t>投资估算金额（万元）</t>
  </si>
  <si>
    <t>占比</t>
  </si>
  <si>
    <t>Ⅱ项目分年度资金筹措计划表</t>
  </si>
  <si>
    <t>资金来源类型</t>
  </si>
  <si>
    <t>2025年（万元）</t>
  </si>
  <si>
    <t>2026年（万元）</t>
  </si>
  <si>
    <t>2027年（万元）</t>
  </si>
  <si>
    <t>各类型占比</t>
  </si>
  <si>
    <t>财政预算资金</t>
  </si>
  <si>
    <t>单位自有资金</t>
  </si>
  <si>
    <t>专项债券
（用作项目资本金）</t>
  </si>
  <si>
    <t>专项债券
（不用做项目资本金）</t>
  </si>
  <si>
    <t>银行贷款</t>
  </si>
  <si>
    <t>其他来源资金</t>
  </si>
  <si>
    <t>分年度占比</t>
  </si>
  <si>
    <t>注：此表依据D.2自行填写，一般财政预算资金和单位自有资金二选一</t>
  </si>
  <si>
    <t>Ⅲ项目分年度收入合计表（经营性收入+补贴收入）</t>
  </si>
  <si>
    <t>收入类型</t>
  </si>
  <si>
    <t>分年收入</t>
  </si>
  <si>
    <t>2028年（万元）</t>
  </si>
  <si>
    <t>...（万元）</t>
  </si>
  <si>
    <t>2045年（万元）</t>
  </si>
  <si>
    <t>经营性收入</t>
  </si>
  <si>
    <t>政府补贴收入</t>
  </si>
  <si>
    <t>注：不同类别的经营性收入可以分多个表填写。
经营性收入分年度表、政府补贴收入分年度表，可以单独填写。</t>
  </si>
  <si>
    <t>Ⅳ项目分年度成本明细表</t>
  </si>
  <si>
    <t>Ⅴ项目分年度收益表</t>
  </si>
  <si>
    <t>类别</t>
  </si>
  <si>
    <t>项目收入</t>
  </si>
  <si>
    <t>运营成本</t>
  </si>
  <si>
    <t>项目收益</t>
  </si>
  <si>
    <t>Ⅵ专项债券应付本息情况表</t>
  </si>
  <si>
    <t>年度</t>
  </si>
  <si>
    <t>期初本金</t>
  </si>
  <si>
    <t>本期新增</t>
  </si>
  <si>
    <t>本期偿还</t>
  </si>
  <si>
    <t>期末本金</t>
  </si>
  <si>
    <t>融资利率</t>
  </si>
  <si>
    <t>应付利息</t>
  </si>
  <si>
    <t>应付本息</t>
  </si>
  <si>
    <t>2025年</t>
  </si>
  <si>
    <t>2.69%;1.89%</t>
  </si>
  <si>
    <t>2026年</t>
  </si>
  <si>
    <t>2027年</t>
  </si>
  <si>
    <t>2028年</t>
  </si>
  <si>
    <t>2045年</t>
  </si>
  <si>
    <t>Ⅶ专项债券资金收益与融资平衡情况表</t>
  </si>
  <si>
    <t>年度净收益</t>
  </si>
  <si>
    <t>项目收益
（含以往年度收益结余）</t>
  </si>
  <si>
    <t>融资</t>
  </si>
  <si>
    <t>到期本金</t>
  </si>
  <si>
    <t>到期利息</t>
  </si>
  <si>
    <t>本息合计</t>
  </si>
  <si>
    <t>发行费、登记费</t>
  </si>
  <si>
    <t>还本付息服务费</t>
  </si>
  <si>
    <t>应还本息
及费用合计金额</t>
  </si>
  <si>
    <t>年度可否平衡</t>
  </si>
  <si>
    <t>能</t>
  </si>
  <si>
    <t>Ⅷ债券资金覆盖率压力测试表</t>
  </si>
  <si>
    <t>资金覆盖率-压力测试</t>
  </si>
  <si>
    <t>运营收入变动敏感性分析</t>
  </si>
  <si>
    <t>专项债券本金资金覆盖率</t>
  </si>
  <si>
    <t>专项债券本息资金覆盖率</t>
  </si>
  <si>
    <t>运营成本变动敏感性分析</t>
  </si>
  <si>
    <t>债券利率变动敏感新分析</t>
  </si>
</sst>
</file>

<file path=xl/styles.xml><?xml version="1.0" encoding="utf-8"?>
<styleSheet xmlns="http://schemas.openxmlformats.org/spreadsheetml/2006/main">
  <numFmts count="9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  <numFmt numFmtId="177" formatCode="0.00_ "/>
    <numFmt numFmtId="178" formatCode="0.00_);[Red]\(0.00\)"/>
    <numFmt numFmtId="179" formatCode="0.0000%"/>
  </numFmts>
  <fonts count="42">
    <font>
      <sz val="11"/>
      <color theme="1"/>
      <name val="宋体"/>
      <charset val="134"/>
      <scheme val="minor"/>
    </font>
    <font>
      <b/>
      <sz val="13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4"/>
      <color theme="0"/>
      <name val="微软雅黑"/>
      <charset val="134"/>
    </font>
    <font>
      <b/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6"/>
      <color theme="0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rgb="FF40404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rgb="FFFF0000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0000"/>
      <name val="微软雅黑"/>
      <charset val="134"/>
    </font>
    <font>
      <b/>
      <sz val="16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20" borderId="17" applyNumberFormat="0" applyAlignment="0" applyProtection="0">
      <alignment vertical="center"/>
    </xf>
    <xf numFmtId="0" fontId="28" fillId="20" borderId="13" applyNumberFormat="0" applyAlignment="0" applyProtection="0">
      <alignment vertical="center"/>
    </xf>
    <xf numFmtId="0" fontId="29" fillId="21" borderId="1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5" borderId="0" xfId="0" applyFill="1">
      <alignment vertical="center"/>
    </xf>
    <xf numFmtId="0" fontId="5" fillId="6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8" fillId="5" borderId="1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9" fontId="3" fillId="5" borderId="2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8" fontId="3" fillId="5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 wrapText="1"/>
    </xf>
    <xf numFmtId="177" fontId="4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177" fontId="3" fillId="5" borderId="0" xfId="0" applyNumberFormat="1" applyFont="1" applyFill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177" fontId="8" fillId="10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A1:D22"/>
  <sheetViews>
    <sheetView zoomScale="85" zoomScaleNormal="85" topLeftCell="A10" workbookViewId="0">
      <selection activeCell="H18" sqref="H18"/>
    </sheetView>
  </sheetViews>
  <sheetFormatPr defaultColWidth="8.88888888888889" defaultRowHeight="30" customHeight="1" outlineLevelCol="3"/>
  <cols>
    <col min="2" max="2" width="30.3333333333333" customWidth="1"/>
    <col min="3" max="3" width="70.6666666666667" customWidth="1"/>
    <col min="4" max="4" width="12.7777777777778" customWidth="1"/>
  </cols>
  <sheetData>
    <row r="1" s="48" customFormat="1" customHeight="1" spans="1:4">
      <c r="A1" s="94" t="s">
        <v>0</v>
      </c>
      <c r="B1" s="94"/>
      <c r="C1" s="94"/>
      <c r="D1" s="125"/>
    </row>
    <row r="2" s="48" customFormat="1" customHeight="1" spans="1:4">
      <c r="A2" s="126" t="s">
        <v>1</v>
      </c>
      <c r="B2" s="126" t="s">
        <v>2</v>
      </c>
      <c r="C2" s="126" t="s">
        <v>3</v>
      </c>
      <c r="D2" s="126" t="s">
        <v>4</v>
      </c>
    </row>
    <row r="3" s="48" customFormat="1" customHeight="1" spans="1:4">
      <c r="A3" s="7">
        <v>1</v>
      </c>
      <c r="B3" s="7" t="s">
        <v>5</v>
      </c>
      <c r="C3" s="7" t="s">
        <v>6</v>
      </c>
      <c r="D3" s="66">
        <v>0.05</v>
      </c>
    </row>
    <row r="4" s="48" customFormat="1" customHeight="1" spans="1:4">
      <c r="A4" s="7">
        <v>2</v>
      </c>
      <c r="B4" s="7" t="s">
        <v>7</v>
      </c>
      <c r="C4" s="7" t="s">
        <v>6</v>
      </c>
      <c r="D4" s="66">
        <v>0.03</v>
      </c>
    </row>
    <row r="5" s="48" customFormat="1" ht="78" customHeight="1" spans="1:4">
      <c r="A5" s="7">
        <v>3</v>
      </c>
      <c r="B5" s="7" t="s">
        <v>8</v>
      </c>
      <c r="C5" s="73" t="s">
        <v>9</v>
      </c>
      <c r="D5" s="66">
        <v>0.08</v>
      </c>
    </row>
    <row r="6" s="48" customFormat="1" ht="55.05" customHeight="1" spans="1:4">
      <c r="A6" s="7">
        <v>4</v>
      </c>
      <c r="B6" s="7" t="s">
        <v>10</v>
      </c>
      <c r="C6" s="31" t="s">
        <v>11</v>
      </c>
      <c r="D6" s="66">
        <v>0.07</v>
      </c>
    </row>
    <row r="7" s="48" customFormat="1" customHeight="1" spans="1:4">
      <c r="A7" s="7">
        <v>5</v>
      </c>
      <c r="B7" s="7" t="s">
        <v>12</v>
      </c>
      <c r="C7" s="7" t="s">
        <v>13</v>
      </c>
      <c r="D7" s="66">
        <v>0.03</v>
      </c>
    </row>
    <row r="8" s="48" customFormat="1" customHeight="1" spans="1:4">
      <c r="A8" s="7">
        <v>6</v>
      </c>
      <c r="B8" s="7" t="s">
        <v>14</v>
      </c>
      <c r="C8" s="7" t="s">
        <v>13</v>
      </c>
      <c r="D8" s="66">
        <v>0.02</v>
      </c>
    </row>
    <row r="9" s="48" customFormat="1" customHeight="1" spans="1:4">
      <c r="A9" s="7">
        <v>7</v>
      </c>
      <c r="B9" s="7" t="s">
        <v>15</v>
      </c>
      <c r="C9" s="7" t="s">
        <v>16</v>
      </c>
      <c r="D9" s="66">
        <v>0.25</v>
      </c>
    </row>
    <row r="10" s="48" customFormat="1" customHeight="1" spans="1:4">
      <c r="A10" s="7">
        <v>8</v>
      </c>
      <c r="B10" s="7" t="s">
        <v>17</v>
      </c>
      <c r="C10" s="7" t="s">
        <v>18</v>
      </c>
      <c r="D10" s="66">
        <v>0.1</v>
      </c>
    </row>
    <row r="11" s="48" customFormat="1" customHeight="1" spans="1:4">
      <c r="A11" s="7">
        <v>9</v>
      </c>
      <c r="B11" s="7" t="s">
        <v>19</v>
      </c>
      <c r="C11" s="7" t="s">
        <v>20</v>
      </c>
      <c r="D11" s="66">
        <v>0.05</v>
      </c>
    </row>
    <row r="12" s="48" customFormat="1" customHeight="1" spans="1:4">
      <c r="A12" s="7">
        <v>10</v>
      </c>
      <c r="B12" s="7" t="s">
        <v>21</v>
      </c>
      <c r="C12" s="127" t="s">
        <v>22</v>
      </c>
      <c r="D12" s="66">
        <v>0.05</v>
      </c>
    </row>
    <row r="13" s="48" customFormat="1" customHeight="1" spans="1:4">
      <c r="A13" s="7">
        <v>11</v>
      </c>
      <c r="B13" s="7" t="s">
        <v>23</v>
      </c>
      <c r="C13" s="7" t="s">
        <v>24</v>
      </c>
      <c r="D13" s="20">
        <v>18</v>
      </c>
    </row>
    <row r="14" s="48" customFormat="1" customHeight="1" spans="1:4">
      <c r="A14" s="7">
        <v>12</v>
      </c>
      <c r="B14" s="7" t="s">
        <v>25</v>
      </c>
      <c r="C14" s="50" t="s">
        <v>26</v>
      </c>
      <c r="D14" s="66">
        <v>1</v>
      </c>
    </row>
    <row r="15" ht="61.95" customHeight="1" spans="1:4">
      <c r="A15" s="7">
        <v>13</v>
      </c>
      <c r="B15" s="7" t="s">
        <v>27</v>
      </c>
      <c r="C15" s="73" t="s">
        <v>28</v>
      </c>
      <c r="D15" s="66">
        <v>0.03</v>
      </c>
    </row>
    <row r="16" ht="34.95" customHeight="1" spans="1:4">
      <c r="A16" s="43">
        <v>14</v>
      </c>
      <c r="B16" s="43" t="s">
        <v>29</v>
      </c>
      <c r="C16" s="31" t="s">
        <v>30</v>
      </c>
      <c r="D16" s="122">
        <v>0.0004</v>
      </c>
    </row>
    <row r="17" ht="33" customHeight="1" spans="1:4">
      <c r="A17" s="79"/>
      <c r="B17" s="79"/>
      <c r="C17" s="31" t="s">
        <v>31</v>
      </c>
      <c r="D17" s="122">
        <v>0.0008</v>
      </c>
    </row>
    <row r="18" customHeight="1" spans="1:4">
      <c r="A18" s="7">
        <v>15</v>
      </c>
      <c r="B18" s="7" t="s">
        <v>32</v>
      </c>
      <c r="C18" s="7" t="s">
        <v>33</v>
      </c>
      <c r="D18" s="128">
        <v>6.4e-5</v>
      </c>
    </row>
    <row r="19" customHeight="1" spans="1:4">
      <c r="A19" s="7">
        <v>16</v>
      </c>
      <c r="B19" s="7" t="s">
        <v>34</v>
      </c>
      <c r="C19" s="7" t="s">
        <v>35</v>
      </c>
      <c r="D19" s="129">
        <v>5e-5</v>
      </c>
    </row>
    <row r="20" customHeight="1" spans="1:4">
      <c r="A20" s="7">
        <v>17</v>
      </c>
      <c r="B20" s="7" t="s">
        <v>36</v>
      </c>
      <c r="C20" s="7" t="s">
        <v>37</v>
      </c>
      <c r="D20" s="122">
        <v>0</v>
      </c>
    </row>
    <row r="21" customHeight="1" spans="1:4">
      <c r="A21" s="7">
        <v>18</v>
      </c>
      <c r="B21" s="7" t="s">
        <v>38</v>
      </c>
      <c r="C21" s="7" t="s">
        <v>37</v>
      </c>
      <c r="D21" s="122">
        <v>0</v>
      </c>
    </row>
    <row r="22" customHeight="1" spans="1:4">
      <c r="A22" s="7">
        <v>19</v>
      </c>
      <c r="B22" s="7" t="s">
        <v>39</v>
      </c>
      <c r="C22" s="7" t="s">
        <v>37</v>
      </c>
      <c r="D22" s="122">
        <v>0</v>
      </c>
    </row>
  </sheetData>
  <mergeCells count="3">
    <mergeCell ref="A1:D1"/>
    <mergeCell ref="A16:A17"/>
    <mergeCell ref="B16:B17"/>
  </mergeCell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FF00"/>
  </sheetPr>
  <dimension ref="A1:N23"/>
  <sheetViews>
    <sheetView zoomScale="70" zoomScaleNormal="70" workbookViewId="0">
      <selection activeCell="K5" sqref="K5"/>
    </sheetView>
  </sheetViews>
  <sheetFormatPr defaultColWidth="8.88888888888889" defaultRowHeight="28.05" customHeight="1"/>
  <cols>
    <col min="1" max="1" width="14.7777777777778" customWidth="1"/>
    <col min="3" max="3" width="32.3333333333333" customWidth="1"/>
    <col min="4" max="4" width="58.1111111111111" customWidth="1"/>
    <col min="5" max="5" width="14.1111111111111" customWidth="1"/>
    <col min="6" max="6" width="12.3333333333333" customWidth="1"/>
    <col min="7" max="8" width="15.1111111111111" customWidth="1"/>
    <col min="9" max="9" width="15.4444444444444" customWidth="1"/>
    <col min="10" max="10" width="16.1111111111111" customWidth="1"/>
    <col min="11" max="11" width="17" customWidth="1"/>
    <col min="12" max="12" width="16.6666666666667" customWidth="1"/>
    <col min="13" max="13" width="17.1111111111111" customWidth="1"/>
    <col min="14" max="14" width="16.5555555555556" customWidth="1"/>
  </cols>
  <sheetData>
    <row r="1" s="50" customFormat="1" customHeight="1" spans="1:14">
      <c r="A1" s="93" t="s">
        <v>205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="50" customFormat="1" customHeight="1" spans="1:14">
      <c r="A2" s="22" t="s">
        <v>206</v>
      </c>
      <c r="B2" s="22" t="s">
        <v>1</v>
      </c>
      <c r="C2" s="22" t="s">
        <v>134</v>
      </c>
      <c r="D2" s="22" t="s">
        <v>207</v>
      </c>
      <c r="E2" s="22" t="s">
        <v>208</v>
      </c>
      <c r="F2" s="23" t="s">
        <v>209</v>
      </c>
      <c r="G2" s="2" t="s">
        <v>210</v>
      </c>
      <c r="H2" s="24" t="s">
        <v>99</v>
      </c>
      <c r="I2" s="15" t="s">
        <v>100</v>
      </c>
      <c r="J2" s="15" t="s">
        <v>101</v>
      </c>
      <c r="K2" s="15" t="s">
        <v>211</v>
      </c>
      <c r="L2" s="15" t="s">
        <v>212</v>
      </c>
      <c r="M2" s="15" t="s">
        <v>213</v>
      </c>
      <c r="N2" s="15" t="s">
        <v>103</v>
      </c>
    </row>
    <row r="3" s="50" customFormat="1" customHeight="1" spans="1:14">
      <c r="A3" s="15"/>
      <c r="B3" s="15"/>
      <c r="C3" s="15"/>
      <c r="D3" s="15"/>
      <c r="E3" s="15"/>
      <c r="F3" s="15"/>
      <c r="G3" s="2"/>
      <c r="H3" s="25" t="s">
        <v>214</v>
      </c>
      <c r="I3" s="25"/>
      <c r="J3" s="26"/>
      <c r="K3" s="66">
        <v>0.8</v>
      </c>
      <c r="L3" s="66">
        <v>1</v>
      </c>
      <c r="M3" s="66">
        <v>1</v>
      </c>
      <c r="N3" s="7" t="s">
        <v>102</v>
      </c>
    </row>
    <row r="4" s="50" customFormat="1" customHeight="1" spans="1:14">
      <c r="A4" s="7" t="s">
        <v>215</v>
      </c>
      <c r="B4" s="7">
        <v>1</v>
      </c>
      <c r="C4" s="20" t="s">
        <v>216</v>
      </c>
      <c r="D4" s="7" t="s">
        <v>217</v>
      </c>
      <c r="E4" s="35">
        <v>1</v>
      </c>
      <c r="F4" s="35">
        <v>2</v>
      </c>
      <c r="G4" s="97">
        <f>F4*(1+A财务假设!$D$20)</f>
        <v>2</v>
      </c>
      <c r="H4" s="98">
        <v>0</v>
      </c>
      <c r="I4" s="98">
        <v>0</v>
      </c>
      <c r="J4" s="98">
        <v>0</v>
      </c>
      <c r="K4" s="34">
        <f>$E$4*$G$4*K3</f>
        <v>1.6</v>
      </c>
      <c r="L4" s="34">
        <f>$E$4*$G$4*L3</f>
        <v>2</v>
      </c>
      <c r="M4" s="34">
        <f>$E$4*$G$4*M3</f>
        <v>2</v>
      </c>
      <c r="N4" s="34">
        <f>SUM(K4:M4)</f>
        <v>5.6</v>
      </c>
    </row>
    <row r="5" s="50" customFormat="1" ht="48" customHeight="1" spans="1:14">
      <c r="A5" s="7"/>
      <c r="B5" s="7">
        <v>2</v>
      </c>
      <c r="C5" s="99" t="s">
        <v>218</v>
      </c>
      <c r="D5" s="7" t="s">
        <v>219</v>
      </c>
      <c r="E5" s="35">
        <v>1</v>
      </c>
      <c r="F5" s="35">
        <v>2</v>
      </c>
      <c r="G5" s="97">
        <f>F5*(1+A财务假设!$D$20)</f>
        <v>2</v>
      </c>
      <c r="H5" s="98">
        <v>0</v>
      </c>
      <c r="I5" s="98">
        <v>0</v>
      </c>
      <c r="J5" s="98">
        <v>0</v>
      </c>
      <c r="K5" s="34">
        <f>$E$5*$G$5*K3</f>
        <v>1.6</v>
      </c>
      <c r="L5" s="34">
        <f>$E$5*$G$5*L3</f>
        <v>2</v>
      </c>
      <c r="M5" s="34">
        <f>$E$5*$G$5*M3</f>
        <v>2</v>
      </c>
      <c r="N5" s="34">
        <f>SUM(K5:M5)</f>
        <v>5.6</v>
      </c>
    </row>
    <row r="6" s="50" customFormat="1" customHeight="1" spans="1:14">
      <c r="A6" s="7"/>
      <c r="B6" s="7">
        <v>3</v>
      </c>
      <c r="C6" s="20" t="s">
        <v>220</v>
      </c>
      <c r="D6" s="7" t="s">
        <v>221</v>
      </c>
      <c r="E6" s="35">
        <v>1</v>
      </c>
      <c r="F6" s="35">
        <v>2</v>
      </c>
      <c r="G6" s="97">
        <f>F6*(1+A财务假设!$D$20)</f>
        <v>2</v>
      </c>
      <c r="H6" s="98">
        <v>0</v>
      </c>
      <c r="I6" s="98">
        <v>0</v>
      </c>
      <c r="J6" s="98">
        <v>0</v>
      </c>
      <c r="K6" s="34">
        <f>$E$6*$G$6*K3</f>
        <v>1.6</v>
      </c>
      <c r="L6" s="34">
        <f>$E$6*$G$6*L3</f>
        <v>2</v>
      </c>
      <c r="M6" s="34">
        <f>$E$6*$G$6*M3</f>
        <v>2</v>
      </c>
      <c r="N6" s="34">
        <f>SUM(K6:M6)</f>
        <v>5.6</v>
      </c>
    </row>
    <row r="7" s="50" customFormat="1" customHeight="1" spans="1:14">
      <c r="A7" s="7"/>
      <c r="B7" s="7">
        <v>4</v>
      </c>
      <c r="C7" s="20" t="s">
        <v>222</v>
      </c>
      <c r="D7" s="7" t="s">
        <v>223</v>
      </c>
      <c r="E7" s="35">
        <v>1</v>
      </c>
      <c r="F7" s="35">
        <v>2</v>
      </c>
      <c r="G7" s="97">
        <f>F7*(1+A财务假设!$D$20)</f>
        <v>2</v>
      </c>
      <c r="H7" s="98">
        <v>0</v>
      </c>
      <c r="I7" s="98">
        <v>0</v>
      </c>
      <c r="J7" s="98">
        <v>0</v>
      </c>
      <c r="K7" s="34">
        <f>$E$7*$G$7*K3</f>
        <v>1.6</v>
      </c>
      <c r="L7" s="34">
        <f>$E$7*$G$7*L3</f>
        <v>2</v>
      </c>
      <c r="M7" s="34">
        <f>$E$7*$G$7*M3</f>
        <v>2</v>
      </c>
      <c r="N7" s="34">
        <f t="shared" ref="N7:N23" si="0">SUM(K7:M7)</f>
        <v>5.6</v>
      </c>
    </row>
    <row r="8" s="50" customFormat="1" customHeight="1" spans="1:14">
      <c r="A8" s="7" t="s">
        <v>224</v>
      </c>
      <c r="B8" s="7">
        <v>5</v>
      </c>
      <c r="C8" s="20" t="s">
        <v>225</v>
      </c>
      <c r="D8" s="7" t="s">
        <v>226</v>
      </c>
      <c r="E8" s="35">
        <v>1</v>
      </c>
      <c r="F8" s="35">
        <v>2</v>
      </c>
      <c r="G8" s="97">
        <f>F8*(1+A财务假设!$D$20)</f>
        <v>2</v>
      </c>
      <c r="H8" s="98">
        <v>0</v>
      </c>
      <c r="I8" s="98">
        <v>0</v>
      </c>
      <c r="J8" s="98">
        <v>0</v>
      </c>
      <c r="K8" s="34">
        <f>$E$8*$G$8*K3</f>
        <v>1.6</v>
      </c>
      <c r="L8" s="34">
        <f>$E$8*$G$8*L3</f>
        <v>2</v>
      </c>
      <c r="M8" s="34">
        <f>$E$8*$G$8*M3</f>
        <v>2</v>
      </c>
      <c r="N8" s="34">
        <f t="shared" si="0"/>
        <v>5.6</v>
      </c>
    </row>
    <row r="9" s="50" customFormat="1" customHeight="1" spans="1:14">
      <c r="A9" s="7"/>
      <c r="B9" s="7">
        <v>6</v>
      </c>
      <c r="C9" s="20" t="s">
        <v>227</v>
      </c>
      <c r="D9" s="7" t="s">
        <v>228</v>
      </c>
      <c r="E9" s="35">
        <v>1</v>
      </c>
      <c r="F9" s="35">
        <v>2</v>
      </c>
      <c r="G9" s="97">
        <f>F9*(1+A财务假设!$D$20)</f>
        <v>2</v>
      </c>
      <c r="H9" s="98">
        <v>0</v>
      </c>
      <c r="I9" s="98">
        <v>0</v>
      </c>
      <c r="J9" s="98">
        <v>0</v>
      </c>
      <c r="K9" s="34">
        <f>$E$9*$G$9*K3</f>
        <v>1.6</v>
      </c>
      <c r="L9" s="34">
        <f>$E$9*$G$9*L3</f>
        <v>2</v>
      </c>
      <c r="M9" s="34">
        <f>$E$9*$G$9*M3</f>
        <v>2</v>
      </c>
      <c r="N9" s="34">
        <f t="shared" si="0"/>
        <v>5.6</v>
      </c>
    </row>
    <row r="10" s="50" customFormat="1" customHeight="1" spans="1:14">
      <c r="A10" s="7"/>
      <c r="B10" s="7">
        <v>7</v>
      </c>
      <c r="C10" s="20" t="s">
        <v>229</v>
      </c>
      <c r="D10" s="7" t="s">
        <v>230</v>
      </c>
      <c r="E10" s="35">
        <v>1</v>
      </c>
      <c r="F10" s="35">
        <v>2</v>
      </c>
      <c r="G10" s="97">
        <f>F10*(1+A财务假设!$D$20)</f>
        <v>2</v>
      </c>
      <c r="H10" s="98">
        <v>0</v>
      </c>
      <c r="I10" s="98">
        <v>0</v>
      </c>
      <c r="J10" s="98">
        <v>0</v>
      </c>
      <c r="K10" s="34">
        <f>$E$10*$G$10*K3</f>
        <v>1.6</v>
      </c>
      <c r="L10" s="34">
        <f>$E$10*$G$10*L3</f>
        <v>2</v>
      </c>
      <c r="M10" s="34">
        <f>$E$10*$G$10*M3</f>
        <v>2</v>
      </c>
      <c r="N10" s="34">
        <f t="shared" si="0"/>
        <v>5.6</v>
      </c>
    </row>
    <row r="11" s="50" customFormat="1" customHeight="1" spans="1:14">
      <c r="A11" s="7" t="s">
        <v>231</v>
      </c>
      <c r="B11" s="7">
        <v>8</v>
      </c>
      <c r="C11" s="20" t="s">
        <v>232</v>
      </c>
      <c r="D11" s="7" t="s">
        <v>233</v>
      </c>
      <c r="E11" s="35">
        <v>1</v>
      </c>
      <c r="F11" s="35">
        <v>2</v>
      </c>
      <c r="G11" s="97">
        <f>F11*(1+A财务假设!$D$20)</f>
        <v>2</v>
      </c>
      <c r="H11" s="98">
        <v>0</v>
      </c>
      <c r="I11" s="98">
        <v>0</v>
      </c>
      <c r="J11" s="98">
        <v>0</v>
      </c>
      <c r="K11" s="34">
        <f>$E$11*$G$11*K3</f>
        <v>1.6</v>
      </c>
      <c r="L11" s="34">
        <f>$E$11*$G$11*L3</f>
        <v>2</v>
      </c>
      <c r="M11" s="34">
        <f>$E$11*$G$11*M3</f>
        <v>2</v>
      </c>
      <c r="N11" s="34">
        <f t="shared" si="0"/>
        <v>5.6</v>
      </c>
    </row>
    <row r="12" s="50" customFormat="1" customHeight="1" spans="1:14">
      <c r="A12" s="7" t="s">
        <v>234</v>
      </c>
      <c r="B12" s="7">
        <v>9</v>
      </c>
      <c r="C12" s="20" t="s">
        <v>235</v>
      </c>
      <c r="D12" s="7" t="s">
        <v>236</v>
      </c>
      <c r="E12" s="35">
        <v>1</v>
      </c>
      <c r="F12" s="35">
        <v>2</v>
      </c>
      <c r="G12" s="97">
        <f>F12*(1+A财务假设!$D$20)</f>
        <v>2</v>
      </c>
      <c r="H12" s="98">
        <v>0</v>
      </c>
      <c r="I12" s="98">
        <v>0</v>
      </c>
      <c r="J12" s="98">
        <v>0</v>
      </c>
      <c r="K12" s="34">
        <f>$E$12*$G$12*K3</f>
        <v>1.6</v>
      </c>
      <c r="L12" s="34">
        <f>$E$12*$G$12*L3</f>
        <v>2</v>
      </c>
      <c r="M12" s="34">
        <f>$E$12*$G$12*M3</f>
        <v>2</v>
      </c>
      <c r="N12" s="34">
        <f t="shared" si="0"/>
        <v>5.6</v>
      </c>
    </row>
    <row r="13" s="50" customFormat="1" customHeight="1" spans="1:14">
      <c r="A13" s="7"/>
      <c r="B13" s="7">
        <v>10</v>
      </c>
      <c r="C13" s="20" t="s">
        <v>237</v>
      </c>
      <c r="D13" s="7" t="s">
        <v>238</v>
      </c>
      <c r="E13" s="35">
        <v>1</v>
      </c>
      <c r="F13" s="35">
        <v>2</v>
      </c>
      <c r="G13" s="97">
        <f>F13*(1+A财务假设!$D$20)</f>
        <v>2</v>
      </c>
      <c r="H13" s="98">
        <v>0</v>
      </c>
      <c r="I13" s="98">
        <v>0</v>
      </c>
      <c r="J13" s="98">
        <v>0</v>
      </c>
      <c r="K13" s="34">
        <f>$E$13*$G$13*K3</f>
        <v>1.6</v>
      </c>
      <c r="L13" s="34">
        <f>$E$13*$G$13*L3</f>
        <v>2</v>
      </c>
      <c r="M13" s="34">
        <f>$E$13*$G$13*M3</f>
        <v>2</v>
      </c>
      <c r="N13" s="34">
        <f t="shared" si="0"/>
        <v>5.6</v>
      </c>
    </row>
    <row r="14" s="50" customFormat="1" customHeight="1" spans="1:14">
      <c r="A14" s="7" t="s">
        <v>239</v>
      </c>
      <c r="B14" s="7">
        <v>11</v>
      </c>
      <c r="C14" s="20" t="s">
        <v>240</v>
      </c>
      <c r="D14" s="7" t="s">
        <v>241</v>
      </c>
      <c r="E14" s="35">
        <v>1</v>
      </c>
      <c r="F14" s="35">
        <v>2</v>
      </c>
      <c r="G14" s="97">
        <f>F14*(1+A财务假设!$D$20)</f>
        <v>2</v>
      </c>
      <c r="H14" s="98">
        <v>0</v>
      </c>
      <c r="I14" s="98">
        <v>0</v>
      </c>
      <c r="J14" s="98">
        <v>0</v>
      </c>
      <c r="K14" s="34">
        <f>$E$14*$G$14*K3</f>
        <v>1.6</v>
      </c>
      <c r="L14" s="34">
        <f>$E$14*$G$14*L3</f>
        <v>2</v>
      </c>
      <c r="M14" s="34">
        <f>$E$14*$G$14*M3</f>
        <v>2</v>
      </c>
      <c r="N14" s="34">
        <f t="shared" si="0"/>
        <v>5.6</v>
      </c>
    </row>
    <row r="15" s="50" customFormat="1" customHeight="1" spans="1:14">
      <c r="A15" s="7" t="s">
        <v>242</v>
      </c>
      <c r="B15" s="7">
        <v>12</v>
      </c>
      <c r="C15" s="20" t="s">
        <v>243</v>
      </c>
      <c r="D15" s="7" t="s">
        <v>244</v>
      </c>
      <c r="E15" s="35">
        <v>1</v>
      </c>
      <c r="F15" s="35">
        <v>2</v>
      </c>
      <c r="G15" s="97">
        <f>F15*(1+A财务假设!$D$20)</f>
        <v>2</v>
      </c>
      <c r="H15" s="98">
        <v>0</v>
      </c>
      <c r="I15" s="98">
        <v>0</v>
      </c>
      <c r="J15" s="98">
        <v>0</v>
      </c>
      <c r="K15" s="34">
        <f>$E$15*$G$15*K3</f>
        <v>1.6</v>
      </c>
      <c r="L15" s="34">
        <f>$E$15*$G$15*L3</f>
        <v>2</v>
      </c>
      <c r="M15" s="34">
        <f>$E$15*$G$15*M3</f>
        <v>2</v>
      </c>
      <c r="N15" s="34">
        <f t="shared" si="0"/>
        <v>5.6</v>
      </c>
    </row>
    <row r="16" s="50" customFormat="1" customHeight="1" spans="1:14">
      <c r="A16" s="7" t="s">
        <v>245</v>
      </c>
      <c r="B16" s="7">
        <v>13</v>
      </c>
      <c r="C16" s="20" t="s">
        <v>246</v>
      </c>
      <c r="D16" s="7" t="s">
        <v>247</v>
      </c>
      <c r="E16" s="35">
        <v>1</v>
      </c>
      <c r="F16" s="35">
        <v>2</v>
      </c>
      <c r="G16" s="97">
        <f>F16*(1+A财务假设!$D$20)</f>
        <v>2</v>
      </c>
      <c r="H16" s="98">
        <v>0</v>
      </c>
      <c r="I16" s="98">
        <v>0</v>
      </c>
      <c r="J16" s="98">
        <v>0</v>
      </c>
      <c r="K16" s="34">
        <f>$E$16*$G$16*K3</f>
        <v>1.6</v>
      </c>
      <c r="L16" s="34">
        <f>$E$16*$G$16*L3</f>
        <v>2</v>
      </c>
      <c r="M16" s="34">
        <f>$E$16*$G$16*M3</f>
        <v>2</v>
      </c>
      <c r="N16" s="34">
        <f t="shared" si="0"/>
        <v>5.6</v>
      </c>
    </row>
    <row r="17" s="50" customFormat="1" customHeight="1" spans="1:14">
      <c r="A17" s="7"/>
      <c r="B17" s="7">
        <v>14</v>
      </c>
      <c r="C17" s="20" t="s">
        <v>248</v>
      </c>
      <c r="D17" s="7" t="s">
        <v>249</v>
      </c>
      <c r="E17" s="35">
        <v>1</v>
      </c>
      <c r="F17" s="35">
        <v>2</v>
      </c>
      <c r="G17" s="97">
        <f>F17*(1+A财务假设!$D$20)</f>
        <v>2</v>
      </c>
      <c r="H17" s="98">
        <v>0</v>
      </c>
      <c r="I17" s="98">
        <v>0</v>
      </c>
      <c r="J17" s="98">
        <v>0</v>
      </c>
      <c r="K17" s="34">
        <f>$E$17*$G$17*K3</f>
        <v>1.6</v>
      </c>
      <c r="L17" s="34">
        <f>$E$17*$G$17*L3</f>
        <v>2</v>
      </c>
      <c r="M17" s="34">
        <f>$E$17*$G$17*M3</f>
        <v>2</v>
      </c>
      <c r="N17" s="34">
        <f t="shared" si="0"/>
        <v>5.6</v>
      </c>
    </row>
    <row r="18" s="50" customFormat="1" customHeight="1" spans="1:14">
      <c r="A18" s="7"/>
      <c r="B18" s="7">
        <v>15</v>
      </c>
      <c r="C18" s="20" t="s">
        <v>250</v>
      </c>
      <c r="D18" s="7" t="s">
        <v>251</v>
      </c>
      <c r="E18" s="35">
        <v>1</v>
      </c>
      <c r="F18" s="35">
        <v>2</v>
      </c>
      <c r="G18" s="97">
        <f>F18*(1+A财务假设!$D$20)</f>
        <v>2</v>
      </c>
      <c r="H18" s="98">
        <v>0</v>
      </c>
      <c r="I18" s="98">
        <v>0</v>
      </c>
      <c r="J18" s="98">
        <v>0</v>
      </c>
      <c r="K18" s="34">
        <f>$E$18*$G$18*K3</f>
        <v>1.6</v>
      </c>
      <c r="L18" s="34">
        <f>$E$18*$G$18*L3</f>
        <v>2</v>
      </c>
      <c r="M18" s="34">
        <f>$E$18*$G$18*M3</f>
        <v>2</v>
      </c>
      <c r="N18" s="34">
        <f t="shared" si="0"/>
        <v>5.6</v>
      </c>
    </row>
    <row r="19" s="50" customFormat="1" customHeight="1" spans="1:14">
      <c r="A19" s="7" t="s">
        <v>252</v>
      </c>
      <c r="B19" s="7">
        <v>16</v>
      </c>
      <c r="C19" s="20" t="s">
        <v>253</v>
      </c>
      <c r="D19" s="7" t="s">
        <v>254</v>
      </c>
      <c r="E19" s="35">
        <v>1</v>
      </c>
      <c r="F19" s="35">
        <v>2</v>
      </c>
      <c r="G19" s="97">
        <f>F19*(1+A财务假设!$D$20)</f>
        <v>2</v>
      </c>
      <c r="H19" s="98">
        <v>0</v>
      </c>
      <c r="I19" s="98">
        <v>0</v>
      </c>
      <c r="J19" s="98">
        <v>0</v>
      </c>
      <c r="K19" s="34">
        <f>$E$19*$G$19*K3</f>
        <v>1.6</v>
      </c>
      <c r="L19" s="34">
        <f>$E$19*$G$19*L3</f>
        <v>2</v>
      </c>
      <c r="M19" s="34">
        <f>$E$19*$G$19*M3</f>
        <v>2</v>
      </c>
      <c r="N19" s="34">
        <f t="shared" si="0"/>
        <v>5.6</v>
      </c>
    </row>
    <row r="20" s="50" customFormat="1" customHeight="1" spans="1:14">
      <c r="A20" s="7"/>
      <c r="B20" s="7">
        <v>17</v>
      </c>
      <c r="C20" s="20" t="s">
        <v>255</v>
      </c>
      <c r="D20" s="7" t="s">
        <v>256</v>
      </c>
      <c r="E20" s="35">
        <v>1</v>
      </c>
      <c r="F20" s="35">
        <v>2</v>
      </c>
      <c r="G20" s="97">
        <f>F20*(1+A财务假设!$D$20)</f>
        <v>2</v>
      </c>
      <c r="H20" s="98">
        <v>0</v>
      </c>
      <c r="I20" s="98">
        <v>0</v>
      </c>
      <c r="J20" s="98">
        <v>0</v>
      </c>
      <c r="K20" s="34">
        <f>$E$20*$G$20*K3</f>
        <v>1.6</v>
      </c>
      <c r="L20" s="34">
        <f>$E$20*$G$20*L3</f>
        <v>2</v>
      </c>
      <c r="M20" s="34">
        <f>$E$20*$G$20*M3</f>
        <v>2</v>
      </c>
      <c r="N20" s="34">
        <f t="shared" si="0"/>
        <v>5.6</v>
      </c>
    </row>
    <row r="21" s="50" customFormat="1" customHeight="1" spans="1:14">
      <c r="A21" s="7"/>
      <c r="B21" s="7">
        <v>18</v>
      </c>
      <c r="C21" s="20" t="s">
        <v>257</v>
      </c>
      <c r="D21" s="7" t="s">
        <v>258</v>
      </c>
      <c r="E21" s="35">
        <v>1</v>
      </c>
      <c r="F21" s="35">
        <v>2</v>
      </c>
      <c r="G21" s="97">
        <f>F21*(1+A财务假设!$D$20)</f>
        <v>2</v>
      </c>
      <c r="H21" s="98">
        <v>0</v>
      </c>
      <c r="I21" s="98">
        <v>0</v>
      </c>
      <c r="J21" s="98">
        <v>0</v>
      </c>
      <c r="K21" s="34">
        <f>$E$21*$G$21*K3</f>
        <v>1.6</v>
      </c>
      <c r="L21" s="34">
        <f>$E$21*$G$21*L3</f>
        <v>2</v>
      </c>
      <c r="M21" s="34">
        <f>$E$21*$G$21*M3</f>
        <v>2</v>
      </c>
      <c r="N21" s="34">
        <f t="shared" si="0"/>
        <v>5.6</v>
      </c>
    </row>
    <row r="22" s="50" customFormat="1" customHeight="1" spans="1:14">
      <c r="A22" s="7" t="s">
        <v>259</v>
      </c>
      <c r="B22" s="7">
        <v>19</v>
      </c>
      <c r="C22" s="20" t="s">
        <v>260</v>
      </c>
      <c r="D22" s="7" t="s">
        <v>261</v>
      </c>
      <c r="E22" s="35">
        <v>1</v>
      </c>
      <c r="F22" s="35">
        <v>2</v>
      </c>
      <c r="G22" s="97">
        <f>F22*(1+A财务假设!$D$20)</f>
        <v>2</v>
      </c>
      <c r="H22" s="98">
        <v>0</v>
      </c>
      <c r="I22" s="98">
        <v>0</v>
      </c>
      <c r="J22" s="98">
        <v>0</v>
      </c>
      <c r="K22" s="34">
        <f>$E$22*$G$22*K3</f>
        <v>1.6</v>
      </c>
      <c r="L22" s="34">
        <f>$E$22*$G$22*L3</f>
        <v>2</v>
      </c>
      <c r="M22" s="34">
        <f>$E$22*$G$22*M3</f>
        <v>2</v>
      </c>
      <c r="N22" s="34">
        <f t="shared" si="0"/>
        <v>5.6</v>
      </c>
    </row>
    <row r="23" s="50" customFormat="1" customHeight="1" spans="1:14">
      <c r="A23" s="7"/>
      <c r="B23" s="7">
        <v>20</v>
      </c>
      <c r="C23" s="20" t="s">
        <v>262</v>
      </c>
      <c r="D23" s="7" t="s">
        <v>263</v>
      </c>
      <c r="E23" s="35">
        <v>1</v>
      </c>
      <c r="F23" s="35">
        <v>2</v>
      </c>
      <c r="G23" s="97">
        <f>F23*(1+A财务假设!$D$20)</f>
        <v>2</v>
      </c>
      <c r="H23" s="98">
        <v>0</v>
      </c>
      <c r="I23" s="98">
        <v>0</v>
      </c>
      <c r="J23" s="98">
        <v>0</v>
      </c>
      <c r="K23" s="34">
        <f>$E$23*$G$23*K3</f>
        <v>1.6</v>
      </c>
      <c r="L23" s="34">
        <f>$E$23*$G$23*L3</f>
        <v>2</v>
      </c>
      <c r="M23" s="34">
        <f>$E$23*$G$23*M3</f>
        <v>2</v>
      </c>
      <c r="N23" s="34">
        <f t="shared" si="0"/>
        <v>5.6</v>
      </c>
    </row>
  </sheetData>
  <mergeCells count="15">
    <mergeCell ref="A1:N1"/>
    <mergeCell ref="H3:J3"/>
    <mergeCell ref="A2:A3"/>
    <mergeCell ref="A4:A7"/>
    <mergeCell ref="A8:A10"/>
    <mergeCell ref="A12:A13"/>
    <mergeCell ref="A16:A18"/>
    <mergeCell ref="A19:A21"/>
    <mergeCell ref="A22:A23"/>
    <mergeCell ref="B2:B3"/>
    <mergeCell ref="C2:C3"/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0070C0"/>
  </sheetPr>
  <dimension ref="A1:N23"/>
  <sheetViews>
    <sheetView zoomScale="85" zoomScaleNormal="85" topLeftCell="D14" workbookViewId="0">
      <selection activeCell="N4" sqref="N4"/>
    </sheetView>
  </sheetViews>
  <sheetFormatPr defaultColWidth="20.7777777777778" defaultRowHeight="30" customHeight="1"/>
  <cols>
    <col min="1" max="1" width="18.4444444444444" customWidth="1"/>
    <col min="2" max="2" width="13.3333333333333" customWidth="1"/>
    <col min="3" max="3" width="24.7777777777778" style="92" customWidth="1"/>
    <col min="4" max="4" width="23.8888888888889" style="92" customWidth="1"/>
    <col min="5" max="5" width="20.7777777777778" customWidth="1"/>
  </cols>
  <sheetData>
    <row r="1" customHeight="1" spans="1:14">
      <c r="A1" s="93" t="s">
        <v>264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customHeight="1" spans="1:14">
      <c r="A2" s="22" t="s">
        <v>206</v>
      </c>
      <c r="B2" s="22" t="s">
        <v>1</v>
      </c>
      <c r="C2" s="23" t="s">
        <v>134</v>
      </c>
      <c r="D2" s="23" t="s">
        <v>207</v>
      </c>
      <c r="E2" s="22" t="s">
        <v>208</v>
      </c>
      <c r="F2" s="23" t="s">
        <v>209</v>
      </c>
      <c r="G2" s="2" t="s">
        <v>265</v>
      </c>
      <c r="H2" s="24" t="s">
        <v>99</v>
      </c>
      <c r="I2" s="15" t="s">
        <v>100</v>
      </c>
      <c r="J2" s="15" t="s">
        <v>101</v>
      </c>
      <c r="K2" s="15" t="s">
        <v>211</v>
      </c>
      <c r="L2" s="15" t="s">
        <v>212</v>
      </c>
      <c r="M2" s="15" t="s">
        <v>213</v>
      </c>
      <c r="N2" s="15" t="s">
        <v>266</v>
      </c>
    </row>
    <row r="3" customHeight="1" spans="1:14">
      <c r="A3" s="15"/>
      <c r="B3" s="15"/>
      <c r="C3" s="16"/>
      <c r="D3" s="16"/>
      <c r="E3" s="15"/>
      <c r="F3" s="15"/>
      <c r="G3" s="2"/>
      <c r="H3" s="25" t="s">
        <v>214</v>
      </c>
      <c r="I3" s="25"/>
      <c r="J3" s="26"/>
      <c r="K3" s="96">
        <f>E.1项目运营费用!K3</f>
        <v>0.8</v>
      </c>
      <c r="L3" s="96">
        <f>E.1项目运营费用!L3</f>
        <v>1</v>
      </c>
      <c r="M3" s="96">
        <f>E.1项目运营费用!M3</f>
        <v>1</v>
      </c>
      <c r="N3" s="7" t="s">
        <v>102</v>
      </c>
    </row>
    <row r="4" customHeight="1" spans="1:14">
      <c r="A4" s="7" t="s">
        <v>215</v>
      </c>
      <c r="B4" s="7">
        <f>E.1项目运营费用!B4</f>
        <v>1</v>
      </c>
      <c r="C4" s="31" t="str">
        <f>E.1项目运营费用!C4</f>
        <v>场地租金</v>
      </c>
      <c r="D4" s="31" t="str">
        <f>E.1项目运营费用!D4</f>
        <v>按面积×租金单价</v>
      </c>
      <c r="E4" s="34">
        <f>E.1项目运营费用!E4</f>
        <v>1</v>
      </c>
      <c r="F4" s="34">
        <f>E.1项目运营费用!F4</f>
        <v>2</v>
      </c>
      <c r="G4" s="34">
        <f>E.1项目运营费用!G4</f>
        <v>2</v>
      </c>
      <c r="H4" s="95">
        <v>0</v>
      </c>
      <c r="I4" s="85">
        <v>0</v>
      </c>
      <c r="J4" s="85">
        <v>0</v>
      </c>
      <c r="K4" s="34">
        <f>$E$4*$G$4*K3*(1-'G.2进项增值税率-运营成本'!$C$3)</f>
        <v>1.456</v>
      </c>
      <c r="L4" s="34">
        <f>$E$4*$G$4*L3*(1-'G.2进项增值税率-运营成本'!$C$3)</f>
        <v>1.82</v>
      </c>
      <c r="M4" s="34">
        <f>$E$4*$G$4*M3*(1-'G.2进项增值税率-运营成本'!$C$3)</f>
        <v>1.82</v>
      </c>
      <c r="N4" s="34">
        <f>SUM(K4:M4)</f>
        <v>5.096</v>
      </c>
    </row>
    <row r="5" ht="37.95" customHeight="1" spans="1:14">
      <c r="A5" s="7"/>
      <c r="B5" s="7">
        <f>E.1项目运营费用!B5</f>
        <v>2</v>
      </c>
      <c r="C5" s="31" t="str">
        <f>E.1项目运营费用!C5</f>
        <v>场地日常维护（停机坪/起降场/交通枢纽/飞行营地/指挥中心等）</v>
      </c>
      <c r="D5" s="31" t="str">
        <f>E.1项目运营费用!D5</f>
        <v>按面积 × 单位维护单价（元 / ㎡・年）</v>
      </c>
      <c r="E5" s="34">
        <f>E.1项目运营费用!E5</f>
        <v>1</v>
      </c>
      <c r="F5" s="34">
        <f>E.1项目运营费用!F5</f>
        <v>2</v>
      </c>
      <c r="G5" s="34">
        <f>E.1项目运营费用!G5</f>
        <v>2</v>
      </c>
      <c r="H5" s="95">
        <v>0</v>
      </c>
      <c r="I5" s="85">
        <v>0</v>
      </c>
      <c r="J5" s="85">
        <v>0</v>
      </c>
      <c r="K5" s="34">
        <f>$E$5*$G$5*K3*(1-'G.2进项增值税率-运营成本'!$C$4)</f>
        <v>1.504</v>
      </c>
      <c r="L5" s="34">
        <f>$E$5*$G$5*L3*(1-'G.2进项增值税率-运营成本'!$C$4)</f>
        <v>1.88</v>
      </c>
      <c r="M5" s="34">
        <f>$E$5*$G$5*M3*(1-'G.2进项增值税率-运营成本'!$C$4)</f>
        <v>1.88</v>
      </c>
      <c r="N5" s="34">
        <f t="shared" ref="N5:N23" si="0">SUM(K5:M5)</f>
        <v>5.264</v>
      </c>
    </row>
    <row r="6" customHeight="1" spans="1:14">
      <c r="A6" s="7"/>
      <c r="B6" s="7">
        <f>E.1项目运营费用!B6</f>
        <v>3</v>
      </c>
      <c r="C6" s="31" t="str">
        <f>E.1项目运营费用!C6</f>
        <v>消防设施年检</v>
      </c>
      <c r="D6" s="31" t="str">
        <f>E.1项目运营费用!D6</f>
        <v>按设备数量 × 单台年检费（元 / 台・次）</v>
      </c>
      <c r="E6" s="34">
        <f>E.1项目运营费用!E6</f>
        <v>1</v>
      </c>
      <c r="F6" s="34">
        <f>E.1项目运营费用!F6</f>
        <v>2</v>
      </c>
      <c r="G6" s="34">
        <f>E.1项目运营费用!G6</f>
        <v>2</v>
      </c>
      <c r="H6" s="95">
        <v>0</v>
      </c>
      <c r="I6" s="85">
        <v>0</v>
      </c>
      <c r="J6" s="85">
        <v>0</v>
      </c>
      <c r="K6" s="34">
        <f>$E$6*$G$6*K3*(1-'G.2进项增值税率-运营成本'!$C$5)</f>
        <v>1.504</v>
      </c>
      <c r="L6" s="34">
        <f>$E$6*$G$6*L3*(1-'G.2进项增值税率-运营成本'!$C$5)</f>
        <v>1.88</v>
      </c>
      <c r="M6" s="34">
        <f>$E$6*$G$6*M3*(1-'G.2进项增值税率-运营成本'!$C$5)</f>
        <v>1.88</v>
      </c>
      <c r="N6" s="34">
        <f t="shared" si="0"/>
        <v>5.264</v>
      </c>
    </row>
    <row r="7" customHeight="1" spans="1:14">
      <c r="A7" s="7"/>
      <c r="B7" s="7">
        <f>E.1项目运营费用!B7</f>
        <v>4</v>
      </c>
      <c r="C7" s="31" t="str">
        <f>E.1项目运营费用!C7</f>
        <v>防鸟措施（驱鸟器维护）</v>
      </c>
      <c r="D7" s="31" t="str">
        <f>E.1项目运营费用!D7</f>
        <v>按套数 × 年费（元 / 套・年）+ 耗材费（如驱鸟剂）</v>
      </c>
      <c r="E7" s="34">
        <f>E.1项目运营费用!E7</f>
        <v>1</v>
      </c>
      <c r="F7" s="34">
        <f>E.1项目运营费用!F7</f>
        <v>2</v>
      </c>
      <c r="G7" s="34">
        <f>E.1项目运营费用!G7</f>
        <v>2</v>
      </c>
      <c r="H7" s="95">
        <v>0</v>
      </c>
      <c r="I7" s="85">
        <v>0</v>
      </c>
      <c r="J7" s="85">
        <v>0</v>
      </c>
      <c r="K7" s="34">
        <f>$E$7*$G$7*K3*(1-'G.2进项增值税率-运营成本'!$C$6)</f>
        <v>1.504</v>
      </c>
      <c r="L7" s="34">
        <f>$E$7*$G$7*L3*(1-'G.2进项增值税率-运营成本'!$C$6)</f>
        <v>1.88</v>
      </c>
      <c r="M7" s="34">
        <f>$E$7*$G$7*M3*(1-'G.2进项增值税率-运营成本'!$C$6)</f>
        <v>1.88</v>
      </c>
      <c r="N7" s="34">
        <f t="shared" si="0"/>
        <v>5.264</v>
      </c>
    </row>
    <row r="8" customHeight="1" spans="1:14">
      <c r="A8" s="7" t="s">
        <v>224</v>
      </c>
      <c r="B8" s="7">
        <f>E.1项目运营费用!B8</f>
        <v>5</v>
      </c>
      <c r="C8" s="31" t="str">
        <f>E.1项目运营费用!C8</f>
        <v>飞行器能耗</v>
      </c>
      <c r="D8" s="31" t="str">
        <f>E.1项目运营费用!D8</f>
        <v>按电耗或油耗计算</v>
      </c>
      <c r="E8" s="34">
        <f>E.1项目运营费用!E8</f>
        <v>1</v>
      </c>
      <c r="F8" s="34">
        <f>E.1项目运营费用!F8</f>
        <v>2</v>
      </c>
      <c r="G8" s="34">
        <f>E.1项目运营费用!G8</f>
        <v>2</v>
      </c>
      <c r="H8" s="95">
        <v>0</v>
      </c>
      <c r="I8" s="85">
        <v>0</v>
      </c>
      <c r="J8" s="85">
        <v>0</v>
      </c>
      <c r="K8" s="34">
        <f>$E$8*$G$8*K3*(1-'G.2进项增值税率-运营成本'!$C$7)</f>
        <v>1.392</v>
      </c>
      <c r="L8" s="34">
        <f>$E$8*$G$8*L3*(1-'G.2进项增值税率-运营成本'!$C$7)</f>
        <v>1.74</v>
      </c>
      <c r="M8" s="34">
        <f>$E$8*$G$8*M3*(1-'G.2进项增值税率-运营成本'!$C$7)</f>
        <v>1.74</v>
      </c>
      <c r="N8" s="34">
        <f t="shared" si="0"/>
        <v>4.872</v>
      </c>
    </row>
    <row r="9" customHeight="1" spans="1:14">
      <c r="A9" s="7"/>
      <c r="B9" s="7">
        <f>E.1项目运营费用!B9</f>
        <v>6</v>
      </c>
      <c r="C9" s="31" t="str">
        <f>E.1项目运营费用!C9</f>
        <v>核心设备电力能耗</v>
      </c>
      <c r="D9" s="31" t="str">
        <f>E.1项目运营费用!D9</f>
        <v>按实际用电量 × 电价（元 / 千瓦 时）</v>
      </c>
      <c r="E9" s="34">
        <f>E.1项目运营费用!E9</f>
        <v>1</v>
      </c>
      <c r="F9" s="34">
        <f>E.1项目运营费用!F9</f>
        <v>2</v>
      </c>
      <c r="G9" s="34">
        <f>E.1项目运营费用!G9</f>
        <v>2</v>
      </c>
      <c r="H9" s="95">
        <v>0</v>
      </c>
      <c r="I9" s="85">
        <v>0</v>
      </c>
      <c r="J9" s="85">
        <v>0</v>
      </c>
      <c r="K9" s="34">
        <f>$E$9*$G$9*K3*(1-'G.2进项增值税率-运营成本'!$C$8)</f>
        <v>1.392</v>
      </c>
      <c r="L9" s="34">
        <f>$E$9*$G$9*L3*(1-'G.2进项增值税率-运营成本'!$C$8)</f>
        <v>1.74</v>
      </c>
      <c r="M9" s="34">
        <f>$E$9*$G$9*M3*(1-'G.2进项增值税率-运营成本'!$C$8)</f>
        <v>1.74</v>
      </c>
      <c r="N9" s="34">
        <f t="shared" si="0"/>
        <v>4.872</v>
      </c>
    </row>
    <row r="10" customHeight="1" spans="1:14">
      <c r="A10" s="7"/>
      <c r="B10" s="7">
        <f>E.1项目运营费用!B10</f>
        <v>7</v>
      </c>
      <c r="C10" s="31" t="str">
        <f>E.1项目运营费用!C10</f>
        <v>水电能耗</v>
      </c>
      <c r="D10" s="31" t="str">
        <f>E.1项目运营费用!D10</f>
        <v>按面积估算</v>
      </c>
      <c r="E10" s="34">
        <f>E.1项目运营费用!E10</f>
        <v>1</v>
      </c>
      <c r="F10" s="34">
        <f>E.1项目运营费用!F10</f>
        <v>2</v>
      </c>
      <c r="G10" s="34">
        <f>E.1项目运营费用!G10</f>
        <v>2</v>
      </c>
      <c r="H10" s="95">
        <v>0</v>
      </c>
      <c r="I10" s="85">
        <v>0</v>
      </c>
      <c r="J10" s="85">
        <v>0</v>
      </c>
      <c r="K10" s="34">
        <f>$E$10*$G$10*K3*(1-'G.2进项增值税率-运营成本'!$C$9)</f>
        <v>1.456</v>
      </c>
      <c r="L10" s="34">
        <f>$E$10*$G$10*L3*(1-'G.2进项增值税率-运营成本'!$C$9)</f>
        <v>1.82</v>
      </c>
      <c r="M10" s="34">
        <f>$E$10*$G$10*M3*(1-'G.2进项增值税率-运营成本'!$C$9)</f>
        <v>1.82</v>
      </c>
      <c r="N10" s="34">
        <f t="shared" si="0"/>
        <v>5.096</v>
      </c>
    </row>
    <row r="11" customHeight="1" spans="1:14">
      <c r="A11" s="7" t="s">
        <v>231</v>
      </c>
      <c r="B11" s="7">
        <f>E.1项目运营费用!B11</f>
        <v>8</v>
      </c>
      <c r="C11" s="31" t="str">
        <f>E.1项目运营费用!C11</f>
        <v>网络通信费用</v>
      </c>
      <c r="D11" s="31" t="str">
        <f>E.1项目运营费用!D11</f>
        <v>按年计算租金</v>
      </c>
      <c r="E11" s="34">
        <f>E.1项目运营费用!E11</f>
        <v>1</v>
      </c>
      <c r="F11" s="34">
        <f>E.1项目运营费用!F11</f>
        <v>2</v>
      </c>
      <c r="G11" s="34">
        <f>E.1项目运营费用!G11</f>
        <v>2</v>
      </c>
      <c r="H11" s="95">
        <v>0</v>
      </c>
      <c r="I11" s="85">
        <v>0</v>
      </c>
      <c r="J11" s="85">
        <v>0</v>
      </c>
      <c r="K11" s="34">
        <f>$E$11*$G$11*K3*(1-'G.2进项增值税率-运营成本'!$C$10)</f>
        <v>1.456</v>
      </c>
      <c r="L11" s="34">
        <f>$E$11*$G$11*L3*(1-'G.2进项增值税率-运营成本'!$C$10)</f>
        <v>1.82</v>
      </c>
      <c r="M11" s="34">
        <f>$E$11*$G$11*M3*(1-'G.2进项增值税率-运营成本'!$C$10)</f>
        <v>1.82</v>
      </c>
      <c r="N11" s="34">
        <f t="shared" si="0"/>
        <v>5.096</v>
      </c>
    </row>
    <row r="12" customHeight="1" spans="1:14">
      <c r="A12" s="7" t="s">
        <v>234</v>
      </c>
      <c r="B12" s="7">
        <f>E.1项目运营费用!B12</f>
        <v>9</v>
      </c>
      <c r="C12" s="31" t="str">
        <f>E.1项目运营费用!C12</f>
        <v>硬件设备维护</v>
      </c>
      <c r="D12" s="31" t="str">
        <f>E.1项目运营费用!D12</f>
        <v>按照固定资产15%计算</v>
      </c>
      <c r="E12" s="34">
        <f>E.1项目运营费用!E12</f>
        <v>1</v>
      </c>
      <c r="F12" s="34">
        <f>E.1项目运营费用!F12</f>
        <v>2</v>
      </c>
      <c r="G12" s="34">
        <f>E.1项目运营费用!G12</f>
        <v>2</v>
      </c>
      <c r="H12" s="95">
        <v>0</v>
      </c>
      <c r="I12" s="85">
        <v>0</v>
      </c>
      <c r="J12" s="85">
        <v>0</v>
      </c>
      <c r="K12" s="34">
        <f>$E$12*$G$12*K3*(1-'G.2进项增值税率-运营成本'!$C$11)</f>
        <v>1.392</v>
      </c>
      <c r="L12" s="34">
        <f>$E$12*$G$12*L3*(1-'G.2进项增值税率-运营成本'!$C$11)</f>
        <v>1.74</v>
      </c>
      <c r="M12" s="34">
        <f>$E$12*$G$12*M3*(1-'G.2进项增值税率-运营成本'!$C$11)</f>
        <v>1.74</v>
      </c>
      <c r="N12" s="34">
        <f t="shared" si="0"/>
        <v>4.872</v>
      </c>
    </row>
    <row r="13" customHeight="1" spans="1:14">
      <c r="A13" s="7"/>
      <c r="B13" s="7">
        <f>E.1项目运营费用!B13</f>
        <v>10</v>
      </c>
      <c r="C13" s="31" t="str">
        <f>E.1项目运营费用!C13</f>
        <v>备品备件储备</v>
      </c>
      <c r="D13" s="31" t="str">
        <f>E.1项目运营费用!D13</f>
        <v>按年度设备维护预算 × 储备比例 （10%-20%）</v>
      </c>
      <c r="E13" s="34">
        <f>E.1项目运营费用!E13</f>
        <v>1</v>
      </c>
      <c r="F13" s="34">
        <f>E.1项目运营费用!F13</f>
        <v>2</v>
      </c>
      <c r="G13" s="34">
        <f>E.1项目运营费用!G13</f>
        <v>2</v>
      </c>
      <c r="H13" s="95">
        <v>0</v>
      </c>
      <c r="I13" s="85">
        <v>0</v>
      </c>
      <c r="J13" s="85">
        <v>0</v>
      </c>
      <c r="K13" s="34">
        <f>$E$13*$G$13*K3*(1-'G.2进项增值税率-运营成本'!$C$12)</f>
        <v>1.392</v>
      </c>
      <c r="L13" s="34">
        <f>$E$13*$G$13*L3*(1-'G.2进项增值税率-运营成本'!$C$12)</f>
        <v>1.74</v>
      </c>
      <c r="M13" s="34">
        <f>$E$13*$G$13*M3*(1-'G.2进项增值税率-运营成本'!$C$12)</f>
        <v>1.74</v>
      </c>
      <c r="N13" s="34">
        <f t="shared" si="0"/>
        <v>4.872</v>
      </c>
    </row>
    <row r="14" customHeight="1" spans="1:14">
      <c r="A14" s="7" t="s">
        <v>239</v>
      </c>
      <c r="B14" s="7">
        <f>E.1项目运营费用!B14</f>
        <v>11</v>
      </c>
      <c r="C14" s="31" t="str">
        <f>E.1项目运营费用!C14</f>
        <v>软件维护</v>
      </c>
      <c r="D14" s="31" t="str">
        <f>E.1项目运营费用!D14</f>
        <v>按无形资产造价的20%计算</v>
      </c>
      <c r="E14" s="34">
        <f>E.1项目运营费用!E14</f>
        <v>1</v>
      </c>
      <c r="F14" s="34">
        <f>E.1项目运营费用!F14</f>
        <v>2</v>
      </c>
      <c r="G14" s="34">
        <f>E.1项目运营费用!G14</f>
        <v>2</v>
      </c>
      <c r="H14" s="95">
        <v>0</v>
      </c>
      <c r="I14" s="85">
        <v>0</v>
      </c>
      <c r="J14" s="85">
        <v>0</v>
      </c>
      <c r="K14" s="34">
        <f>$E$14*$G$14*K3*(1-'G.2进项增值税率-运营成本'!$C$13)</f>
        <v>1.504</v>
      </c>
      <c r="L14" s="34">
        <f>$E$14*$G$14*L3*(1-'G.2进项增值税率-运营成本'!$C$13)</f>
        <v>1.88</v>
      </c>
      <c r="M14" s="34">
        <f>$E$14*$G$14*M3*(1-'G.2进项增值税率-运营成本'!$C$13)</f>
        <v>1.88</v>
      </c>
      <c r="N14" s="34">
        <f t="shared" si="0"/>
        <v>5.264</v>
      </c>
    </row>
    <row r="15" customHeight="1" spans="1:14">
      <c r="A15" s="7" t="s">
        <v>242</v>
      </c>
      <c r="B15" s="7">
        <f>E.1项目运营费用!B15</f>
        <v>12</v>
      </c>
      <c r="C15" s="31" t="str">
        <f>E.1项目运营费用!C15</f>
        <v>营销及活动</v>
      </c>
      <c r="D15" s="31" t="str">
        <f>E.1项目运营费用!D15</f>
        <v>按年平均营业收入的2%计算</v>
      </c>
      <c r="E15" s="34">
        <f>E.1项目运营费用!E15</f>
        <v>1</v>
      </c>
      <c r="F15" s="34">
        <f>E.1项目运营费用!F15</f>
        <v>2</v>
      </c>
      <c r="G15" s="34">
        <f>E.1项目运营费用!G15</f>
        <v>2</v>
      </c>
      <c r="H15" s="95">
        <v>0</v>
      </c>
      <c r="I15" s="85">
        <v>0</v>
      </c>
      <c r="J15" s="85">
        <v>0</v>
      </c>
      <c r="K15" s="34">
        <f>$E$15*$G$15*K3*(1-'G.2进项增值税率-运营成本'!$C$14)</f>
        <v>1.504</v>
      </c>
      <c r="L15" s="34">
        <f>$E$15*$G$15*L3*(1-'G.2进项增值税率-运营成本'!$C$14)</f>
        <v>1.88</v>
      </c>
      <c r="M15" s="34">
        <f>$E$15*$G$15*M3*(1-'G.2进项增值税率-运营成本'!$C$14)</f>
        <v>1.88</v>
      </c>
      <c r="N15" s="34">
        <f t="shared" si="0"/>
        <v>5.264</v>
      </c>
    </row>
    <row r="16" customHeight="1" spans="1:14">
      <c r="A16" s="7" t="s">
        <v>245</v>
      </c>
      <c r="B16" s="7">
        <f>E.1项目运营费用!B16</f>
        <v>13</v>
      </c>
      <c r="C16" s="31" t="str">
        <f>E.1项目运营费用!C16</f>
        <v>人员薪酬</v>
      </c>
      <c r="D16" s="31" t="str">
        <f>E.1项目运营费用!D16</f>
        <v>按岗位月薪 ×12 + 福利（月薪 ×20%-30%）</v>
      </c>
      <c r="E16" s="34">
        <f>E.1项目运营费用!E16</f>
        <v>1</v>
      </c>
      <c r="F16" s="34">
        <f>E.1项目运营费用!F16</f>
        <v>2</v>
      </c>
      <c r="G16" s="34">
        <f>E.1项目运营费用!G16</f>
        <v>2</v>
      </c>
      <c r="H16" s="95">
        <v>0</v>
      </c>
      <c r="I16" s="85">
        <v>0</v>
      </c>
      <c r="J16" s="85">
        <v>0</v>
      </c>
      <c r="K16" s="34">
        <f>$E$16*$G$16*K3*(1-'G.2进项增值税率-运营成本'!$C$15)</f>
        <v>1.6</v>
      </c>
      <c r="L16" s="34">
        <f>$E$16*$G$16*L3*(1-'G.2进项增值税率-运营成本'!$C$15)</f>
        <v>2</v>
      </c>
      <c r="M16" s="34">
        <f>$E$16*$G$16*M3*(1-'G.2进项增值税率-运营成本'!$C$15)</f>
        <v>2</v>
      </c>
      <c r="N16" s="34">
        <f t="shared" si="0"/>
        <v>5.6</v>
      </c>
    </row>
    <row r="17" customHeight="1" spans="1:14">
      <c r="A17" s="7"/>
      <c r="B17" s="7">
        <f>E.1项目运营费用!B17</f>
        <v>14</v>
      </c>
      <c r="C17" s="31" t="str">
        <f>E.1项目运营费用!C17</f>
        <v>培训与资质认证</v>
      </c>
      <c r="D17" s="31" t="str">
        <f>E.1项目运营费用!D17</f>
        <v>按人次 × 人均培训费（元 / 人 次）</v>
      </c>
      <c r="E17" s="34">
        <f>E.1项目运营费用!E17</f>
        <v>1</v>
      </c>
      <c r="F17" s="34">
        <f>E.1项目运营费用!F17</f>
        <v>2</v>
      </c>
      <c r="G17" s="34">
        <f>E.1项目运营费用!G17</f>
        <v>2</v>
      </c>
      <c r="H17" s="95">
        <v>0</v>
      </c>
      <c r="I17" s="85">
        <v>0</v>
      </c>
      <c r="J17" s="85">
        <v>0</v>
      </c>
      <c r="K17" s="34">
        <f>$E$17*$G$17*K3*(1-'G.2进项增值税率-运营成本'!$C$16)</f>
        <v>1.504</v>
      </c>
      <c r="L17" s="34">
        <f>$E$17*$G$17*L3*(1-'G.2进项增值税率-运营成本'!$C$16)</f>
        <v>1.88</v>
      </c>
      <c r="M17" s="34">
        <f>$E$17*$G$17*M3*(1-'G.2进项增值税率-运营成本'!$C$16)</f>
        <v>1.88</v>
      </c>
      <c r="N17" s="34">
        <f t="shared" si="0"/>
        <v>5.264</v>
      </c>
    </row>
    <row r="18" customHeight="1" spans="1:14">
      <c r="A18" s="7"/>
      <c r="B18" s="7">
        <f>E.1项目运营费用!B18</f>
        <v>15</v>
      </c>
      <c r="C18" s="31" t="str">
        <f>E.1项目运营费用!C18</f>
        <v>办公与行政支出</v>
      </c>
      <c r="D18" s="31" t="str">
        <f>E.1项目运营费用!D18</f>
        <v>按人员数量 × 人均办公费（元 / 人・月）</v>
      </c>
      <c r="E18" s="34">
        <f>E.1项目运营费用!E18</f>
        <v>1</v>
      </c>
      <c r="F18" s="34">
        <f>E.1项目运营费用!F18</f>
        <v>2</v>
      </c>
      <c r="G18" s="34">
        <f>E.1项目运营费用!G18</f>
        <v>2</v>
      </c>
      <c r="H18" s="95">
        <v>0</v>
      </c>
      <c r="I18" s="85">
        <v>0</v>
      </c>
      <c r="J18" s="85">
        <v>0</v>
      </c>
      <c r="K18" s="34">
        <f>$E$18*$G$18*K3*(1-'G.2进项增值税率-运营成本'!$C$17)</f>
        <v>1.392</v>
      </c>
      <c r="L18" s="34">
        <f>$E$18*$G$18*L3*(1-'G.2进项增值税率-运营成本'!$C$17)</f>
        <v>1.74</v>
      </c>
      <c r="M18" s="34">
        <f>$E$18*$G$18*M3*(1-'G.2进项增值税率-运营成本'!$C$17)</f>
        <v>1.74</v>
      </c>
      <c r="N18" s="34">
        <f t="shared" si="0"/>
        <v>4.872</v>
      </c>
    </row>
    <row r="19" customHeight="1" spans="1:14">
      <c r="A19" s="7" t="s">
        <v>252</v>
      </c>
      <c r="B19" s="7">
        <f>E.1项目运营费用!B19</f>
        <v>16</v>
      </c>
      <c r="C19" s="31" t="str">
        <f>E.1项目运营费用!C19</f>
        <v>空域使用审批费</v>
      </c>
      <c r="D19" s="31" t="str">
        <f>E.1项目运营费用!D19</f>
        <v>按空域面积 × 年费率（元 / 平方 公里・年）</v>
      </c>
      <c r="E19" s="34">
        <f>E.1项目运营费用!E19</f>
        <v>1</v>
      </c>
      <c r="F19" s="34">
        <f>E.1项目运营费用!F19</f>
        <v>2</v>
      </c>
      <c r="G19" s="34">
        <f>E.1项目运营费用!G19</f>
        <v>2</v>
      </c>
      <c r="H19" s="95">
        <v>0</v>
      </c>
      <c r="I19" s="85">
        <v>0</v>
      </c>
      <c r="J19" s="85">
        <v>0</v>
      </c>
      <c r="K19" s="34">
        <f>$E$19*$G$19*K3*(1-'G.2进项增值税率-运营成本'!$C$18)</f>
        <v>1.6</v>
      </c>
      <c r="L19" s="34">
        <f>$E$19*$G$19*L3*(1-'G.2进项增值税率-运营成本'!$C$18)</f>
        <v>2</v>
      </c>
      <c r="M19" s="34">
        <f>$E$19*$G$19*M3*(1-'G.2进项增值税率-运营成本'!$C$18)</f>
        <v>2</v>
      </c>
      <c r="N19" s="34">
        <f t="shared" si="0"/>
        <v>5.6</v>
      </c>
    </row>
    <row r="20" customHeight="1" spans="1:14">
      <c r="A20" s="7"/>
      <c r="B20" s="7">
        <f>E.1项目运营费用!B20</f>
        <v>17</v>
      </c>
      <c r="C20" s="31" t="str">
        <f>E.1项目运营费用!C20</f>
        <v>场地责任险</v>
      </c>
      <c r="D20" s="31" t="str">
        <f>E.1项目运营费用!D20</f>
        <v>按保额 × 保险费率（年费率 0.1%-0.3%）</v>
      </c>
      <c r="E20" s="34">
        <f>E.1项目运营费用!E20</f>
        <v>1</v>
      </c>
      <c r="F20" s="34">
        <f>E.1项目运营费用!F20</f>
        <v>2</v>
      </c>
      <c r="G20" s="34">
        <f>E.1项目运营费用!G20</f>
        <v>2</v>
      </c>
      <c r="H20" s="95">
        <v>0</v>
      </c>
      <c r="I20" s="85">
        <v>0</v>
      </c>
      <c r="J20" s="85">
        <v>0</v>
      </c>
      <c r="K20" s="34">
        <f>$E$20*$G$20*K3*(1-'G.2进项增值税率-运营成本'!$C$19)</f>
        <v>1.504</v>
      </c>
      <c r="L20" s="34">
        <f>$E$20*$G$20*L3*(1-'G.2进项增值税率-运营成本'!$C$19)</f>
        <v>1.88</v>
      </c>
      <c r="M20" s="34">
        <f>$E$20*$G$20*M3*(1-'G.2进项增值税率-运营成本'!$C$19)</f>
        <v>1.88</v>
      </c>
      <c r="N20" s="34">
        <f t="shared" si="0"/>
        <v>5.264</v>
      </c>
    </row>
    <row r="21" customHeight="1" spans="1:14">
      <c r="A21" s="7"/>
      <c r="B21" s="7">
        <f>E.1项目运营费用!B21</f>
        <v>18</v>
      </c>
      <c r="C21" s="31" t="str">
        <f>E.1项目运营费用!C21</f>
        <v>安全演练与应急处置</v>
      </c>
      <c r="D21" s="31" t="str">
        <f>E.1项目运营费用!D21</f>
        <v>按次数 × 单次演练成本（元 / 次）</v>
      </c>
      <c r="E21" s="34">
        <f>E.1项目运营费用!E21</f>
        <v>1</v>
      </c>
      <c r="F21" s="34">
        <f>E.1项目运营费用!F21</f>
        <v>2</v>
      </c>
      <c r="G21" s="34">
        <f>E.1项目运营费用!G21</f>
        <v>2</v>
      </c>
      <c r="H21" s="95">
        <v>0</v>
      </c>
      <c r="I21" s="85">
        <v>0</v>
      </c>
      <c r="J21" s="85">
        <v>0</v>
      </c>
      <c r="K21" s="34">
        <f>$E$21*$G$21*K3*(1-'G.2进项增值税率-运营成本'!$C$20)</f>
        <v>1.504</v>
      </c>
      <c r="L21" s="34">
        <f>$E$21*$G$21*L3*(1-'G.2进项增值税率-运营成本'!$C$20)</f>
        <v>1.88</v>
      </c>
      <c r="M21" s="34">
        <f>$E$21*$G$21*M3*(1-'G.2进项增值税率-运营成本'!$C$20)</f>
        <v>1.88</v>
      </c>
      <c r="N21" s="34">
        <f t="shared" si="0"/>
        <v>5.264</v>
      </c>
    </row>
    <row r="22" customHeight="1" spans="1:14">
      <c r="A22" s="7" t="s">
        <v>259</v>
      </c>
      <c r="B22" s="7">
        <f>E.1项目运营费用!B22</f>
        <v>19</v>
      </c>
      <c r="C22" s="31" t="str">
        <f>E.1项目运营费用!C22</f>
        <v>第三方安全评估</v>
      </c>
      <c r="D22" s="31" t="str">
        <f>E.1项目运营费用!D22</f>
        <v>按项目投资额 × 评估费率 （0.1%-0.3%）</v>
      </c>
      <c r="E22" s="34">
        <f>E.1项目运营费用!E22</f>
        <v>1</v>
      </c>
      <c r="F22" s="34">
        <f>E.1项目运营费用!F22</f>
        <v>2</v>
      </c>
      <c r="G22" s="34">
        <f>E.1项目运营费用!G22</f>
        <v>2</v>
      </c>
      <c r="H22" s="95">
        <v>0</v>
      </c>
      <c r="I22" s="85">
        <v>0</v>
      </c>
      <c r="J22" s="85">
        <v>0</v>
      </c>
      <c r="K22" s="34">
        <f>$E$22*$G$22*K3*(1-'G.2进项增值税率-运营成本'!$C$21)</f>
        <v>1.504</v>
      </c>
      <c r="L22" s="34">
        <f>$E$22*$G$22*L3*(1-'G.2进项增值税率-运营成本'!$C$21)</f>
        <v>1.88</v>
      </c>
      <c r="M22" s="34">
        <f>$E$22*$G$22*M3*(1-'G.2进项增值税率-运营成本'!$C$21)</f>
        <v>1.88</v>
      </c>
      <c r="N22" s="34">
        <f t="shared" si="0"/>
        <v>5.264</v>
      </c>
    </row>
    <row r="23" customHeight="1" spans="1:14">
      <c r="A23" s="7"/>
      <c r="B23" s="7">
        <f>E.1项目运营费用!B23</f>
        <v>20</v>
      </c>
      <c r="C23" s="31" t="str">
        <f>E.1项目运营费用!C23</f>
        <v>不可预见支出</v>
      </c>
      <c r="D23" s="31" t="str">
        <f>E.1项目运营费用!D23</f>
        <v>按年度总成本 × 计提比例 （5%-10%）</v>
      </c>
      <c r="E23" s="34">
        <f>E.1项目运营费用!E23</f>
        <v>1</v>
      </c>
      <c r="F23" s="34">
        <f>E.1项目运营费用!F23</f>
        <v>2</v>
      </c>
      <c r="G23" s="34">
        <f>E.1项目运营费用!G23</f>
        <v>2</v>
      </c>
      <c r="H23" s="95">
        <v>0</v>
      </c>
      <c r="I23" s="85">
        <v>0</v>
      </c>
      <c r="J23" s="85">
        <v>0</v>
      </c>
      <c r="K23" s="34">
        <f>$E$23*$G$23*K3*(1-'G.2进项增值税率-运营成本'!$C$22)</f>
        <v>1.6</v>
      </c>
      <c r="L23" s="34">
        <f>$E$23*$G$23*L3*(1-'G.2进项增值税率-运营成本'!$C$22)</f>
        <v>2</v>
      </c>
      <c r="M23" s="34">
        <f>$E$23*$G$23*M3*(1-'G.2进项增值税率-运营成本'!$C$22)</f>
        <v>2</v>
      </c>
      <c r="N23" s="34">
        <f t="shared" si="0"/>
        <v>5.6</v>
      </c>
    </row>
  </sheetData>
  <mergeCells count="15">
    <mergeCell ref="A1:N1"/>
    <mergeCell ref="H3:J3"/>
    <mergeCell ref="A2:A3"/>
    <mergeCell ref="A4:A7"/>
    <mergeCell ref="A8:A10"/>
    <mergeCell ref="A12:A13"/>
    <mergeCell ref="A16:A18"/>
    <mergeCell ref="A19:A21"/>
    <mergeCell ref="A22:A23"/>
    <mergeCell ref="B2:B3"/>
    <mergeCell ref="C2:C3"/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4" tint="-0.249977111117893"/>
  </sheetPr>
  <dimension ref="A1:I4"/>
  <sheetViews>
    <sheetView zoomScale="115" zoomScaleNormal="115" workbookViewId="0">
      <selection activeCell="G4" sqref="G4"/>
    </sheetView>
  </sheetViews>
  <sheetFormatPr defaultColWidth="8.88888888888889" defaultRowHeight="28.05" customHeight="1" outlineLevelRow="3"/>
  <cols>
    <col min="2" max="2" width="13.4444444444444" customWidth="1"/>
    <col min="3" max="3" width="23.8888888888889" customWidth="1"/>
    <col min="4" max="4" width="14.2222222222222" customWidth="1"/>
    <col min="5" max="5" width="17.5555555555556" customWidth="1"/>
    <col min="6" max="6" width="13.2222222222222" customWidth="1"/>
    <col min="7" max="7" width="14.2222222222222" customWidth="1"/>
    <col min="8" max="8" width="9.88888888888889"/>
    <col min="9" max="9" width="17.1111111111111"/>
  </cols>
  <sheetData>
    <row r="1" s="50" customFormat="1" customHeight="1" spans="1:9">
      <c r="A1" s="33" t="s">
        <v>267</v>
      </c>
      <c r="B1" s="33"/>
      <c r="C1" s="33"/>
      <c r="D1" s="33"/>
      <c r="E1" s="33"/>
      <c r="F1" s="33"/>
      <c r="G1" s="33"/>
      <c r="H1" s="33"/>
      <c r="I1" s="33"/>
    </row>
    <row r="2" s="50" customFormat="1" customHeight="1" spans="1:9">
      <c r="A2" s="89" t="s">
        <v>1</v>
      </c>
      <c r="B2" s="89" t="s">
        <v>159</v>
      </c>
      <c r="C2" s="89" t="s">
        <v>268</v>
      </c>
      <c r="D2" s="89" t="s">
        <v>269</v>
      </c>
      <c r="E2" s="89" t="s">
        <v>270</v>
      </c>
      <c r="F2" s="90" t="s">
        <v>271</v>
      </c>
      <c r="G2" s="90"/>
      <c r="H2" s="90"/>
      <c r="I2" s="91"/>
    </row>
    <row r="3" s="50" customFormat="1" ht="82.95" customHeight="1" spans="1:9">
      <c r="A3" s="7"/>
      <c r="B3" s="7"/>
      <c r="C3" s="31" t="s">
        <v>272</v>
      </c>
      <c r="D3" s="31" t="s">
        <v>273</v>
      </c>
      <c r="E3" s="31" t="s">
        <v>274</v>
      </c>
      <c r="F3" s="7">
        <v>2028</v>
      </c>
      <c r="G3" s="7">
        <v>2029</v>
      </c>
      <c r="H3" s="7" t="s">
        <v>56</v>
      </c>
      <c r="I3" s="7">
        <v>2045</v>
      </c>
    </row>
    <row r="4" s="50" customFormat="1" ht="61.05" customHeight="1" spans="1:9">
      <c r="A4" s="7">
        <v>1</v>
      </c>
      <c r="B4" s="7" t="s">
        <v>275</v>
      </c>
      <c r="C4" s="74">
        <f>E.4建设投资税后金额表!E4+E.4建设投资税后金额表!E9+E.4建设投资税后金额表!E13+E.4建设投资税后金额表!E19+c借款还本付息计划表!D24+c借款还本付息计划表!E24+c借款还本付息计划表!F24</f>
        <v>1698.99212646733</v>
      </c>
      <c r="D4" s="27">
        <f>1/A财务假设!$D$13*100%</f>
        <v>0.0555555555555556</v>
      </c>
      <c r="E4" s="74">
        <f>C4*(1-A财务假设!$D$12)*D4</f>
        <v>89.6690288968869</v>
      </c>
      <c r="F4" s="74">
        <f>C4-E4*(F3-2027)</f>
        <v>1609.32309757044</v>
      </c>
      <c r="G4" s="74">
        <f>C4-E4*(G3-2027)</f>
        <v>1519.65406867356</v>
      </c>
      <c r="H4" s="34" t="e">
        <f>C4-E4*(H3-2027)</f>
        <v>#VALUE!</v>
      </c>
      <c r="I4" s="34">
        <f>C4-E4*(I3-2027)</f>
        <v>84.9496063233669</v>
      </c>
    </row>
  </sheetData>
  <mergeCells count="2">
    <mergeCell ref="A1:I1"/>
    <mergeCell ref="F2:I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theme="4" tint="-0.249977111117893"/>
  </sheetPr>
  <dimension ref="A1:I11"/>
  <sheetViews>
    <sheetView zoomScale="85" zoomScaleNormal="85" workbookViewId="0">
      <selection activeCell="C8" sqref="C8"/>
    </sheetView>
  </sheetViews>
  <sheetFormatPr defaultColWidth="8.88888888888889" defaultRowHeight="28.05" customHeight="1"/>
  <cols>
    <col min="1" max="1" width="8.88888888888889" style="50"/>
    <col min="2" max="2" width="28.5555555555556" style="50" customWidth="1"/>
    <col min="3" max="3" width="33.8888888888889" style="50" customWidth="1"/>
    <col min="4" max="4" width="11.8888888888889" style="50" customWidth="1"/>
    <col min="5" max="5" width="15.7777777777778" style="50" customWidth="1"/>
    <col min="6" max="8" width="13.2222222222222" style="50" customWidth="1"/>
    <col min="9" max="9" width="13.1111111111111" style="50" customWidth="1"/>
    <col min="10" max="16384" width="8.88888888888889" style="50"/>
  </cols>
  <sheetData>
    <row r="1" customHeight="1" spans="1:9">
      <c r="A1" s="59" t="s">
        <v>276</v>
      </c>
      <c r="B1" s="59"/>
      <c r="C1" s="59"/>
      <c r="D1" s="59"/>
      <c r="E1" s="59"/>
      <c r="F1" s="59"/>
      <c r="G1" s="59"/>
      <c r="H1" s="59"/>
      <c r="I1" s="59"/>
    </row>
    <row r="2" customHeight="1" spans="1:9">
      <c r="A2" s="2" t="s">
        <v>1</v>
      </c>
      <c r="B2" s="2" t="s">
        <v>159</v>
      </c>
      <c r="C2" s="2" t="s">
        <v>268</v>
      </c>
      <c r="D2" s="2" t="s">
        <v>269</v>
      </c>
      <c r="E2" s="2" t="s">
        <v>270</v>
      </c>
      <c r="F2" s="2" t="s">
        <v>277</v>
      </c>
      <c r="G2" s="2"/>
      <c r="H2" s="2"/>
      <c r="I2" s="2"/>
    </row>
    <row r="3" ht="66" customHeight="1" spans="1:9">
      <c r="A3" s="7"/>
      <c r="B3" s="7"/>
      <c r="C3" s="31" t="s">
        <v>278</v>
      </c>
      <c r="D3" s="86" t="s">
        <v>279</v>
      </c>
      <c r="E3" s="31" t="s">
        <v>280</v>
      </c>
      <c r="F3" s="7">
        <v>2028</v>
      </c>
      <c r="G3" s="7">
        <v>2029</v>
      </c>
      <c r="H3" s="7" t="s">
        <v>56</v>
      </c>
      <c r="I3" s="7">
        <v>2045</v>
      </c>
    </row>
    <row r="4" customHeight="1" spans="1:9">
      <c r="A4" s="7">
        <v>1</v>
      </c>
      <c r="B4" s="7" t="s">
        <v>281</v>
      </c>
      <c r="C4" s="34">
        <f>SUM(C5:C7)</f>
        <v>16.6304892302555</v>
      </c>
      <c r="D4" s="87">
        <f>1/A财务假设!$D$13*100%</f>
        <v>0.0555555555555556</v>
      </c>
      <c r="E4" s="34">
        <f>SUM(E5:E7)</f>
        <v>0.923916068347526</v>
      </c>
      <c r="F4" s="74">
        <f>SUM(F5:F7)</f>
        <v>15.7065731619079</v>
      </c>
      <c r="G4" s="74">
        <f>SUM(G5:G7)</f>
        <v>14.7826570935604</v>
      </c>
      <c r="H4" s="74" t="e">
        <f>SUM(H5:H7)</f>
        <v>#VALUE!</v>
      </c>
      <c r="I4" s="74">
        <f>SUM(I5:I7)</f>
        <v>0</v>
      </c>
    </row>
    <row r="5" customHeight="1" spans="1:9">
      <c r="A5" s="7">
        <v>1.1</v>
      </c>
      <c r="B5" s="7" t="s">
        <v>282</v>
      </c>
      <c r="C5" s="35">
        <v>0</v>
      </c>
      <c r="D5" s="87">
        <f>1/A财务假设!$D$13*100%</f>
        <v>0.0555555555555556</v>
      </c>
      <c r="E5" s="34">
        <f>C5*D5</f>
        <v>0</v>
      </c>
      <c r="F5" s="34">
        <f>C5-E5*(F3-2027)</f>
        <v>0</v>
      </c>
      <c r="G5" s="34">
        <f>C5-E5*(G3-2027)</f>
        <v>0</v>
      </c>
      <c r="H5" s="74" t="e">
        <f>C5-E5*(H3-2027)</f>
        <v>#VALUE!</v>
      </c>
      <c r="I5" s="34">
        <f>C5-E5*(I3-2027)</f>
        <v>0</v>
      </c>
    </row>
    <row r="6" customHeight="1" spans="1:9">
      <c r="A6" s="7">
        <v>1.2</v>
      </c>
      <c r="B6" s="7" t="s">
        <v>283</v>
      </c>
      <c r="C6" s="35">
        <v>0</v>
      </c>
      <c r="D6" s="87">
        <f>1/A财务假设!$D$13*100%</f>
        <v>0.0555555555555556</v>
      </c>
      <c r="E6" s="34">
        <f>C6*D6</f>
        <v>0</v>
      </c>
      <c r="F6" s="34">
        <f>C6-E6*(F3-2027)</f>
        <v>0</v>
      </c>
      <c r="G6" s="34">
        <f>C6-E6*(G3-2027)</f>
        <v>0</v>
      </c>
      <c r="H6" s="74" t="e">
        <f>C6-E6*(H3-2027)</f>
        <v>#VALUE!</v>
      </c>
      <c r="I6" s="34">
        <f>C6-E6*(I3-2027)</f>
        <v>0</v>
      </c>
    </row>
    <row r="7" ht="51" customHeight="1" spans="1:9">
      <c r="A7" s="7">
        <v>1.3</v>
      </c>
      <c r="B7" s="88" t="s">
        <v>284</v>
      </c>
      <c r="C7" s="74">
        <f>E.4建设投资税后金额表!E10+E.4建设投资税后金额表!E11+E.4建设投资税后金额表!E12</f>
        <v>16.6304892302555</v>
      </c>
      <c r="D7" s="87">
        <f>1/A财务假设!$D$13*100%</f>
        <v>0.0555555555555556</v>
      </c>
      <c r="E7" s="34">
        <f>C7*D7</f>
        <v>0.923916068347526</v>
      </c>
      <c r="F7" s="34">
        <f>C7-E7*(F3-2027)</f>
        <v>15.7065731619079</v>
      </c>
      <c r="G7" s="34">
        <f>C7-E7*(G3-2027)</f>
        <v>14.7826570935604</v>
      </c>
      <c r="H7" s="74" t="e">
        <f>C7-E7*(H3-2027)</f>
        <v>#VALUE!</v>
      </c>
      <c r="I7" s="34">
        <f>C7-E7*(I3-2027)</f>
        <v>0</v>
      </c>
    </row>
    <row r="8" customHeight="1" spans="1:9">
      <c r="A8" s="7">
        <v>2</v>
      </c>
      <c r="B8" s="7" t="s">
        <v>285</v>
      </c>
      <c r="C8" s="34">
        <f>SUM(C9:C10)</f>
        <v>0.6048</v>
      </c>
      <c r="D8" s="87">
        <f>1/A财务假设!$D$13*100%</f>
        <v>0.0555555555555556</v>
      </c>
      <c r="E8" s="34">
        <f>SUM(E9:E10)</f>
        <v>0.0336</v>
      </c>
      <c r="F8" s="34">
        <f>SUM(F9:F10)</f>
        <v>0.5712</v>
      </c>
      <c r="G8" s="34">
        <f>SUM(G9:G10)</f>
        <v>0.5376</v>
      </c>
      <c r="H8" s="74" t="e">
        <f>SUM(H9:H10)</f>
        <v>#VALUE!</v>
      </c>
      <c r="I8" s="34">
        <f>SUM(I9:I10)</f>
        <v>0</v>
      </c>
    </row>
    <row r="9" customHeight="1" spans="1:9">
      <c r="A9" s="7">
        <v>2.1</v>
      </c>
      <c r="B9" s="7" t="s">
        <v>128</v>
      </c>
      <c r="C9" s="34">
        <f>c借款还本付息计划表!C27</f>
        <v>0.6048</v>
      </c>
      <c r="D9" s="87">
        <f>1/A财务假设!$D$13*100%</f>
        <v>0.0555555555555556</v>
      </c>
      <c r="E9" s="34">
        <f>C9*D9</f>
        <v>0.0336</v>
      </c>
      <c r="F9" s="34">
        <f>C9-E9*(F3-2027)</f>
        <v>0.5712</v>
      </c>
      <c r="G9" s="34">
        <f>C9-E9*(G3-2027)</f>
        <v>0.5376</v>
      </c>
      <c r="H9" s="74" t="e">
        <f>C9-E9*(H3-2027)</f>
        <v>#VALUE!</v>
      </c>
      <c r="I9" s="34">
        <f>C9-E9*(I3-2027)</f>
        <v>0</v>
      </c>
    </row>
    <row r="10" customHeight="1" spans="1:9">
      <c r="A10" s="7">
        <v>2.2</v>
      </c>
      <c r="B10" s="7" t="s">
        <v>286</v>
      </c>
      <c r="C10" s="35">
        <v>0</v>
      </c>
      <c r="D10" s="87">
        <f>1/A财务假设!$D$13*100%</f>
        <v>0.0555555555555556</v>
      </c>
      <c r="E10" s="34">
        <f>C10*D10</f>
        <v>0</v>
      </c>
      <c r="F10" s="34">
        <f>C10-E10*(F3-2027)</f>
        <v>0</v>
      </c>
      <c r="G10" s="34">
        <f>C10-E10*(G3-2027)</f>
        <v>0</v>
      </c>
      <c r="H10" s="74" t="e">
        <f>C10-E10*(H3-2027)</f>
        <v>#VALUE!</v>
      </c>
      <c r="I10" s="34">
        <f>C10-E10*(I3-20227)</f>
        <v>0</v>
      </c>
    </row>
    <row r="11" customHeight="1" spans="1:9">
      <c r="A11" s="83" t="s">
        <v>103</v>
      </c>
      <c r="B11" s="84"/>
      <c r="C11" s="34">
        <f>C4+C8</f>
        <v>17.2352892302555</v>
      </c>
      <c r="D11" s="36" t="s">
        <v>102</v>
      </c>
      <c r="E11" s="34">
        <f>E4+E8</f>
        <v>0.957516068347526</v>
      </c>
      <c r="F11" s="34">
        <f>F4+F8</f>
        <v>16.2777731619079</v>
      </c>
      <c r="G11" s="34">
        <f>G4+G8</f>
        <v>15.3202570935604</v>
      </c>
      <c r="H11" s="74" t="e">
        <f>H4+H8</f>
        <v>#VALUE!</v>
      </c>
      <c r="I11" s="34">
        <f>I4+I8</f>
        <v>0</v>
      </c>
    </row>
  </sheetData>
  <mergeCells count="3">
    <mergeCell ref="A1:I1"/>
    <mergeCell ref="F2:I2"/>
    <mergeCell ref="A11:B1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rgb="FFFFFF00"/>
  </sheetPr>
  <dimension ref="A1:E21"/>
  <sheetViews>
    <sheetView zoomScale="85" zoomScaleNormal="85" workbookViewId="0">
      <selection activeCell="E18" sqref="E18"/>
    </sheetView>
  </sheetViews>
  <sheetFormatPr defaultColWidth="8.88888888888889" defaultRowHeight="28.05" customHeight="1" outlineLevelCol="4"/>
  <cols>
    <col min="2" max="2" width="18.3333333333333" customWidth="1"/>
    <col min="3" max="3" width="12.6666666666667" customWidth="1"/>
    <col min="5" max="5" width="23.6666666666667" customWidth="1"/>
  </cols>
  <sheetData>
    <row r="1" s="50" customFormat="1" customHeight="1" spans="1:5">
      <c r="A1" s="33" t="s">
        <v>287</v>
      </c>
      <c r="B1" s="33"/>
      <c r="C1" s="33"/>
      <c r="D1" s="33"/>
      <c r="E1" s="33"/>
    </row>
    <row r="2" s="50" customFormat="1" customHeight="1" spans="1:5">
      <c r="A2" s="2" t="s">
        <v>1</v>
      </c>
      <c r="B2" s="2" t="s">
        <v>106</v>
      </c>
      <c r="C2" s="2" t="s">
        <v>108</v>
      </c>
      <c r="D2" s="2" t="s">
        <v>288</v>
      </c>
      <c r="E2" s="2" t="s">
        <v>289</v>
      </c>
    </row>
    <row r="3" s="50" customFormat="1" customHeight="1" spans="1:5">
      <c r="A3" s="7" t="s">
        <v>109</v>
      </c>
      <c r="B3" s="7" t="s">
        <v>110</v>
      </c>
      <c r="C3" s="34">
        <f>'G.1进项增值税率-建设投资'!D3</f>
        <v>1824</v>
      </c>
      <c r="D3" s="7" t="str">
        <f>'G.1进项增值税率-建设投资'!E3</f>
        <v>/</v>
      </c>
      <c r="E3" s="34">
        <f>E4+E8</f>
        <v>1653.83110626362</v>
      </c>
    </row>
    <row r="4" s="50" customFormat="1" customHeight="1" spans="1:5">
      <c r="A4" s="51">
        <v>1</v>
      </c>
      <c r="B4" s="51" t="s">
        <v>111</v>
      </c>
      <c r="C4" s="85">
        <f>'G.1进项增值税率-建设投资'!D4</f>
        <v>1800</v>
      </c>
      <c r="D4" s="51" t="str">
        <f>'G.1进项增值税率-建设投资'!E4</f>
        <v>/</v>
      </c>
      <c r="E4" s="85">
        <f>SUM(E5:E7)</f>
        <v>1631.89088252009</v>
      </c>
    </row>
    <row r="5" s="50" customFormat="1" customHeight="1" spans="1:5">
      <c r="A5" s="7">
        <v>1.1</v>
      </c>
      <c r="B5" s="7" t="s">
        <v>112</v>
      </c>
      <c r="C5" s="34">
        <f>'G.1进项增值税率-建设投资'!D5</f>
        <v>600</v>
      </c>
      <c r="D5" s="66">
        <f>'G.1进项增值税率-建设投资'!$E$5</f>
        <v>0.09</v>
      </c>
      <c r="E5" s="34">
        <f>C5/(1+'G.1进项增值税率-建设投资'!$E$5)</f>
        <v>550.45871559633</v>
      </c>
    </row>
    <row r="6" s="50" customFormat="1" customHeight="1" spans="1:5">
      <c r="A6" s="7">
        <v>1.2</v>
      </c>
      <c r="B6" s="7" t="s">
        <v>114</v>
      </c>
      <c r="C6" s="34">
        <f>'G.1进项增值税率-建设投资'!D6</f>
        <v>600</v>
      </c>
      <c r="D6" s="66">
        <f>'G.1进项增值税率-建设投资'!$E$6</f>
        <v>0.13</v>
      </c>
      <c r="E6" s="34">
        <f>C6/(1+'G.1进项增值税率-建设投资'!$E$6)</f>
        <v>530.973451327434</v>
      </c>
    </row>
    <row r="7" s="50" customFormat="1" customHeight="1" spans="1:5">
      <c r="A7" s="7">
        <v>1.3</v>
      </c>
      <c r="B7" s="7" t="s">
        <v>115</v>
      </c>
      <c r="C7" s="34">
        <f>'G.1进项增值税率-建设投资'!D7</f>
        <v>600</v>
      </c>
      <c r="D7" s="66">
        <f>'G.1进项增值税率-建设投资'!$E$7</f>
        <v>0.09</v>
      </c>
      <c r="E7" s="34">
        <f>C7/(1+'G.1进项增值税率-建设投资'!$E$7)</f>
        <v>550.45871559633</v>
      </c>
    </row>
    <row r="8" s="50" customFormat="1" customHeight="1" spans="1:5">
      <c r="A8" s="51">
        <v>2</v>
      </c>
      <c r="B8" s="51" t="s">
        <v>117</v>
      </c>
      <c r="C8" s="85">
        <f>'G.1进项增值税率-建设投资'!D8</f>
        <v>24</v>
      </c>
      <c r="D8" s="51" t="str">
        <f>'G.1进项增值税率-建设投资'!E8</f>
        <v>/</v>
      </c>
      <c r="E8" s="85">
        <f>SUM(E9:E12)</f>
        <v>21.9402237435298</v>
      </c>
    </row>
    <row r="9" s="50" customFormat="1" customHeight="1" spans="1:5">
      <c r="A9" s="7">
        <v>2.1</v>
      </c>
      <c r="B9" s="7" t="s">
        <v>118</v>
      </c>
      <c r="C9" s="34">
        <f>'G.1进项增值税率-建设投资'!D9</f>
        <v>6</v>
      </c>
      <c r="D9" s="66">
        <f>'G.1进项增值税率-建设投资'!$E$9</f>
        <v>0.13</v>
      </c>
      <c r="E9" s="34">
        <f>C9/(1+'G.1进项增值税率-建设投资'!$E$9)</f>
        <v>5.30973451327434</v>
      </c>
    </row>
    <row r="10" s="50" customFormat="1" customHeight="1" spans="1:5">
      <c r="A10" s="7">
        <v>2.2</v>
      </c>
      <c r="B10" s="7" t="s">
        <v>119</v>
      </c>
      <c r="C10" s="34">
        <f>'G.1进项增值税率-建设投资'!D10</f>
        <v>6</v>
      </c>
      <c r="D10" s="66">
        <f>'G.1进项增值税率-建设投资'!$E$10</f>
        <v>0.06</v>
      </c>
      <c r="E10" s="34">
        <f>C10/(1+'G.1进项增值税率-建设投资'!$E$10)</f>
        <v>5.66037735849057</v>
      </c>
    </row>
    <row r="11" s="50" customFormat="1" customHeight="1" spans="1:5">
      <c r="A11" s="7">
        <v>2.3</v>
      </c>
      <c r="B11" s="7" t="s">
        <v>120</v>
      </c>
      <c r="C11" s="34">
        <f>'G.1进项增值税率-建设投资'!D11</f>
        <v>6</v>
      </c>
      <c r="D11" s="66">
        <f>'G.1进项增值税率-建设投资'!$E$11</f>
        <v>0.13</v>
      </c>
      <c r="E11" s="34">
        <f>C11/(1+'G.1进项增值税率-建设投资'!$E$11)</f>
        <v>5.30973451327434</v>
      </c>
    </row>
    <row r="12" s="50" customFormat="1" customHeight="1" spans="1:5">
      <c r="A12" s="7">
        <v>2.4</v>
      </c>
      <c r="B12" s="7" t="s">
        <v>121</v>
      </c>
      <c r="C12" s="34">
        <f>'G.1进项增值税率-建设投资'!D12</f>
        <v>6</v>
      </c>
      <c r="D12" s="66">
        <f>'G.1进项增值税率-建设投资'!$E$12</f>
        <v>0.06</v>
      </c>
      <c r="E12" s="34">
        <f>C12/(1+'G.1进项增值税率-建设投资'!$E$12)</f>
        <v>5.66037735849057</v>
      </c>
    </row>
    <row r="13" s="50" customFormat="1" customHeight="1" spans="1:5">
      <c r="A13" s="51" t="s">
        <v>122</v>
      </c>
      <c r="B13" s="51" t="s">
        <v>123</v>
      </c>
      <c r="C13" s="85">
        <f>'G.1进项增值税率-建设投资'!D13</f>
        <v>24</v>
      </c>
      <c r="D13" s="51" t="str">
        <f>'G.1进项增值税率-建设投资'!E13</f>
        <v>/</v>
      </c>
      <c r="E13" s="85">
        <f>SUM(E14:E18)</f>
        <v>22.6415094339623</v>
      </c>
    </row>
    <row r="14" s="50" customFormat="1" customHeight="1" spans="1:5">
      <c r="A14" s="7">
        <v>1</v>
      </c>
      <c r="B14" s="7" t="s">
        <v>124</v>
      </c>
      <c r="C14" s="34">
        <f>'G.1进项增值税率-建设投资'!D14</f>
        <v>6</v>
      </c>
      <c r="D14" s="66">
        <f>'G.1进项增值税率-建设投资'!$E$14</f>
        <v>0.06</v>
      </c>
      <c r="E14" s="34">
        <f>C14/(1+'G.1进项增值税率-建设投资'!$E$14)</f>
        <v>5.66037735849057</v>
      </c>
    </row>
    <row r="15" s="50" customFormat="1" customHeight="1" spans="1:5">
      <c r="A15" s="7">
        <v>2</v>
      </c>
      <c r="B15" s="7" t="s">
        <v>125</v>
      </c>
      <c r="C15" s="34">
        <f>'G.1进项增值税率-建设投资'!D15</f>
        <v>6</v>
      </c>
      <c r="D15" s="66">
        <f>'G.1进项增值税率-建设投资'!$E$15</f>
        <v>0.06</v>
      </c>
      <c r="E15" s="34">
        <f>C15/(1+'G.1进项增值税率-建设投资'!$E$15)</f>
        <v>5.66037735849057</v>
      </c>
    </row>
    <row r="16" s="50" customFormat="1" customHeight="1" spans="1:5">
      <c r="A16" s="7">
        <v>3</v>
      </c>
      <c r="B16" s="7" t="s">
        <v>126</v>
      </c>
      <c r="C16" s="34">
        <f>'G.1进项增值税率-建设投资'!D16</f>
        <v>6</v>
      </c>
      <c r="D16" s="66">
        <f>'G.1进项增值税率-建设投资'!$E$16</f>
        <v>0.06</v>
      </c>
      <c r="E16" s="34">
        <f>C16/(1+'G.1进项增值税率-建设投资'!$E$16)</f>
        <v>5.66037735849057</v>
      </c>
    </row>
    <row r="17" s="50" customFormat="1" customHeight="1" spans="1:5">
      <c r="A17" s="7">
        <v>4</v>
      </c>
      <c r="B17" s="7" t="s">
        <v>127</v>
      </c>
      <c r="C17" s="34">
        <f>'G.1进项增值税率-建设投资'!D17</f>
        <v>6</v>
      </c>
      <c r="D17" s="66">
        <f>'G.1进项增值税率-建设投资'!$E$17</f>
        <v>0.06</v>
      </c>
      <c r="E17" s="34">
        <f>C17/(1+'G.1进项增值税率-建设投资'!$E$17)</f>
        <v>5.66037735849057</v>
      </c>
    </row>
    <row r="18" s="50" customFormat="1" customHeight="1" spans="1:5">
      <c r="A18" s="7">
        <v>5</v>
      </c>
      <c r="B18" s="7" t="s">
        <v>56</v>
      </c>
      <c r="C18" s="34">
        <f>'G.1进项增值税率-建设投资'!D18</f>
        <v>0</v>
      </c>
      <c r="D18" s="66">
        <f>'G.1进项增值税率-建设投资'!$E$18</f>
        <v>0.06</v>
      </c>
      <c r="E18" s="34">
        <f>C18/(1+'G.1进项增值税率-建设投资'!$E$18)</f>
        <v>0</v>
      </c>
    </row>
    <row r="19" s="50" customFormat="1" customHeight="1" spans="1:5">
      <c r="A19" s="51" t="s">
        <v>129</v>
      </c>
      <c r="B19" s="51" t="s">
        <v>130</v>
      </c>
      <c r="C19" s="85">
        <f>'G.1进项增值税率-建设投资'!D19</f>
        <v>6</v>
      </c>
      <c r="D19" s="51" t="str">
        <f>'G.1进项增值税率-建设投资'!E19</f>
        <v>/</v>
      </c>
      <c r="E19" s="85">
        <f>SUM(E20)</f>
        <v>6</v>
      </c>
    </row>
    <row r="20" s="50" customFormat="1" customHeight="1" spans="1:5">
      <c r="A20" s="7">
        <v>1</v>
      </c>
      <c r="B20" s="7" t="s">
        <v>131</v>
      </c>
      <c r="C20" s="34">
        <f>'G.1进项增值税率-建设投资'!D20</f>
        <v>6</v>
      </c>
      <c r="D20" s="66">
        <f>'G.1进项增值税率-建设投资'!$E$20</f>
        <v>0</v>
      </c>
      <c r="E20" s="34">
        <f>C20/(1+'G.1进项增值税率-建设投资'!$E$20)</f>
        <v>6</v>
      </c>
    </row>
    <row r="21" s="50" customFormat="1" customHeight="1" spans="1:5">
      <c r="A21" s="7"/>
      <c r="B21" s="7" t="s">
        <v>103</v>
      </c>
      <c r="C21" s="34">
        <f>C3+C13+C19</f>
        <v>1854</v>
      </c>
      <c r="D21" s="7" t="s">
        <v>102</v>
      </c>
      <c r="E21" s="34">
        <f>E3+E13+E19</f>
        <v>1682.47261569759</v>
      </c>
    </row>
  </sheetData>
  <mergeCells count="1">
    <mergeCell ref="A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rgb="FFFFFF00"/>
  </sheetPr>
  <dimension ref="A1:I12"/>
  <sheetViews>
    <sheetView zoomScale="115" zoomScaleNormal="115" workbookViewId="0">
      <selection activeCell="K9" sqref="K9"/>
    </sheetView>
  </sheetViews>
  <sheetFormatPr defaultColWidth="8.88888888888889" defaultRowHeight="28.05" customHeight="1"/>
  <cols>
    <col min="1" max="1" width="8.88888888888889" style="50"/>
    <col min="2" max="2" width="13" style="50" customWidth="1"/>
    <col min="3" max="3" width="12.2222222222222" style="50" customWidth="1"/>
    <col min="4" max="4" width="16.6666666666667" style="50" customWidth="1"/>
    <col min="5" max="5" width="26" style="50" customWidth="1"/>
    <col min="6" max="6" width="23.3333333333333" style="50" customWidth="1"/>
    <col min="7" max="7" width="14" style="50" customWidth="1"/>
    <col min="8" max="9" width="15.6666666666667" style="50"/>
    <col min="10" max="16384" width="8.88888888888889" style="50"/>
  </cols>
  <sheetData>
    <row r="1" customHeight="1" spans="1:9">
      <c r="A1" s="33" t="s">
        <v>290</v>
      </c>
      <c r="B1" s="33"/>
      <c r="C1" s="33"/>
      <c r="D1" s="33"/>
      <c r="E1" s="33"/>
      <c r="F1" s="33"/>
      <c r="G1" s="33"/>
      <c r="H1" s="33"/>
      <c r="I1" s="33"/>
    </row>
    <row r="2" customHeight="1" spans="1:9">
      <c r="A2" s="2" t="s">
        <v>1</v>
      </c>
      <c r="B2" s="2" t="s">
        <v>291</v>
      </c>
      <c r="C2" s="2" t="s">
        <v>292</v>
      </c>
      <c r="D2" s="2" t="s">
        <v>162</v>
      </c>
      <c r="E2" s="2" t="s">
        <v>293</v>
      </c>
      <c r="F2" s="2" t="s">
        <v>294</v>
      </c>
      <c r="G2" s="2" t="s">
        <v>295</v>
      </c>
      <c r="H2" s="2" t="s">
        <v>135</v>
      </c>
      <c r="I2" s="2" t="s">
        <v>296</v>
      </c>
    </row>
    <row r="3" customHeight="1" spans="1:9">
      <c r="A3" s="43">
        <v>1</v>
      </c>
      <c r="B3" s="43" t="s">
        <v>297</v>
      </c>
      <c r="C3" s="7" t="s">
        <v>298</v>
      </c>
      <c r="D3" s="51">
        <v>0</v>
      </c>
      <c r="E3" s="51">
        <v>0</v>
      </c>
      <c r="F3" s="51">
        <v>0</v>
      </c>
      <c r="G3" s="34">
        <f>F.1项目单项收入信息!K3</f>
        <v>160</v>
      </c>
      <c r="H3" s="34">
        <f>F.1项目单项收入信息!L3</f>
        <v>200</v>
      </c>
      <c r="I3" s="34">
        <f>F.1项目单项收入信息!M3</f>
        <v>200</v>
      </c>
    </row>
    <row r="4" customHeight="1" spans="1:9">
      <c r="A4" s="79"/>
      <c r="B4" s="79"/>
      <c r="C4" s="7" t="s">
        <v>299</v>
      </c>
      <c r="D4" s="51">
        <v>0</v>
      </c>
      <c r="E4" s="51">
        <v>0</v>
      </c>
      <c r="F4" s="51">
        <v>0</v>
      </c>
      <c r="G4" s="37">
        <f>G3/(1+G.3销项增值税率!$C$3)</f>
        <v>146.788990825688</v>
      </c>
      <c r="H4" s="37">
        <f>H3/(1+G.3销项增值税率!$C$3)</f>
        <v>183.48623853211</v>
      </c>
      <c r="I4" s="37">
        <f>I3/(1+G.3销项增值税率!$C$3)</f>
        <v>183.48623853211</v>
      </c>
    </row>
    <row r="5" customHeight="1" spans="1:9">
      <c r="A5" s="43">
        <v>2</v>
      </c>
      <c r="B5" s="43" t="s">
        <v>300</v>
      </c>
      <c r="C5" s="7" t="s">
        <v>298</v>
      </c>
      <c r="D5" s="51">
        <v>0</v>
      </c>
      <c r="E5" s="51">
        <v>0</v>
      </c>
      <c r="F5" s="51">
        <v>0</v>
      </c>
      <c r="G5" s="34">
        <f>F.1项目单项收入信息!K5</f>
        <v>280</v>
      </c>
      <c r="H5" s="34">
        <f>F.1项目单项收入信息!L5</f>
        <v>400</v>
      </c>
      <c r="I5" s="34">
        <f>F.1项目单项收入信息!M5</f>
        <v>400</v>
      </c>
    </row>
    <row r="6" customHeight="1" spans="1:9">
      <c r="A6" s="79"/>
      <c r="B6" s="79"/>
      <c r="C6" s="7" t="s">
        <v>299</v>
      </c>
      <c r="D6" s="51">
        <v>0</v>
      </c>
      <c r="E6" s="51">
        <v>0</v>
      </c>
      <c r="F6" s="51">
        <v>0</v>
      </c>
      <c r="G6" s="34">
        <f>G5/(1+G.3销项增值税率!$C$4)</f>
        <v>256.880733944954</v>
      </c>
      <c r="H6" s="34">
        <f>H5/(1+G.3销项增值税率!$C$4)</f>
        <v>366.97247706422</v>
      </c>
      <c r="I6" s="34">
        <f>I5/(1+G.3销项增值税率!$C$4)</f>
        <v>366.97247706422</v>
      </c>
    </row>
    <row r="7" customHeight="1" spans="1:9">
      <c r="A7" s="43">
        <v>3</v>
      </c>
      <c r="B7" s="43" t="s">
        <v>301</v>
      </c>
      <c r="C7" s="7" t="s">
        <v>298</v>
      </c>
      <c r="D7" s="51">
        <v>0</v>
      </c>
      <c r="E7" s="51">
        <v>0</v>
      </c>
      <c r="F7" s="51">
        <v>0</v>
      </c>
      <c r="G7" s="34">
        <f>F.1项目单项收入信息!K7</f>
        <v>1224</v>
      </c>
      <c r="H7" s="34">
        <f>F.1项目单项收入信息!L7</f>
        <v>1560.6</v>
      </c>
      <c r="I7" s="34">
        <f>F.1项目单项收入信息!M7</f>
        <v>1591.812</v>
      </c>
    </row>
    <row r="8" customHeight="1" spans="1:9">
      <c r="A8" s="79"/>
      <c r="B8" s="79"/>
      <c r="C8" s="7" t="s">
        <v>299</v>
      </c>
      <c r="D8" s="51">
        <v>0</v>
      </c>
      <c r="E8" s="51">
        <v>0</v>
      </c>
      <c r="F8" s="51">
        <v>0</v>
      </c>
      <c r="G8" s="34">
        <f>G7/(1+G.3销项增值税率!$C$5)</f>
        <v>1154.71698113208</v>
      </c>
      <c r="H8" s="34">
        <f>H7/(1+G.3销项增值税率!$C$5)</f>
        <v>1472.2641509434</v>
      </c>
      <c r="I8" s="34">
        <f>I7/(1+G.3销项增值税率!$C$5)</f>
        <v>1501.70943396226</v>
      </c>
    </row>
    <row r="9" customHeight="1" spans="1:9">
      <c r="A9" s="7">
        <v>4</v>
      </c>
      <c r="B9" s="7" t="s">
        <v>302</v>
      </c>
      <c r="C9" s="7"/>
      <c r="D9" s="51">
        <v>0</v>
      </c>
      <c r="E9" s="51">
        <v>0</v>
      </c>
      <c r="F9" s="51">
        <v>0</v>
      </c>
      <c r="G9" s="35">
        <v>1</v>
      </c>
      <c r="H9" s="35">
        <v>1</v>
      </c>
      <c r="I9" s="35">
        <v>1</v>
      </c>
    </row>
    <row r="10" customHeight="1" spans="1:9">
      <c r="A10" s="7">
        <v>5</v>
      </c>
      <c r="B10" s="82" t="s">
        <v>303</v>
      </c>
      <c r="C10" s="58"/>
      <c r="D10" s="51">
        <v>0</v>
      </c>
      <c r="E10" s="51">
        <v>0</v>
      </c>
      <c r="F10" s="51">
        <v>0</v>
      </c>
      <c r="G10" s="34">
        <f>G3+G5+G7+G9</f>
        <v>1665</v>
      </c>
      <c r="H10" s="34">
        <f>H3+H5+H7+H9</f>
        <v>2161.6</v>
      </c>
      <c r="I10" s="34">
        <f>I3+I5+I7+I9</f>
        <v>2192.812</v>
      </c>
    </row>
    <row r="11" customHeight="1" spans="1:9">
      <c r="A11" s="7">
        <v>6</v>
      </c>
      <c r="B11" s="83" t="s">
        <v>304</v>
      </c>
      <c r="C11" s="84"/>
      <c r="D11" s="51">
        <v>0</v>
      </c>
      <c r="E11" s="51">
        <v>0</v>
      </c>
      <c r="F11" s="51">
        <v>0</v>
      </c>
      <c r="G11" s="34">
        <f>G4+G6+G8+G9</f>
        <v>1559.38670590272</v>
      </c>
      <c r="H11" s="34">
        <f>H4+H6+H8+H9</f>
        <v>2023.72286653973</v>
      </c>
      <c r="I11" s="34">
        <f>I4+I6+I8+I9</f>
        <v>2053.16814955859</v>
      </c>
    </row>
    <row r="12" customHeight="1" spans="1:9">
      <c r="A12" s="28" t="s">
        <v>305</v>
      </c>
      <c r="B12" s="28"/>
      <c r="C12" s="28"/>
      <c r="D12" s="28"/>
      <c r="E12" s="28"/>
      <c r="F12" s="28"/>
      <c r="G12" s="28"/>
      <c r="H12" s="28"/>
      <c r="I12" s="28"/>
    </row>
  </sheetData>
  <mergeCells count="10">
    <mergeCell ref="A1:I1"/>
    <mergeCell ref="B10:C10"/>
    <mergeCell ref="B11:C11"/>
    <mergeCell ref="A12:I12"/>
    <mergeCell ref="A3:A4"/>
    <mergeCell ref="A5:A6"/>
    <mergeCell ref="A7:A8"/>
    <mergeCell ref="B3:B4"/>
    <mergeCell ref="B5:B6"/>
    <mergeCell ref="B7:B8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rgb="FFFFFF00"/>
  </sheetPr>
  <dimension ref="A1:M9"/>
  <sheetViews>
    <sheetView zoomScale="85" zoomScaleNormal="85" workbookViewId="0">
      <selection activeCell="P9" sqref="P9"/>
    </sheetView>
  </sheetViews>
  <sheetFormatPr defaultColWidth="8.88888888888889" defaultRowHeight="28.05" customHeight="1"/>
  <cols>
    <col min="2" max="2" width="12" customWidth="1"/>
    <col min="3" max="3" width="10.4444444444444" customWidth="1"/>
    <col min="4" max="4" width="16.7777777777778" customWidth="1"/>
    <col min="5" max="5" width="22.2222222222222" customWidth="1"/>
    <col min="6" max="6" width="15.4444444444444" customWidth="1"/>
    <col min="7" max="7" width="9.22222222222222" customWidth="1"/>
    <col min="8" max="8" width="18.7777777777778" customWidth="1"/>
    <col min="9" max="9" width="22.2222222222222" customWidth="1"/>
    <col min="10" max="10" width="19.5555555555556" customWidth="1"/>
    <col min="11" max="11" width="16.1111111111111" customWidth="1"/>
    <col min="12" max="12" width="14.2222222222222" customWidth="1"/>
    <col min="13" max="13" width="17.3333333333333" customWidth="1"/>
  </cols>
  <sheetData>
    <row r="1" customHeight="1" spans="1:13">
      <c r="A1" s="70" t="s">
        <v>306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</row>
    <row r="2" customHeight="1" spans="1:13">
      <c r="A2" s="2" t="s">
        <v>1</v>
      </c>
      <c r="B2" s="2" t="s">
        <v>291</v>
      </c>
      <c r="C2" s="2" t="s">
        <v>208</v>
      </c>
      <c r="D2" s="2" t="s">
        <v>307</v>
      </c>
      <c r="E2" s="2" t="s">
        <v>265</v>
      </c>
      <c r="F2" s="2" t="s">
        <v>308</v>
      </c>
      <c r="G2" s="2" t="s">
        <v>309</v>
      </c>
      <c r="H2" s="2" t="s">
        <v>162</v>
      </c>
      <c r="I2" s="2" t="s">
        <v>293</v>
      </c>
      <c r="J2" s="2" t="s">
        <v>310</v>
      </c>
      <c r="K2" s="2" t="s">
        <v>211</v>
      </c>
      <c r="L2" s="2" t="s">
        <v>311</v>
      </c>
      <c r="M2" s="2" t="s">
        <v>213</v>
      </c>
    </row>
    <row r="3" customHeight="1" spans="1:13">
      <c r="A3" s="7">
        <v>1</v>
      </c>
      <c r="B3" s="43" t="s">
        <v>297</v>
      </c>
      <c r="C3" s="20">
        <v>2</v>
      </c>
      <c r="D3" s="35">
        <v>100</v>
      </c>
      <c r="E3" s="34">
        <f>D3*(1+A财务假设!$D$21)</f>
        <v>100</v>
      </c>
      <c r="F3" s="77" t="s">
        <v>312</v>
      </c>
      <c r="G3" s="20">
        <v>0</v>
      </c>
      <c r="H3" s="78">
        <v>0</v>
      </c>
      <c r="I3" s="81">
        <v>0</v>
      </c>
      <c r="J3" s="81">
        <v>0</v>
      </c>
      <c r="K3" s="34">
        <f>$C$3*$E$3*K4</f>
        <v>160</v>
      </c>
      <c r="L3" s="34">
        <f>$C$3*$E$3*L4</f>
        <v>200</v>
      </c>
      <c r="M3" s="34">
        <f>$C$3*$E$3*M4</f>
        <v>200</v>
      </c>
    </row>
    <row r="4" customHeight="1" spans="1:13">
      <c r="A4" s="7"/>
      <c r="B4" s="79"/>
      <c r="C4" s="7" t="s">
        <v>313</v>
      </c>
      <c r="D4" s="7"/>
      <c r="E4" s="7"/>
      <c r="F4" s="7"/>
      <c r="G4" s="7"/>
      <c r="H4" s="80">
        <v>0</v>
      </c>
      <c r="I4" s="51">
        <v>0</v>
      </c>
      <c r="J4" s="51">
        <v>0</v>
      </c>
      <c r="K4" s="66">
        <v>0.8</v>
      </c>
      <c r="L4" s="66">
        <v>1</v>
      </c>
      <c r="M4" s="66">
        <v>1</v>
      </c>
    </row>
    <row r="5" customHeight="1" spans="1:13">
      <c r="A5" s="7">
        <v>2</v>
      </c>
      <c r="B5" s="43" t="s">
        <v>300</v>
      </c>
      <c r="C5" s="20">
        <v>2</v>
      </c>
      <c r="D5" s="35">
        <v>200</v>
      </c>
      <c r="E5" s="34">
        <f>D5*(1+A财务假设!$D$21)</f>
        <v>200</v>
      </c>
      <c r="F5" s="77" t="s">
        <v>312</v>
      </c>
      <c r="G5" s="20">
        <v>0</v>
      </c>
      <c r="H5" s="80">
        <f>C5*D5*H6</f>
        <v>0</v>
      </c>
      <c r="I5" s="81">
        <v>0</v>
      </c>
      <c r="J5" s="81">
        <v>0</v>
      </c>
      <c r="K5" s="34">
        <f>$C$5*$E$5*K6</f>
        <v>280</v>
      </c>
      <c r="L5" s="34">
        <f>$C$5*$E$5*L6</f>
        <v>400</v>
      </c>
      <c r="M5" s="34">
        <f>$C$5*$E$5*M6</f>
        <v>400</v>
      </c>
    </row>
    <row r="6" customHeight="1" spans="1:13">
      <c r="A6" s="7"/>
      <c r="B6" s="79"/>
      <c r="C6" s="7" t="s">
        <v>313</v>
      </c>
      <c r="D6" s="7"/>
      <c r="E6" s="7"/>
      <c r="F6" s="7"/>
      <c r="G6" s="7"/>
      <c r="H6" s="80">
        <v>0</v>
      </c>
      <c r="I6" s="81">
        <v>0</v>
      </c>
      <c r="J6" s="81">
        <v>0</v>
      </c>
      <c r="K6" s="66">
        <v>0.7</v>
      </c>
      <c r="L6" s="66">
        <v>1</v>
      </c>
      <c r="M6" s="66">
        <v>1</v>
      </c>
    </row>
    <row r="7" customHeight="1" spans="1:13">
      <c r="A7" s="7">
        <v>3</v>
      </c>
      <c r="B7" s="43" t="s">
        <v>301</v>
      </c>
      <c r="C7" s="20">
        <v>5</v>
      </c>
      <c r="D7" s="35">
        <v>300</v>
      </c>
      <c r="E7" s="34">
        <f>D7*(1+A财务假设!$D$21)</f>
        <v>300</v>
      </c>
      <c r="F7" s="77" t="s">
        <v>314</v>
      </c>
      <c r="G7" s="66">
        <v>0.02</v>
      </c>
      <c r="H7" s="80">
        <f>C7*D7*H8</f>
        <v>0</v>
      </c>
      <c r="I7" s="81">
        <v>0</v>
      </c>
      <c r="J7" s="81">
        <v>0</v>
      </c>
      <c r="K7" s="34">
        <f>K8*$C$7*E7*POWER(1+$G$7,COLUMN()-10)</f>
        <v>1224</v>
      </c>
      <c r="L7" s="34">
        <f>L8*$C$7*$E$7*POWER(1+$G$7,COLUMN()-10)</f>
        <v>1560.6</v>
      </c>
      <c r="M7" s="34">
        <f>M8*$C$7*$E$7*POWER(1+$G$7,COLUMN()-10)</f>
        <v>1591.812</v>
      </c>
    </row>
    <row r="8" customHeight="1" spans="1:13">
      <c r="A8" s="7"/>
      <c r="B8" s="79"/>
      <c r="C8" s="7" t="s">
        <v>313</v>
      </c>
      <c r="D8" s="7"/>
      <c r="E8" s="7"/>
      <c r="F8" s="7"/>
      <c r="G8" s="7"/>
      <c r="H8" s="80">
        <v>0</v>
      </c>
      <c r="I8" s="81">
        <v>0</v>
      </c>
      <c r="J8" s="81">
        <v>0</v>
      </c>
      <c r="K8" s="66">
        <v>0.8</v>
      </c>
      <c r="L8" s="66">
        <v>1</v>
      </c>
      <c r="M8" s="66">
        <v>1</v>
      </c>
    </row>
    <row r="9" customHeight="1" spans="1:13">
      <c r="A9" s="7" t="s">
        <v>135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</sheetData>
  <mergeCells count="10">
    <mergeCell ref="A1:M1"/>
    <mergeCell ref="C4:G4"/>
    <mergeCell ref="C6:G6"/>
    <mergeCell ref="C8:G8"/>
    <mergeCell ref="A3:A4"/>
    <mergeCell ref="A5:A6"/>
    <mergeCell ref="A7:A8"/>
    <mergeCell ref="B3:B4"/>
    <mergeCell ref="B5:B6"/>
    <mergeCell ref="B7:B8"/>
  </mergeCells>
  <dataValidations count="2">
    <dataValidation type="list" allowBlank="1" showInputMessage="1" showErrorMessage="1" sqref="F3">
      <formula1>"不增长,每2年增长,每3年增长,每5年增长,自定义增长"</formula1>
    </dataValidation>
    <dataValidation type="list" allowBlank="1" showInputMessage="1" showErrorMessage="1" sqref="F5 F7">
      <formula1>"不增长,每年增长,每2年增长,每3年增长,每5年增长,自定义增长"</formula1>
    </dataValidation>
  </dataValidations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tabColor theme="4" tint="-0.249977111117893"/>
  </sheetPr>
  <dimension ref="A1:I31"/>
  <sheetViews>
    <sheetView zoomScale="85" zoomScaleNormal="85" workbookViewId="0">
      <selection activeCell="A26" sqref="$A26:$XFD28"/>
    </sheetView>
  </sheetViews>
  <sheetFormatPr defaultColWidth="8.88888888888889" defaultRowHeight="28.05" customHeight="1"/>
  <cols>
    <col min="1" max="1" width="13.1111111111111" customWidth="1"/>
    <col min="2" max="2" width="33.2222222222222" customWidth="1"/>
    <col min="3" max="3" width="25.7777777777778" customWidth="1"/>
    <col min="4" max="4" width="14.7777777777778" customWidth="1"/>
    <col min="5" max="5" width="13.8888888888889" customWidth="1"/>
    <col min="6" max="6" width="14.7777777777778" customWidth="1"/>
    <col min="7" max="7" width="17.1111111111111"/>
    <col min="8" max="9" width="15.6666666666667"/>
  </cols>
  <sheetData>
    <row r="1" customHeight="1" spans="1:9">
      <c r="A1" s="70" t="s">
        <v>315</v>
      </c>
      <c r="B1" s="71"/>
      <c r="C1" s="71"/>
      <c r="D1" s="71"/>
      <c r="E1" s="71"/>
      <c r="F1" s="71"/>
      <c r="G1" s="71"/>
      <c r="H1" s="71"/>
      <c r="I1" s="72"/>
    </row>
    <row r="2" ht="54" customHeight="1" spans="1:9">
      <c r="A2" s="2" t="s">
        <v>1</v>
      </c>
      <c r="B2" s="2" t="s">
        <v>134</v>
      </c>
      <c r="C2" s="2" t="s">
        <v>316</v>
      </c>
      <c r="D2" s="19" t="s">
        <v>317</v>
      </c>
      <c r="E2" s="19" t="s">
        <v>318</v>
      </c>
      <c r="F2" s="19" t="s">
        <v>319</v>
      </c>
      <c r="G2" s="2">
        <v>2028</v>
      </c>
      <c r="H2" s="2" t="s">
        <v>56</v>
      </c>
      <c r="I2" s="2">
        <v>2045</v>
      </c>
    </row>
    <row r="3" ht="46.95" customHeight="1" spans="1:9">
      <c r="A3" s="7"/>
      <c r="B3" s="7"/>
      <c r="C3" s="31" t="s">
        <v>320</v>
      </c>
      <c r="D3" s="36">
        <f>'G.1进项增值税率-建设投资'!F21</f>
        <v>189.72</v>
      </c>
      <c r="E3" s="36">
        <f>IF(D29=0,ABS(D25-D4-D3),0)</f>
        <v>189.72</v>
      </c>
      <c r="F3" s="36">
        <f>IF(E29=0,ABS(E25-E4-E3),0)</f>
        <v>189.72</v>
      </c>
      <c r="G3" s="37">
        <f>IF(F29=0,ABS(F25-F4-F3),0)</f>
        <v>189.72</v>
      </c>
      <c r="H3" s="37">
        <f>IF(G29=0,ABS(G25-G4-G3),0)</f>
        <v>86.2384844998706</v>
      </c>
      <c r="I3" s="37">
        <f>IF(H29=0,ABS(H25-H4-H3),0)</f>
        <v>0</v>
      </c>
    </row>
    <row r="4" ht="31.95" customHeight="1" spans="1:9">
      <c r="A4" s="7">
        <v>1</v>
      </c>
      <c r="B4" s="7" t="s">
        <v>321</v>
      </c>
      <c r="C4" s="7"/>
      <c r="D4" s="75">
        <v>0</v>
      </c>
      <c r="E4" s="75">
        <v>0</v>
      </c>
      <c r="F4" s="75">
        <v>0</v>
      </c>
      <c r="G4" s="34">
        <f>SUM(G5:G24)</f>
        <v>2.13177859715288</v>
      </c>
      <c r="H4" s="34">
        <f>SUM(H5:H24)</f>
        <v>2.6647232464411</v>
      </c>
      <c r="I4" s="34">
        <f>SUM(I5:I24)</f>
        <v>2.6647232464411</v>
      </c>
    </row>
    <row r="5" ht="31.05" hidden="1" customHeight="1" spans="1:9">
      <c r="A5" s="7"/>
      <c r="B5" s="7"/>
      <c r="C5" s="7"/>
      <c r="D5" s="76"/>
      <c r="E5" s="75">
        <v>0</v>
      </c>
      <c r="F5" s="75">
        <v>0</v>
      </c>
      <c r="G5" s="74">
        <f>E.1项目运营费用!K4*'G.2进项增值税率-运营成本'!C3/(1+'G.2进项增值税率-运营成本'!C3)</f>
        <v>0.132110091743119</v>
      </c>
      <c r="H5" s="74">
        <f>E.1项目运营费用!L4*'G.2进项增值税率-运营成本'!C3/(1+'G.2进项增值税率-运营成本'!C3)</f>
        <v>0.165137614678899</v>
      </c>
      <c r="I5" s="74">
        <f>E.1项目运营费用!M4*'G.2进项增值税率-运营成本'!C3/(1+'G.2进项增值税率-运营成本'!C3)</f>
        <v>0.165137614678899</v>
      </c>
    </row>
    <row r="6" ht="31.05" hidden="1" customHeight="1" spans="1:9">
      <c r="A6" s="7"/>
      <c r="B6" s="7"/>
      <c r="C6" s="7"/>
      <c r="D6" s="76"/>
      <c r="E6" s="75">
        <v>0</v>
      </c>
      <c r="F6" s="75">
        <v>0</v>
      </c>
      <c r="G6" s="74">
        <f>E.1项目运营费用!K5*'G.2进项增值税率-运营成本'!C4/(1+'G.2进项增值税率-运营成本'!C4)</f>
        <v>0.0905660377358491</v>
      </c>
      <c r="H6" s="74">
        <f>E.1项目运营费用!L5*'G.2进项增值税率-运营成本'!C4/(1+'G.2进项增值税率-运营成本'!C4)</f>
        <v>0.113207547169811</v>
      </c>
      <c r="I6" s="74">
        <f>E.1项目运营费用!M5*'G.2进项增值税率-运营成本'!C4/(1+'G.2进项增值税率-运营成本'!C4)</f>
        <v>0.113207547169811</v>
      </c>
    </row>
    <row r="7" ht="31.05" hidden="1" customHeight="1" spans="1:9">
      <c r="A7" s="7"/>
      <c r="B7" s="7"/>
      <c r="C7" s="7"/>
      <c r="D7" s="76"/>
      <c r="E7" s="75">
        <v>0</v>
      </c>
      <c r="F7" s="75">
        <v>0</v>
      </c>
      <c r="G7" s="74">
        <f>E.1项目运营费用!K6*'G.2进项增值税率-运营成本'!C5/(1+'G.2进项增值税率-运营成本'!C5)</f>
        <v>0.0905660377358491</v>
      </c>
      <c r="H7" s="74">
        <f>E.1项目运营费用!L6*'G.2进项增值税率-运营成本'!C5/(1+'G.2进项增值税率-运营成本'!C5)</f>
        <v>0.113207547169811</v>
      </c>
      <c r="I7" s="74">
        <f>E.1项目运营费用!M6*'G.2进项增值税率-运营成本'!C5/(1+'G.2进项增值税率-运营成本'!C5)</f>
        <v>0.113207547169811</v>
      </c>
    </row>
    <row r="8" ht="31.05" hidden="1" customHeight="1" spans="1:9">
      <c r="A8" s="7"/>
      <c r="B8" s="7"/>
      <c r="C8" s="7"/>
      <c r="D8" s="76"/>
      <c r="E8" s="75">
        <v>0</v>
      </c>
      <c r="F8" s="75">
        <v>0</v>
      </c>
      <c r="G8" s="74">
        <f>E.1项目运营费用!K7*'G.2进项增值税率-运营成本'!C6/(1+'G.2进项增值税率-运营成本'!C6)</f>
        <v>0.0905660377358491</v>
      </c>
      <c r="H8" s="74">
        <f>E.1项目运营费用!L7*'G.2进项增值税率-运营成本'!C6/(1+'G.2进项增值税率-运营成本'!C6)</f>
        <v>0.113207547169811</v>
      </c>
      <c r="I8" s="74">
        <f>E.1项目运营费用!M7*'G.2进项增值税率-运营成本'!C6/(1+'G.2进项增值税率-运营成本'!C6)</f>
        <v>0.113207547169811</v>
      </c>
    </row>
    <row r="9" ht="31.05" hidden="1" customHeight="1" spans="1:9">
      <c r="A9" s="7"/>
      <c r="B9" s="7"/>
      <c r="C9" s="7"/>
      <c r="D9" s="76"/>
      <c r="E9" s="75">
        <v>0</v>
      </c>
      <c r="F9" s="75">
        <v>0</v>
      </c>
      <c r="G9" s="74">
        <f>E.1项目运营费用!K8*'G.2进项增值税率-运营成本'!C7/(1+'G.2进项增值税率-运营成本'!C7)</f>
        <v>0.184070796460177</v>
      </c>
      <c r="H9" s="74">
        <f>E.1项目运营费用!L8*'G.2进项增值税率-运营成本'!C7/(1+'G.2进项增值税率-运营成本'!C7)</f>
        <v>0.230088495575221</v>
      </c>
      <c r="I9" s="74">
        <f>E.1项目运营费用!M8*'G.2进项增值税率-运营成本'!C7/(1+'G.2进项增值税率-运营成本'!C7)</f>
        <v>0.230088495575221</v>
      </c>
    </row>
    <row r="10" ht="31.05" hidden="1" customHeight="1" spans="1:9">
      <c r="A10" s="7"/>
      <c r="B10" s="7"/>
      <c r="C10" s="7"/>
      <c r="D10" s="76"/>
      <c r="E10" s="75">
        <v>0</v>
      </c>
      <c r="F10" s="75">
        <v>0</v>
      </c>
      <c r="G10" s="74">
        <f>E.1项目运营费用!K9*'G.2进项增值税率-运营成本'!C8/(1+'G.2进项增值税率-运营成本'!C8)</f>
        <v>0.184070796460177</v>
      </c>
      <c r="H10" s="74">
        <f>E.1项目运营费用!L9*'G.2进项增值税率-运营成本'!C8/(1+'G.2进项增值税率-运营成本'!C8)</f>
        <v>0.230088495575221</v>
      </c>
      <c r="I10" s="74">
        <f>E.1项目运营费用!M9*'G.2进项增值税率-运营成本'!C8/(1+'G.2进项增值税率-运营成本'!C8)</f>
        <v>0.230088495575221</v>
      </c>
    </row>
    <row r="11" ht="31.05" hidden="1" customHeight="1" spans="1:9">
      <c r="A11" s="7"/>
      <c r="B11" s="7"/>
      <c r="C11" s="7"/>
      <c r="D11" s="76"/>
      <c r="E11" s="75">
        <v>0</v>
      </c>
      <c r="F11" s="75">
        <v>0</v>
      </c>
      <c r="G11" s="74">
        <f>E.1项目运营费用!K10*'G.2进项增值税率-运营成本'!C9/(1+'G.2进项增值税率-运营成本'!C9)</f>
        <v>0.132110091743119</v>
      </c>
      <c r="H11" s="74">
        <f>E.1项目运营费用!L10*'G.2进项增值税率-运营成本'!C9/(1+'G.2进项增值税率-运营成本'!C9)</f>
        <v>0.165137614678899</v>
      </c>
      <c r="I11" s="74">
        <f>E.1项目运营费用!M10*'G.2进项增值税率-运营成本'!C9/(1+'G.2进项增值税率-运营成本'!C9)</f>
        <v>0.165137614678899</v>
      </c>
    </row>
    <row r="12" ht="31.05" hidden="1" customHeight="1" spans="1:9">
      <c r="A12" s="7"/>
      <c r="B12" s="7"/>
      <c r="C12" s="7"/>
      <c r="D12" s="76"/>
      <c r="E12" s="75">
        <v>0</v>
      </c>
      <c r="F12" s="75">
        <v>0</v>
      </c>
      <c r="G12" s="74">
        <f>E.1项目运营费用!K11*'G.2进项增值税率-运营成本'!C10/(1+'G.2进项增值税率-运营成本'!C10)</f>
        <v>0.132110091743119</v>
      </c>
      <c r="H12" s="74">
        <f>E.1项目运营费用!L11*'G.2进项增值税率-运营成本'!C10/(1+'G.2进项增值税率-运营成本'!C10)</f>
        <v>0.165137614678899</v>
      </c>
      <c r="I12" s="74">
        <f>E.1项目运营费用!M11*'G.2进项增值税率-运营成本'!C10/(1+'G.2进项增值税率-运营成本'!C10)</f>
        <v>0.165137614678899</v>
      </c>
    </row>
    <row r="13" ht="31.05" hidden="1" customHeight="1" spans="1:9">
      <c r="A13" s="7"/>
      <c r="B13" s="7"/>
      <c r="C13" s="7"/>
      <c r="D13" s="76"/>
      <c r="E13" s="75">
        <v>0</v>
      </c>
      <c r="F13" s="75">
        <v>0</v>
      </c>
      <c r="G13" s="74">
        <f>E.1项目运营费用!K12*'G.2进项增值税率-运营成本'!C11/(1+'G.2进项增值税率-运营成本'!C11)</f>
        <v>0.184070796460177</v>
      </c>
      <c r="H13" s="74">
        <f>E.1项目运营费用!L12*'G.2进项增值税率-运营成本'!C11/(1+'G.2进项增值税率-运营成本'!C11)</f>
        <v>0.230088495575221</v>
      </c>
      <c r="I13" s="74">
        <f>E.1项目运营费用!M12*'G.2进项增值税率-运营成本'!C11/(1+'G.2进项增值税率-运营成本'!C11)</f>
        <v>0.230088495575221</v>
      </c>
    </row>
    <row r="14" ht="31.05" hidden="1" customHeight="1" spans="1:9">
      <c r="A14" s="7"/>
      <c r="B14" s="7"/>
      <c r="C14" s="7"/>
      <c r="D14" s="76"/>
      <c r="E14" s="75">
        <v>0</v>
      </c>
      <c r="F14" s="75">
        <v>0</v>
      </c>
      <c r="G14" s="74">
        <f>E.1项目运营费用!K13*'G.2进项增值税率-运营成本'!C12/(1+'G.2进项增值税率-运营成本'!C12)</f>
        <v>0.184070796460177</v>
      </c>
      <c r="H14" s="74">
        <f>E.1项目运营费用!L13*'G.2进项增值税率-运营成本'!C12/(1+'G.2进项增值税率-运营成本'!C12)</f>
        <v>0.230088495575221</v>
      </c>
      <c r="I14" s="74">
        <f>E.1项目运营费用!M13*'G.2进项增值税率-运营成本'!C12/(1+'G.2进项增值税率-运营成本'!C12)</f>
        <v>0.230088495575221</v>
      </c>
    </row>
    <row r="15" ht="31.05" hidden="1" customHeight="1" spans="1:9">
      <c r="A15" s="7"/>
      <c r="B15" s="7"/>
      <c r="C15" s="7"/>
      <c r="D15" s="76"/>
      <c r="E15" s="75">
        <v>0</v>
      </c>
      <c r="F15" s="75">
        <v>0</v>
      </c>
      <c r="G15" s="74">
        <f>E.1项目运营费用!K14*'G.2进项增值税率-运营成本'!C13/(1+'G.2进项增值税率-运营成本'!C13)</f>
        <v>0.0905660377358491</v>
      </c>
      <c r="H15" s="74">
        <f>E.1项目运营费用!L14*'G.2进项增值税率-运营成本'!C13/(1+'G.2进项增值税率-运营成本'!C13)</f>
        <v>0.113207547169811</v>
      </c>
      <c r="I15" s="74">
        <f>E.1项目运营费用!M14*'G.2进项增值税率-运营成本'!C13/(1+'G.2进项增值税率-运营成本'!C13)</f>
        <v>0.113207547169811</v>
      </c>
    </row>
    <row r="16" ht="31.05" hidden="1" customHeight="1" spans="1:9">
      <c r="A16" s="7"/>
      <c r="B16" s="7"/>
      <c r="C16" s="7"/>
      <c r="D16" s="76"/>
      <c r="E16" s="75">
        <v>0</v>
      </c>
      <c r="F16" s="75">
        <v>0</v>
      </c>
      <c r="G16" s="74">
        <f>E.1项目运营费用!K15*'G.2进项增值税率-运营成本'!C14/(1+'G.2进项增值税率-运营成本'!C14)</f>
        <v>0.0905660377358491</v>
      </c>
      <c r="H16" s="74">
        <f>E.1项目运营费用!L15*'G.2进项增值税率-运营成本'!C14/(1+'G.2进项增值税率-运营成本'!C14)</f>
        <v>0.113207547169811</v>
      </c>
      <c r="I16" s="74">
        <f>E.1项目运营费用!M15*'G.2进项增值税率-运营成本'!C14/(1+'G.2进项增值税率-运营成本'!C14)</f>
        <v>0.113207547169811</v>
      </c>
    </row>
    <row r="17" ht="31.05" hidden="1" customHeight="1" spans="1:9">
      <c r="A17" s="7"/>
      <c r="B17" s="7"/>
      <c r="C17" s="7"/>
      <c r="D17" s="76"/>
      <c r="E17" s="75">
        <v>0</v>
      </c>
      <c r="F17" s="75">
        <v>0</v>
      </c>
      <c r="G17" s="74">
        <f>E.1项目运营费用!K16*'G.2进项增值税率-运营成本'!C15/(1+'G.2进项增值税率-运营成本'!C15)</f>
        <v>0</v>
      </c>
      <c r="H17" s="74">
        <f>E.1项目运营费用!L16*'G.2进项增值税率-运营成本'!C15/(1+'G.2进项增值税率-运营成本'!C15)</f>
        <v>0</v>
      </c>
      <c r="I17" s="74">
        <f>E.1项目运营费用!M16*'G.2进项增值税率-运营成本'!C15/(1+'G.2进项增值税率-运营成本'!C15)</f>
        <v>0</v>
      </c>
    </row>
    <row r="18" ht="31.05" hidden="1" customHeight="1" spans="1:9">
      <c r="A18" s="7"/>
      <c r="B18" s="7"/>
      <c r="C18" s="7"/>
      <c r="D18" s="76"/>
      <c r="E18" s="75">
        <v>0</v>
      </c>
      <c r="F18" s="75">
        <v>0</v>
      </c>
      <c r="G18" s="74">
        <f>E.1项目运营费用!K17*'G.2进项增值税率-运营成本'!C16/(1+'G.2进项增值税率-运营成本'!C16)</f>
        <v>0.0905660377358491</v>
      </c>
      <c r="H18" s="74">
        <f>E.1项目运营费用!L17*'G.2进项增值税率-运营成本'!C16/(1+'G.2进项增值税率-运营成本'!C16)</f>
        <v>0.113207547169811</v>
      </c>
      <c r="I18" s="74">
        <f>E.1项目运营费用!M17*'G.2进项增值税率-运营成本'!C16/(1+'G.2进项增值税率-运营成本'!C16)</f>
        <v>0.113207547169811</v>
      </c>
    </row>
    <row r="19" ht="31.05" hidden="1" customHeight="1" spans="1:9">
      <c r="A19" s="7"/>
      <c r="B19" s="7"/>
      <c r="C19" s="7"/>
      <c r="D19" s="76"/>
      <c r="E19" s="75">
        <v>0</v>
      </c>
      <c r="F19" s="75">
        <v>0</v>
      </c>
      <c r="G19" s="74">
        <f>E.1项目运营费用!K18*'G.2进项增值税率-运营成本'!C17/(1+'G.2进项增值税率-运营成本'!C17)</f>
        <v>0.184070796460177</v>
      </c>
      <c r="H19" s="74">
        <f>E.1项目运营费用!L18*'G.2进项增值税率-运营成本'!C17/(1+'G.2进项增值税率-运营成本'!C17)</f>
        <v>0.230088495575221</v>
      </c>
      <c r="I19" s="74">
        <f>E.1项目运营费用!M18*'G.2进项增值税率-运营成本'!C17/(1+'G.2进项增值税率-运营成本'!C17)</f>
        <v>0.230088495575221</v>
      </c>
    </row>
    <row r="20" ht="31.05" hidden="1" customHeight="1" spans="1:9">
      <c r="A20" s="7"/>
      <c r="B20" s="7"/>
      <c r="C20" s="7"/>
      <c r="D20" s="76"/>
      <c r="E20" s="75">
        <v>0</v>
      </c>
      <c r="F20" s="75">
        <v>0</v>
      </c>
      <c r="G20" s="74">
        <f>E.1项目运营费用!K19*'G.2进项增值税率-运营成本'!C18/(1+'G.2进项增值税率-运营成本'!C18)</f>
        <v>0</v>
      </c>
      <c r="H20" s="74">
        <f>E.1项目运营费用!L19*'G.2进项增值税率-运营成本'!C18/(1+'G.2进项增值税率-运营成本'!C18)</f>
        <v>0</v>
      </c>
      <c r="I20" s="74">
        <f>E.1项目运营费用!M19*'G.2进项增值税率-运营成本'!C18/(1+'G.2进项增值税率-运营成本'!C18)</f>
        <v>0</v>
      </c>
    </row>
    <row r="21" ht="31.05" hidden="1" customHeight="1" spans="1:9">
      <c r="A21" s="7"/>
      <c r="B21" s="7"/>
      <c r="C21" s="7"/>
      <c r="D21" s="76"/>
      <c r="E21" s="75">
        <v>0</v>
      </c>
      <c r="F21" s="75">
        <v>0</v>
      </c>
      <c r="G21" s="74">
        <f>E.1项目运营费用!K20*'G.2进项增值税率-运营成本'!C19/(1+'G.2进项增值税率-运营成本'!C19)</f>
        <v>0.0905660377358491</v>
      </c>
      <c r="H21" s="74">
        <f>E.1项目运营费用!L20*'G.2进项增值税率-运营成本'!C19/(1+'G.2进项增值税率-运营成本'!C19)</f>
        <v>0.113207547169811</v>
      </c>
      <c r="I21" s="74">
        <f>E.1项目运营费用!M20*'G.2进项增值税率-运营成本'!C19/(1+'G.2进项增值税率-运营成本'!C19)</f>
        <v>0.113207547169811</v>
      </c>
    </row>
    <row r="22" ht="24" hidden="1" customHeight="1" spans="1:9">
      <c r="A22" s="7"/>
      <c r="B22" s="7"/>
      <c r="C22" s="7"/>
      <c r="D22" s="76"/>
      <c r="E22" s="75">
        <v>0</v>
      </c>
      <c r="F22" s="75">
        <v>0</v>
      </c>
      <c r="G22" s="74">
        <f>E.1项目运营费用!K21*'G.2进项增值税率-运营成本'!C20/(1+'G.2进项增值税率-运营成本'!C20)</f>
        <v>0.0905660377358491</v>
      </c>
      <c r="H22" s="74">
        <f>E.1项目运营费用!L21*'G.2进项增值税率-运营成本'!C20/(1+'G.2进项增值税率-运营成本'!C20)</f>
        <v>0.113207547169811</v>
      </c>
      <c r="I22" s="74">
        <f>E.1项目运营费用!M21*'G.2进项增值税率-运营成本'!C20/(1+'G.2进项增值税率-运营成本'!C20)</f>
        <v>0.113207547169811</v>
      </c>
    </row>
    <row r="23" ht="20.4" hidden="1" customHeight="1" spans="1:9">
      <c r="A23" s="7"/>
      <c r="B23" s="7"/>
      <c r="C23" s="7"/>
      <c r="D23" s="76"/>
      <c r="E23" s="75">
        <v>0</v>
      </c>
      <c r="F23" s="75">
        <v>0</v>
      </c>
      <c r="G23" s="74">
        <f>E.1项目运营费用!K22*'G.2进项增值税率-运营成本'!C21/(1+'G.2进项增值税率-运营成本'!C21)</f>
        <v>0.0905660377358491</v>
      </c>
      <c r="H23" s="74">
        <f>E.1项目运营费用!L22*'G.2进项增值税率-运营成本'!C21/(1+'G.2进项增值税率-运营成本'!C21)</f>
        <v>0.113207547169811</v>
      </c>
      <c r="I23" s="74">
        <f>E.1项目运营费用!M22*'G.2进项增值税率-运营成本'!C21/(1+'G.2进项增值税率-运营成本'!C21)</f>
        <v>0.113207547169811</v>
      </c>
    </row>
    <row r="24" ht="25.2" hidden="1" customHeight="1" spans="1:9">
      <c r="A24" s="7"/>
      <c r="B24" s="7"/>
      <c r="C24" s="7"/>
      <c r="D24" s="76"/>
      <c r="E24" s="75">
        <v>0</v>
      </c>
      <c r="F24" s="75">
        <v>0</v>
      </c>
      <c r="G24" s="74">
        <f>E.1项目运营费用!K23*'G.2进项增值税率-运营成本'!C22/(1+'G.2进项增值税率-运营成本'!C22)</f>
        <v>0</v>
      </c>
      <c r="H24" s="74">
        <f>E.1项目运营费用!L23*'G.2进项增值税率-运营成本'!C22/(1+'G.2进项增值税率-运营成本'!C22)</f>
        <v>0</v>
      </c>
      <c r="I24" s="74">
        <f>E.1项目运营费用!M23*'G.2进项增值税率-运营成本'!C22/(1+'G.2进项增值税率-运营成本'!C22)</f>
        <v>0</v>
      </c>
    </row>
    <row r="25" ht="31.05" customHeight="1" spans="1:9">
      <c r="A25" s="7">
        <v>2</v>
      </c>
      <c r="B25" s="7" t="s">
        <v>322</v>
      </c>
      <c r="C25" s="7"/>
      <c r="D25" s="75">
        <v>0</v>
      </c>
      <c r="E25" s="75">
        <v>0</v>
      </c>
      <c r="F25" s="75">
        <v>0</v>
      </c>
      <c r="G25" s="37">
        <f>SUM(G26:G28)</f>
        <v>105.613294097282</v>
      </c>
      <c r="H25" s="37">
        <f>SUM(H26:H28)</f>
        <v>137.877133460273</v>
      </c>
      <c r="I25" s="37">
        <f>SUM(I26:I28)</f>
        <v>139.643850441406</v>
      </c>
    </row>
    <row r="26" ht="37.05" hidden="1" customHeight="1" spans="1:9">
      <c r="A26" s="7"/>
      <c r="B26" s="31"/>
      <c r="C26" s="7"/>
      <c r="D26" s="75">
        <v>0</v>
      </c>
      <c r="E26" s="75">
        <v>0</v>
      </c>
      <c r="F26" s="75">
        <v>0</v>
      </c>
      <c r="G26" s="34">
        <f>F项目收入!G3*G.3销项增值税率!C3/(1+G.3销项增值税率!C3)</f>
        <v>13.2110091743119</v>
      </c>
      <c r="H26" s="34">
        <f>F项目收入!H3*G.3销项增值税率!C3/(1+G.3销项增值税率!C3)</f>
        <v>16.5137614678899</v>
      </c>
      <c r="I26" s="34">
        <f>F项目收入!I3*G.3销项增值税率!C3/(1+G.3销项增值税率!C3)</f>
        <v>16.5137614678899</v>
      </c>
    </row>
    <row r="27" ht="37.05" hidden="1" customHeight="1" spans="1:9">
      <c r="A27" s="7"/>
      <c r="B27" s="31"/>
      <c r="C27" s="7"/>
      <c r="D27" s="75">
        <v>0</v>
      </c>
      <c r="E27" s="75">
        <v>0</v>
      </c>
      <c r="F27" s="75">
        <v>0</v>
      </c>
      <c r="G27" s="34">
        <f>F项目收入!G5*G.3销项增值税率!C4/(1+G.3销项增值税率!C4)</f>
        <v>23.1192660550459</v>
      </c>
      <c r="H27" s="34">
        <f>F项目收入!H5*G.3销项增值税率!C4/(1+G.3销项增值税率!C4)</f>
        <v>33.0275229357798</v>
      </c>
      <c r="I27" s="34">
        <f>F项目收入!I5*G.3销项增值税率!C4/(1+G.3销项增值税率!C4)</f>
        <v>33.0275229357798</v>
      </c>
    </row>
    <row r="28" ht="21.6" hidden="1" customHeight="1" spans="1:9">
      <c r="A28" s="7"/>
      <c r="B28" s="31"/>
      <c r="C28" s="7"/>
      <c r="D28" s="75">
        <v>0</v>
      </c>
      <c r="E28" s="75">
        <v>0</v>
      </c>
      <c r="F28" s="75">
        <v>0</v>
      </c>
      <c r="G28" s="34">
        <f>F项目收入!G7*G.3销项增值税率!C5/(1+G.3销项增值税率!C5)</f>
        <v>69.2830188679245</v>
      </c>
      <c r="H28" s="34">
        <f>F项目收入!H7*G.3销项增值税率!C5/(1+G.3销项增值税率!C5)</f>
        <v>88.3358490566038</v>
      </c>
      <c r="I28" s="34">
        <f>F项目收入!I7*G.3销项增值税率!C5/(1+G.3销项增值税率!C5)</f>
        <v>90.1025660377358</v>
      </c>
    </row>
    <row r="29" ht="31.95" customHeight="1" spans="1:9">
      <c r="A29" s="7">
        <v>3</v>
      </c>
      <c r="B29" s="31" t="s">
        <v>323</v>
      </c>
      <c r="C29" s="7"/>
      <c r="D29" s="75">
        <v>0</v>
      </c>
      <c r="E29" s="75">
        <v>0</v>
      </c>
      <c r="F29" s="75">
        <v>0</v>
      </c>
      <c r="G29" s="37">
        <f>MAX(G25-G4-G3,0)</f>
        <v>0</v>
      </c>
      <c r="H29" s="37">
        <f>MAX(H25-H4-H3,0)</f>
        <v>48.9739257139618</v>
      </c>
      <c r="I29" s="37">
        <f>MAX(I25-I4-I3,0)</f>
        <v>136.979127194964</v>
      </c>
    </row>
    <row r="30" ht="36" customHeight="1" spans="1:9">
      <c r="A30" s="7">
        <v>4</v>
      </c>
      <c r="B30" s="31" t="s">
        <v>324</v>
      </c>
      <c r="C30" s="7"/>
      <c r="D30" s="75">
        <v>0</v>
      </c>
      <c r="E30" s="75">
        <v>0</v>
      </c>
      <c r="F30" s="75">
        <v>0</v>
      </c>
      <c r="G30" s="37">
        <f>G29*(A财务假设!D6+A财务假设!D7+A财务假设!D8)</f>
        <v>0</v>
      </c>
      <c r="H30" s="37">
        <f>H29*(A财务假设!D6+A财务假设!D7+A财务假设!D8)</f>
        <v>5.87687108567542</v>
      </c>
      <c r="I30" s="37">
        <f>I29*(A财务假设!D6+A财务假设!D7+A财务假设!D8)</f>
        <v>16.4374952633957</v>
      </c>
    </row>
    <row r="31" ht="34.05" customHeight="1" spans="1:9">
      <c r="A31" s="7"/>
      <c r="B31" s="7" t="s">
        <v>103</v>
      </c>
      <c r="C31" s="7"/>
      <c r="D31" s="75">
        <v>0</v>
      </c>
      <c r="E31" s="75">
        <v>0</v>
      </c>
      <c r="F31" s="75">
        <v>0</v>
      </c>
      <c r="G31" s="37">
        <f>G30+G29</f>
        <v>0</v>
      </c>
      <c r="H31" s="37">
        <f>H30+H29</f>
        <v>54.8507967996372</v>
      </c>
      <c r="I31" s="37">
        <f>I30+I29</f>
        <v>153.41662245836</v>
      </c>
    </row>
  </sheetData>
  <mergeCells count="1">
    <mergeCell ref="A1:I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rgb="FFFFFF00"/>
  </sheetPr>
  <dimension ref="A1:F21"/>
  <sheetViews>
    <sheetView zoomScale="70" zoomScaleNormal="70" topLeftCell="A6" workbookViewId="0">
      <selection activeCell="F17" sqref="F17"/>
    </sheetView>
  </sheetViews>
  <sheetFormatPr defaultColWidth="8.88888888888889" defaultRowHeight="28.05" customHeight="1" outlineLevelCol="5"/>
  <cols>
    <col min="1" max="1" width="8.88888888888889" style="50"/>
    <col min="2" max="2" width="17.6666666666667" style="50" customWidth="1"/>
    <col min="3" max="3" width="37.5555555555556" style="50" customWidth="1"/>
    <col min="4" max="4" width="15.1111111111111" style="50" customWidth="1"/>
    <col min="5" max="5" width="8.88888888888889" style="50"/>
    <col min="6" max="6" width="14.8888888888889" style="50" customWidth="1"/>
    <col min="7" max="16384" width="8.88888888888889" style="50"/>
  </cols>
  <sheetData>
    <row r="1" customHeight="1" spans="1:6">
      <c r="A1" s="70" t="s">
        <v>325</v>
      </c>
      <c r="B1" s="71"/>
      <c r="C1" s="71"/>
      <c r="D1" s="71"/>
      <c r="E1" s="71"/>
      <c r="F1" s="72"/>
    </row>
    <row r="2" customHeight="1" spans="1:6">
      <c r="A2" s="2" t="s">
        <v>1</v>
      </c>
      <c r="B2" s="2" t="s">
        <v>106</v>
      </c>
      <c r="C2" s="2" t="s">
        <v>107</v>
      </c>
      <c r="D2" s="2" t="s">
        <v>108</v>
      </c>
      <c r="E2" s="2" t="s">
        <v>288</v>
      </c>
      <c r="F2" s="2" t="s">
        <v>326</v>
      </c>
    </row>
    <row r="3" customHeight="1" spans="1:6">
      <c r="A3" s="7" t="s">
        <v>109</v>
      </c>
      <c r="B3" s="7" t="s">
        <v>110</v>
      </c>
      <c r="C3" s="7"/>
      <c r="D3" s="34">
        <f>D.1建设投资!D3</f>
        <v>1824</v>
      </c>
      <c r="E3" s="7" t="s">
        <v>102</v>
      </c>
      <c r="F3" s="34">
        <f>F4+F8</f>
        <v>188.28</v>
      </c>
    </row>
    <row r="4" customHeight="1" spans="1:6">
      <c r="A4" s="7">
        <v>1</v>
      </c>
      <c r="B4" s="7" t="s">
        <v>327</v>
      </c>
      <c r="C4" s="7"/>
      <c r="D4" s="34">
        <f>D.1建设投资!D4</f>
        <v>1800</v>
      </c>
      <c r="E4" s="7" t="s">
        <v>102</v>
      </c>
      <c r="F4" s="34">
        <f>SUM(F5:F7)</f>
        <v>186</v>
      </c>
    </row>
    <row r="5" ht="112.95" customHeight="1" spans="1:6">
      <c r="A5" s="7">
        <v>1.1</v>
      </c>
      <c r="B5" s="7" t="s">
        <v>112</v>
      </c>
      <c r="C5" s="73" t="s">
        <v>113</v>
      </c>
      <c r="D5" s="34">
        <f>D.1建设投资!D5</f>
        <v>600</v>
      </c>
      <c r="E5" s="66">
        <v>0.09</v>
      </c>
      <c r="F5" s="74">
        <f>D5*E5</f>
        <v>54</v>
      </c>
    </row>
    <row r="6" customHeight="1" spans="1:6">
      <c r="A6" s="7">
        <v>1.2</v>
      </c>
      <c r="B6" s="7" t="s">
        <v>114</v>
      </c>
      <c r="C6" s="7"/>
      <c r="D6" s="34">
        <f>D.1建设投资!D6</f>
        <v>600</v>
      </c>
      <c r="E6" s="66">
        <v>0.13</v>
      </c>
      <c r="F6" s="34">
        <f>D6*E6</f>
        <v>78</v>
      </c>
    </row>
    <row r="7" ht="64.05" customHeight="1" spans="1:6">
      <c r="A7" s="7">
        <v>1.3</v>
      </c>
      <c r="B7" s="7" t="s">
        <v>115</v>
      </c>
      <c r="C7" s="73" t="s">
        <v>116</v>
      </c>
      <c r="D7" s="34">
        <f>D.1建设投资!D7</f>
        <v>600</v>
      </c>
      <c r="E7" s="66">
        <v>0.09</v>
      </c>
      <c r="F7" s="34">
        <f>D7*E7</f>
        <v>54</v>
      </c>
    </row>
    <row r="8" customHeight="1" spans="1:6">
      <c r="A8" s="7">
        <v>2</v>
      </c>
      <c r="B8" s="7" t="s">
        <v>117</v>
      </c>
      <c r="C8" s="7"/>
      <c r="D8" s="34">
        <f>D.1建设投资!D8</f>
        <v>24</v>
      </c>
      <c r="E8" s="7" t="s">
        <v>102</v>
      </c>
      <c r="F8" s="34">
        <f>SUM(F9:F12)</f>
        <v>2.28</v>
      </c>
    </row>
    <row r="9" customHeight="1" spans="1:6">
      <c r="A9" s="7">
        <v>2.1</v>
      </c>
      <c r="B9" s="7" t="s">
        <v>118</v>
      </c>
      <c r="C9" s="7" t="s">
        <v>157</v>
      </c>
      <c r="D9" s="34">
        <f>D.1建设投资!D9</f>
        <v>6</v>
      </c>
      <c r="E9" s="66">
        <v>0.13</v>
      </c>
      <c r="F9" s="34">
        <f>D9*E9</f>
        <v>0.78</v>
      </c>
    </row>
    <row r="10" customHeight="1" spans="1:6">
      <c r="A10" s="7">
        <v>2.2</v>
      </c>
      <c r="B10" s="7" t="s">
        <v>119</v>
      </c>
      <c r="C10" s="7"/>
      <c r="D10" s="34">
        <f>D.1建设投资!D10</f>
        <v>6</v>
      </c>
      <c r="E10" s="66">
        <v>0.06</v>
      </c>
      <c r="F10" s="34">
        <f>D10*E10</f>
        <v>0.36</v>
      </c>
    </row>
    <row r="11" customHeight="1" spans="1:6">
      <c r="A11" s="7">
        <v>2.3</v>
      </c>
      <c r="B11" s="7" t="s">
        <v>120</v>
      </c>
      <c r="C11" s="7"/>
      <c r="D11" s="34">
        <f>D.1建设投资!D11</f>
        <v>6</v>
      </c>
      <c r="E11" s="66">
        <v>0.13</v>
      </c>
      <c r="F11" s="34">
        <f>D11*E11</f>
        <v>0.78</v>
      </c>
    </row>
    <row r="12" customHeight="1" spans="1:6">
      <c r="A12" s="7">
        <v>2.4</v>
      </c>
      <c r="B12" s="7" t="s">
        <v>121</v>
      </c>
      <c r="C12" s="7"/>
      <c r="D12" s="34">
        <f>D.1建设投资!D12</f>
        <v>6</v>
      </c>
      <c r="E12" s="66">
        <v>0.06</v>
      </c>
      <c r="F12" s="34">
        <f>D12*E12</f>
        <v>0.36</v>
      </c>
    </row>
    <row r="13" customHeight="1" spans="1:6">
      <c r="A13" s="7" t="s">
        <v>122</v>
      </c>
      <c r="B13" s="7" t="s">
        <v>123</v>
      </c>
      <c r="C13" s="7"/>
      <c r="D13" s="34">
        <f>SUM(D14:D18)</f>
        <v>24</v>
      </c>
      <c r="E13" s="7" t="s">
        <v>102</v>
      </c>
      <c r="F13" s="34">
        <f>SUM(F14:F18)</f>
        <v>1.44</v>
      </c>
    </row>
    <row r="14" customHeight="1" spans="1:6">
      <c r="A14" s="7">
        <v>1</v>
      </c>
      <c r="B14" s="7" t="s">
        <v>124</v>
      </c>
      <c r="C14" s="7"/>
      <c r="D14" s="34">
        <f>D.1建设投资!D14</f>
        <v>6</v>
      </c>
      <c r="E14" s="66">
        <v>0.06</v>
      </c>
      <c r="F14" s="34">
        <f>D14*E14</f>
        <v>0.36</v>
      </c>
    </row>
    <row r="15" customHeight="1" spans="1:6">
      <c r="A15" s="7">
        <v>2</v>
      </c>
      <c r="B15" s="7" t="s">
        <v>125</v>
      </c>
      <c r="C15" s="7"/>
      <c r="D15" s="34">
        <f>D.1建设投资!D15</f>
        <v>6</v>
      </c>
      <c r="E15" s="66">
        <v>0.06</v>
      </c>
      <c r="F15" s="34">
        <f>D15*E15</f>
        <v>0.36</v>
      </c>
    </row>
    <row r="16" customHeight="1" spans="1:6">
      <c r="A16" s="7">
        <v>3</v>
      </c>
      <c r="B16" s="7" t="s">
        <v>126</v>
      </c>
      <c r="C16" s="7"/>
      <c r="D16" s="34">
        <f>D.1建设投资!D16</f>
        <v>6</v>
      </c>
      <c r="E16" s="66">
        <v>0.06</v>
      </c>
      <c r="F16" s="34">
        <f>D16*E16</f>
        <v>0.36</v>
      </c>
    </row>
    <row r="17" customHeight="1" spans="1:6">
      <c r="A17" s="7">
        <v>4</v>
      </c>
      <c r="B17" s="7" t="s">
        <v>127</v>
      </c>
      <c r="C17" s="7"/>
      <c r="D17" s="34">
        <f>D.1建设投资!D17</f>
        <v>6</v>
      </c>
      <c r="E17" s="66">
        <v>0.06</v>
      </c>
      <c r="F17" s="34">
        <f>D17*E17</f>
        <v>0.36</v>
      </c>
    </row>
    <row r="18" customHeight="1" spans="1:6">
      <c r="A18" s="7">
        <v>5</v>
      </c>
      <c r="B18" s="7" t="s">
        <v>56</v>
      </c>
      <c r="C18" s="7"/>
      <c r="D18" s="34">
        <f>D.1建设投资!D19</f>
        <v>0</v>
      </c>
      <c r="E18" s="66">
        <v>0.06</v>
      </c>
      <c r="F18" s="34">
        <f>D18*E18</f>
        <v>0</v>
      </c>
    </row>
    <row r="19" customHeight="1" spans="1:6">
      <c r="A19" s="7" t="s">
        <v>129</v>
      </c>
      <c r="B19" s="7" t="s">
        <v>130</v>
      </c>
      <c r="C19" s="7"/>
      <c r="D19" s="34">
        <f>D20</f>
        <v>6</v>
      </c>
      <c r="E19" s="7" t="s">
        <v>102</v>
      </c>
      <c r="F19" s="34">
        <f>F20</f>
        <v>0</v>
      </c>
    </row>
    <row r="20" customHeight="1" spans="1:6">
      <c r="A20" s="7">
        <v>1</v>
      </c>
      <c r="B20" s="7" t="s">
        <v>131</v>
      </c>
      <c r="C20" s="7"/>
      <c r="D20" s="34">
        <f>D.1建设投资!D21</f>
        <v>6</v>
      </c>
      <c r="E20" s="66">
        <v>0</v>
      </c>
      <c r="F20" s="34">
        <f>D20*E20</f>
        <v>0</v>
      </c>
    </row>
    <row r="21" customHeight="1" spans="1:6">
      <c r="A21" s="7"/>
      <c r="B21" s="7" t="s">
        <v>328</v>
      </c>
      <c r="C21" s="7"/>
      <c r="D21" s="7"/>
      <c r="E21" s="7"/>
      <c r="F21" s="34">
        <f>F3+F13+F19</f>
        <v>189.72</v>
      </c>
    </row>
  </sheetData>
  <mergeCells count="2">
    <mergeCell ref="A1:F1"/>
    <mergeCell ref="B21:C2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rgb="FFFFFF00"/>
  </sheetPr>
  <dimension ref="A1:D22"/>
  <sheetViews>
    <sheetView zoomScale="70" zoomScaleNormal="70" topLeftCell="A4" workbookViewId="0">
      <selection activeCell="B10" sqref="B10"/>
    </sheetView>
  </sheetViews>
  <sheetFormatPr defaultColWidth="8.88888888888889" defaultRowHeight="28.05" customHeight="1" outlineLevelCol="3"/>
  <cols>
    <col min="2" max="2" width="24.3333333333333" customWidth="1"/>
    <col min="3" max="3" width="20.3333333333333" customWidth="1"/>
    <col min="4" max="4" width="14.3333333333333" customWidth="1"/>
  </cols>
  <sheetData>
    <row r="1" ht="57" customHeight="1" spans="1:3">
      <c r="A1" s="67" t="s">
        <v>329</v>
      </c>
      <c r="B1" s="68"/>
      <c r="C1" s="69"/>
    </row>
    <row r="2" customHeight="1" spans="1:3">
      <c r="A2" s="2" t="s">
        <v>1</v>
      </c>
      <c r="B2" s="2" t="s">
        <v>134</v>
      </c>
      <c r="C2" s="2" t="s">
        <v>288</v>
      </c>
    </row>
    <row r="3" customHeight="1" spans="1:3">
      <c r="A3" s="7">
        <f>E.1项目运营费用!B4</f>
        <v>1</v>
      </c>
      <c r="B3" s="7" t="str">
        <f>E.1项目运营费用!C4</f>
        <v>场地租金</v>
      </c>
      <c r="C3" s="66">
        <v>0.09</v>
      </c>
    </row>
    <row r="4" ht="58.05" customHeight="1" spans="1:3">
      <c r="A4" s="7">
        <f>E.1项目运营费用!B5</f>
        <v>2</v>
      </c>
      <c r="B4" s="7" t="str">
        <f>E.1项目运营费用!C5</f>
        <v>场地日常维护（停机坪/起降场/交通枢纽/飞行营地/指挥中心等）</v>
      </c>
      <c r="C4" s="66">
        <v>0.06</v>
      </c>
    </row>
    <row r="5" customHeight="1" spans="1:3">
      <c r="A5" s="7">
        <f>E.1项目运营费用!B6</f>
        <v>3</v>
      </c>
      <c r="B5" s="7" t="str">
        <f>E.1项目运营费用!C6</f>
        <v>消防设施年检</v>
      </c>
      <c r="C5" s="66">
        <v>0.06</v>
      </c>
    </row>
    <row r="6" customHeight="1" spans="1:3">
      <c r="A6" s="7">
        <f>E.1项目运营费用!B7</f>
        <v>4</v>
      </c>
      <c r="B6" s="7" t="str">
        <f>E.1项目运营费用!C7</f>
        <v>防鸟措施（驱鸟器维护）</v>
      </c>
      <c r="C6" s="66">
        <v>0.06</v>
      </c>
    </row>
    <row r="7" customHeight="1" spans="1:3">
      <c r="A7" s="7">
        <f>E.1项目运营费用!B8</f>
        <v>5</v>
      </c>
      <c r="B7" s="7" t="str">
        <f>E.1项目运营费用!C8</f>
        <v>飞行器能耗</v>
      </c>
      <c r="C7" s="66">
        <v>0.13</v>
      </c>
    </row>
    <row r="8" customHeight="1" spans="1:3">
      <c r="A8" s="7">
        <f>E.1项目运营费用!B9</f>
        <v>6</v>
      </c>
      <c r="B8" s="7" t="str">
        <f>E.1项目运营费用!C9</f>
        <v>核心设备电力能耗</v>
      </c>
      <c r="C8" s="66">
        <v>0.13</v>
      </c>
    </row>
    <row r="9" customHeight="1" spans="1:3">
      <c r="A9" s="7">
        <f>E.1项目运营费用!B10</f>
        <v>7</v>
      </c>
      <c r="B9" s="7" t="str">
        <f>E.1项目运营费用!C10</f>
        <v>水电能耗</v>
      </c>
      <c r="C9" s="66">
        <v>0.09</v>
      </c>
    </row>
    <row r="10" customHeight="1" spans="1:4">
      <c r="A10" s="7">
        <f>E.1项目运营费用!B11</f>
        <v>8</v>
      </c>
      <c r="B10" s="7" t="str">
        <f>E.1项目运营费用!C11</f>
        <v>网络通信费用</v>
      </c>
      <c r="C10" s="66">
        <v>0.09</v>
      </c>
      <c r="D10" s="20" t="s">
        <v>330</v>
      </c>
    </row>
    <row r="11" customHeight="1" spans="1:3">
      <c r="A11" s="7">
        <f>E.1项目运营费用!B12</f>
        <v>9</v>
      </c>
      <c r="B11" s="7" t="str">
        <f>E.1项目运营费用!C12</f>
        <v>硬件设备维护</v>
      </c>
      <c r="C11" s="66">
        <v>0.13</v>
      </c>
    </row>
    <row r="12" customHeight="1" spans="1:3">
      <c r="A12" s="7">
        <f>E.1项目运营费用!B13</f>
        <v>10</v>
      </c>
      <c r="B12" s="7" t="str">
        <f>E.1项目运营费用!C13</f>
        <v>备品备件储备</v>
      </c>
      <c r="C12" s="66">
        <v>0.13</v>
      </c>
    </row>
    <row r="13" customHeight="1" spans="1:3">
      <c r="A13" s="7">
        <f>E.1项目运营费用!B14</f>
        <v>11</v>
      </c>
      <c r="B13" s="7" t="str">
        <f>E.1项目运营费用!C14</f>
        <v>软件维护</v>
      </c>
      <c r="C13" s="66">
        <v>0.06</v>
      </c>
    </row>
    <row r="14" customHeight="1" spans="1:3">
      <c r="A14" s="7">
        <f>E.1项目运营费用!B15</f>
        <v>12</v>
      </c>
      <c r="B14" s="7" t="str">
        <f>E.1项目运营费用!C15</f>
        <v>营销及活动</v>
      </c>
      <c r="C14" s="66">
        <v>0.06</v>
      </c>
    </row>
    <row r="15" customHeight="1" spans="1:3">
      <c r="A15" s="7">
        <f>E.1项目运营费用!B16</f>
        <v>13</v>
      </c>
      <c r="B15" s="7" t="str">
        <f>E.1项目运营费用!C16</f>
        <v>人员薪酬</v>
      </c>
      <c r="C15" s="66">
        <v>0</v>
      </c>
    </row>
    <row r="16" customHeight="1" spans="1:3">
      <c r="A16" s="7">
        <f>E.1项目运营费用!B17</f>
        <v>14</v>
      </c>
      <c r="B16" s="7" t="str">
        <f>E.1项目运营费用!C17</f>
        <v>培训与资质认证</v>
      </c>
      <c r="C16" s="66">
        <v>0.06</v>
      </c>
    </row>
    <row r="17" customHeight="1" spans="1:3">
      <c r="A17" s="7">
        <f>E.1项目运营费用!B18</f>
        <v>15</v>
      </c>
      <c r="B17" s="7" t="str">
        <f>E.1项目运营费用!C18</f>
        <v>办公与行政支出</v>
      </c>
      <c r="C17" s="66">
        <v>0.13</v>
      </c>
    </row>
    <row r="18" customHeight="1" spans="1:3">
      <c r="A18" s="7">
        <f>E.1项目运营费用!B19</f>
        <v>16</v>
      </c>
      <c r="B18" s="7" t="str">
        <f>E.1项目运营费用!C19</f>
        <v>空域使用审批费</v>
      </c>
      <c r="C18" s="66">
        <v>0</v>
      </c>
    </row>
    <row r="19" customHeight="1" spans="1:3">
      <c r="A19" s="7">
        <f>E.1项目运营费用!B20</f>
        <v>17</v>
      </c>
      <c r="B19" s="7" t="str">
        <f>E.1项目运营费用!C20</f>
        <v>场地责任险</v>
      </c>
      <c r="C19" s="66">
        <v>0.06</v>
      </c>
    </row>
    <row r="20" customHeight="1" spans="1:3">
      <c r="A20" s="7">
        <f>E.1项目运营费用!B21</f>
        <v>18</v>
      </c>
      <c r="B20" s="7" t="str">
        <f>E.1项目运营费用!C21</f>
        <v>安全演练与应急处置</v>
      </c>
      <c r="C20" s="66">
        <v>0.06</v>
      </c>
    </row>
    <row r="21" customHeight="1" spans="1:3">
      <c r="A21" s="7">
        <f>E.1项目运营费用!B22</f>
        <v>19</v>
      </c>
      <c r="B21" s="7" t="str">
        <f>E.1项目运营费用!C22</f>
        <v>第三方安全评估</v>
      </c>
      <c r="C21" s="66">
        <v>0.06</v>
      </c>
    </row>
    <row r="22" customHeight="1" spans="1:3">
      <c r="A22" s="7">
        <f>E.1项目运营费用!B23</f>
        <v>20</v>
      </c>
      <c r="B22" s="7" t="str">
        <f>E.1项目运营费用!C23</f>
        <v>不可预见支出</v>
      </c>
      <c r="C22" s="66">
        <v>0</v>
      </c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FF00"/>
  </sheetPr>
  <dimension ref="A1:D21"/>
  <sheetViews>
    <sheetView zoomScale="70" zoomScaleNormal="70" workbookViewId="0">
      <selection activeCell="D20" sqref="D20"/>
    </sheetView>
  </sheetViews>
  <sheetFormatPr defaultColWidth="8.88888888888889" defaultRowHeight="28.05" customHeight="1" outlineLevelCol="3"/>
  <cols>
    <col min="2" max="2" width="22.6666666666667" customWidth="1"/>
    <col min="3" max="3" width="58.4444444444444" customWidth="1"/>
    <col min="4" max="4" width="17.1111111111111" customWidth="1"/>
  </cols>
  <sheetData>
    <row r="1" customHeight="1" spans="1:4">
      <c r="A1" s="59" t="s">
        <v>40</v>
      </c>
      <c r="B1" s="59"/>
      <c r="C1" s="59"/>
      <c r="D1" s="59"/>
    </row>
    <row r="2" customHeight="1" spans="1:4">
      <c r="A2" s="123" t="s">
        <v>1</v>
      </c>
      <c r="B2" s="123" t="s">
        <v>2</v>
      </c>
      <c r="C2" s="123" t="s">
        <v>3</v>
      </c>
      <c r="D2" s="123" t="s">
        <v>4</v>
      </c>
    </row>
    <row r="3" customHeight="1" spans="1:4">
      <c r="A3" s="51">
        <v>1</v>
      </c>
      <c r="B3" s="51" t="s">
        <v>41</v>
      </c>
      <c r="C3" s="51"/>
      <c r="D3" s="51"/>
    </row>
    <row r="4" customHeight="1" spans="1:4">
      <c r="A4" s="7">
        <v>1.1</v>
      </c>
      <c r="B4" s="7" t="s">
        <v>42</v>
      </c>
      <c r="C4" s="7"/>
      <c r="D4" s="121">
        <v>45870</v>
      </c>
    </row>
    <row r="5" customHeight="1" spans="1:4">
      <c r="A5" s="7">
        <v>1.2</v>
      </c>
      <c r="B5" s="7" t="s">
        <v>43</v>
      </c>
      <c r="C5" s="7"/>
      <c r="D5" s="121">
        <v>46752</v>
      </c>
    </row>
    <row r="6" customHeight="1" spans="1:4">
      <c r="A6" s="7">
        <v>1.3</v>
      </c>
      <c r="B6" s="7" t="s">
        <v>44</v>
      </c>
      <c r="C6" s="36" t="s">
        <v>45</v>
      </c>
      <c r="D6" s="77" t="s">
        <v>46</v>
      </c>
    </row>
    <row r="7" customHeight="1" spans="1:4">
      <c r="A7" s="7">
        <v>1.4</v>
      </c>
      <c r="B7" s="7" t="s">
        <v>47</v>
      </c>
      <c r="C7" s="7" t="s">
        <v>48</v>
      </c>
      <c r="D7" s="121">
        <v>46753</v>
      </c>
    </row>
    <row r="8" customHeight="1" spans="1:4">
      <c r="A8" s="7">
        <v>1.5</v>
      </c>
      <c r="B8" s="7" t="s">
        <v>49</v>
      </c>
      <c r="C8" s="7" t="s">
        <v>50</v>
      </c>
      <c r="D8" s="20" t="s">
        <v>51</v>
      </c>
    </row>
    <row r="9" customHeight="1" spans="1:4">
      <c r="A9" s="51">
        <v>2</v>
      </c>
      <c r="B9" s="51" t="s">
        <v>52</v>
      </c>
      <c r="C9" s="51" t="s">
        <v>53</v>
      </c>
      <c r="D9" s="124"/>
    </row>
    <row r="10" customHeight="1" spans="1:4">
      <c r="A10" s="7">
        <v>2.1</v>
      </c>
      <c r="B10" s="7" t="s">
        <v>42</v>
      </c>
      <c r="C10" s="7"/>
      <c r="D10" s="121"/>
    </row>
    <row r="11" customHeight="1" spans="1:4">
      <c r="A11" s="7">
        <v>2.2</v>
      </c>
      <c r="B11" s="7" t="s">
        <v>43</v>
      </c>
      <c r="C11" s="7"/>
      <c r="D11" s="121"/>
    </row>
    <row r="12" customHeight="1" spans="1:4">
      <c r="A12" s="7">
        <v>2.3</v>
      </c>
      <c r="B12" s="7" t="s">
        <v>44</v>
      </c>
      <c r="C12" s="7" t="s">
        <v>45</v>
      </c>
      <c r="D12" s="20"/>
    </row>
    <row r="13" customHeight="1" spans="1:4">
      <c r="A13" s="7">
        <v>2.4</v>
      </c>
      <c r="B13" s="7" t="s">
        <v>47</v>
      </c>
      <c r="C13" s="7" t="s">
        <v>48</v>
      </c>
      <c r="D13" s="121"/>
    </row>
    <row r="14" customHeight="1" spans="1:4">
      <c r="A14" s="7">
        <v>2.5</v>
      </c>
      <c r="B14" s="7" t="s">
        <v>49</v>
      </c>
      <c r="C14" s="7" t="s">
        <v>50</v>
      </c>
      <c r="D14" s="20"/>
    </row>
    <row r="15" customHeight="1" spans="1:4">
      <c r="A15" s="51" t="s">
        <v>54</v>
      </c>
      <c r="B15" s="51" t="s">
        <v>55</v>
      </c>
      <c r="C15" s="51"/>
      <c r="D15" s="124"/>
    </row>
    <row r="16" customHeight="1" spans="1:4">
      <c r="A16" s="7"/>
      <c r="B16" s="7" t="s">
        <v>56</v>
      </c>
      <c r="C16" s="7"/>
      <c r="D16" s="20"/>
    </row>
    <row r="17" customHeight="1" spans="1:4">
      <c r="A17" s="7"/>
      <c r="B17" s="7"/>
      <c r="C17" s="7"/>
      <c r="D17" s="20"/>
    </row>
    <row r="18" customHeight="1" spans="1:4">
      <c r="A18" s="7" t="s">
        <v>57</v>
      </c>
      <c r="B18" s="7" t="s">
        <v>58</v>
      </c>
      <c r="C18" s="7" t="s">
        <v>59</v>
      </c>
      <c r="D18" s="20" t="s">
        <v>60</v>
      </c>
    </row>
    <row r="19" customHeight="1" spans="1:4">
      <c r="A19" s="7" t="s">
        <v>61</v>
      </c>
      <c r="B19" s="7" t="s">
        <v>62</v>
      </c>
      <c r="C19" s="7" t="s">
        <v>63</v>
      </c>
      <c r="D19" s="121">
        <v>45870</v>
      </c>
    </row>
    <row r="20" customHeight="1" spans="1:4">
      <c r="A20" s="7" t="s">
        <v>64</v>
      </c>
      <c r="B20" s="7" t="s">
        <v>65</v>
      </c>
      <c r="C20" s="7" t="s">
        <v>66</v>
      </c>
      <c r="D20" s="121">
        <v>46722</v>
      </c>
    </row>
    <row r="21" customHeight="1" spans="1:4">
      <c r="A21" s="7" t="s">
        <v>67</v>
      </c>
      <c r="B21" s="7" t="s">
        <v>68</v>
      </c>
      <c r="C21" s="7" t="s">
        <v>69</v>
      </c>
      <c r="D21" s="121">
        <v>46753</v>
      </c>
    </row>
  </sheetData>
  <mergeCells count="1">
    <mergeCell ref="A1:D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rgb="FFFFFF00"/>
  </sheetPr>
  <dimension ref="A1:C12"/>
  <sheetViews>
    <sheetView workbookViewId="0">
      <selection activeCell="G10" sqref="G10"/>
    </sheetView>
  </sheetViews>
  <sheetFormatPr defaultColWidth="8.88888888888889" defaultRowHeight="28.05" customHeight="1" outlineLevelCol="2"/>
  <cols>
    <col min="2" max="2" width="27.4444444444444" customWidth="1"/>
    <col min="3" max="3" width="14.7777777777778" customWidth="1"/>
  </cols>
  <sheetData>
    <row r="1" ht="40.05" customHeight="1" spans="1:3">
      <c r="A1" s="65" t="s">
        <v>331</v>
      </c>
      <c r="B1" s="33"/>
      <c r="C1" s="33"/>
    </row>
    <row r="2" customHeight="1" spans="1:3">
      <c r="A2" s="2" t="s">
        <v>1</v>
      </c>
      <c r="B2" s="2" t="s">
        <v>291</v>
      </c>
      <c r="C2" s="2" t="s">
        <v>288</v>
      </c>
    </row>
    <row r="3" customHeight="1" spans="1:3">
      <c r="A3" s="7">
        <v>1</v>
      </c>
      <c r="B3" s="7" t="s">
        <v>297</v>
      </c>
      <c r="C3" s="66">
        <v>0.09</v>
      </c>
    </row>
    <row r="4" customHeight="1" spans="1:3">
      <c r="A4" s="7">
        <v>2</v>
      </c>
      <c r="B4" s="7" t="s">
        <v>300</v>
      </c>
      <c r="C4" s="66">
        <v>0.09</v>
      </c>
    </row>
    <row r="5" customHeight="1" spans="1:3">
      <c r="A5" s="7">
        <v>3</v>
      </c>
      <c r="B5" s="7" t="s">
        <v>301</v>
      </c>
      <c r="C5" s="66">
        <v>0.06</v>
      </c>
    </row>
    <row r="6" customHeight="1" spans="1:3">
      <c r="A6" s="7">
        <v>4</v>
      </c>
      <c r="B6" s="7" t="s">
        <v>332</v>
      </c>
      <c r="C6" s="66">
        <v>0.06</v>
      </c>
    </row>
    <row r="7" customHeight="1" spans="1:3">
      <c r="A7" s="7">
        <v>5</v>
      </c>
      <c r="B7" s="7" t="s">
        <v>333</v>
      </c>
      <c r="C7" s="66">
        <v>0.06</v>
      </c>
    </row>
    <row r="8" customHeight="1" spans="1:3">
      <c r="A8" s="7">
        <v>6</v>
      </c>
      <c r="B8" s="7" t="s">
        <v>334</v>
      </c>
      <c r="C8" s="66">
        <v>0.06</v>
      </c>
    </row>
    <row r="9" customHeight="1" spans="1:3">
      <c r="A9" s="7">
        <v>7</v>
      </c>
      <c r="B9" s="7" t="s">
        <v>335</v>
      </c>
      <c r="C9" s="66">
        <v>0.06</v>
      </c>
    </row>
    <row r="10" customHeight="1" spans="1:3">
      <c r="A10" s="7">
        <v>8</v>
      </c>
      <c r="B10" s="7" t="s">
        <v>336</v>
      </c>
      <c r="C10" s="66">
        <v>0.06</v>
      </c>
    </row>
    <row r="11" customHeight="1" spans="1:3">
      <c r="A11" s="7">
        <v>9</v>
      </c>
      <c r="B11" s="7" t="s">
        <v>337</v>
      </c>
      <c r="C11" s="66">
        <v>0.06</v>
      </c>
    </row>
    <row r="12" customHeight="1" spans="1:3">
      <c r="A12" s="7">
        <v>10</v>
      </c>
      <c r="B12" s="7" t="s">
        <v>338</v>
      </c>
      <c r="C12" s="66">
        <v>0.06</v>
      </c>
    </row>
  </sheetData>
  <mergeCells count="1">
    <mergeCell ref="A1:C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rgb="FFFFC000"/>
  </sheetPr>
  <dimension ref="A1:R30"/>
  <sheetViews>
    <sheetView zoomScale="85" zoomScaleNormal="85" topLeftCell="A13" workbookViewId="0">
      <selection activeCell="D21" sqref="D21:I21"/>
    </sheetView>
  </sheetViews>
  <sheetFormatPr defaultColWidth="8.88888888888889" defaultRowHeight="28.05" customHeight="1"/>
  <cols>
    <col min="2" max="2" width="36.7777777777778" customWidth="1"/>
    <col min="3" max="3" width="14.2222222222222" customWidth="1"/>
    <col min="4" max="4" width="11.5555555555556"/>
    <col min="5" max="8" width="17.1111111111111"/>
    <col min="9" max="9" width="20.8888888888889" customWidth="1"/>
  </cols>
  <sheetData>
    <row r="1" customHeight="1" spans="1:9">
      <c r="A1" s="59" t="s">
        <v>339</v>
      </c>
      <c r="B1" s="59"/>
      <c r="C1" s="59"/>
      <c r="D1" s="59"/>
      <c r="E1" s="59"/>
      <c r="F1" s="59"/>
      <c r="G1" s="59"/>
      <c r="H1" s="59"/>
      <c r="I1" s="59"/>
    </row>
    <row r="2" customHeight="1" spans="1:9">
      <c r="A2" s="2" t="s">
        <v>1</v>
      </c>
      <c r="B2" s="2" t="s">
        <v>159</v>
      </c>
      <c r="C2" s="2" t="s">
        <v>103</v>
      </c>
      <c r="D2" s="2">
        <v>2025</v>
      </c>
      <c r="E2" s="2">
        <v>2026</v>
      </c>
      <c r="F2" s="2">
        <v>2027</v>
      </c>
      <c r="G2" s="2">
        <v>2028</v>
      </c>
      <c r="H2" s="2" t="s">
        <v>135</v>
      </c>
      <c r="I2" s="2">
        <v>2045</v>
      </c>
    </row>
    <row r="3" customHeight="1" spans="1:9">
      <c r="A3" s="7">
        <v>1</v>
      </c>
      <c r="B3" s="7" t="s">
        <v>340</v>
      </c>
      <c r="C3" s="34">
        <f>SUM(D3:I3)</f>
        <v>6113.39053105948</v>
      </c>
      <c r="D3" s="34">
        <f t="shared" ref="D3:I3" si="0">SUM(D4:D7)</f>
        <v>0</v>
      </c>
      <c r="E3" s="34">
        <f t="shared" si="0"/>
        <v>0</v>
      </c>
      <c r="F3" s="34">
        <f t="shared" si="0"/>
        <v>0</v>
      </c>
      <c r="G3" s="34">
        <f t="shared" si="0"/>
        <v>1665</v>
      </c>
      <c r="H3" s="34">
        <f t="shared" si="0"/>
        <v>2161.6</v>
      </c>
      <c r="I3" s="34">
        <f t="shared" si="0"/>
        <v>2286.79053105948</v>
      </c>
    </row>
    <row r="4" customHeight="1" spans="1:9">
      <c r="A4" s="7">
        <v>1.1</v>
      </c>
      <c r="B4" s="7" t="s">
        <v>341</v>
      </c>
      <c r="C4" s="34">
        <f>SUM(D4:I4)</f>
        <v>6016.412</v>
      </c>
      <c r="D4" s="37">
        <f>F项目收入!D3+F项目收入!D5+F项目收入!D7</f>
        <v>0</v>
      </c>
      <c r="E4" s="37">
        <f>F项目收入!E3+F项目收入!E5+F项目收入!E7</f>
        <v>0</v>
      </c>
      <c r="F4" s="37">
        <f>F项目收入!F3+F项目收入!F5+F项目收入!F7</f>
        <v>0</v>
      </c>
      <c r="G4" s="37">
        <f>F项目收入!G3+F项目收入!G5+F项目收入!G7</f>
        <v>1664</v>
      </c>
      <c r="H4" s="37">
        <f>F项目收入!H3+F项目收入!H5+F项目收入!H7</f>
        <v>2160.6</v>
      </c>
      <c r="I4" s="37">
        <f>F项目收入!I3+F项目收入!I5+F项目收入!I7</f>
        <v>2191.812</v>
      </c>
    </row>
    <row r="5" customHeight="1" spans="1:9">
      <c r="A5" s="7">
        <v>1.2</v>
      </c>
      <c r="B5" s="7" t="s">
        <v>302</v>
      </c>
      <c r="C5" s="34">
        <f t="shared" ref="C5:C22" si="1">SUM(D5:I5)</f>
        <v>3</v>
      </c>
      <c r="D5" s="37">
        <f>F项目收入!D9</f>
        <v>0</v>
      </c>
      <c r="E5" s="37">
        <f>F项目收入!E9</f>
        <v>0</v>
      </c>
      <c r="F5" s="37">
        <f>F项目收入!F9</f>
        <v>0</v>
      </c>
      <c r="G5" s="37">
        <f>F项目收入!G9</f>
        <v>1</v>
      </c>
      <c r="H5" s="37">
        <f>F项目收入!H9</f>
        <v>1</v>
      </c>
      <c r="I5" s="37">
        <f>F项目收入!I9</f>
        <v>1</v>
      </c>
    </row>
    <row r="6" customHeight="1" spans="1:9">
      <c r="A6" s="7">
        <v>1.3</v>
      </c>
      <c r="B6" s="7" t="s">
        <v>342</v>
      </c>
      <c r="C6" s="34">
        <f t="shared" si="1"/>
        <v>84.9496063233665</v>
      </c>
      <c r="D6" s="34" t="s">
        <v>102</v>
      </c>
      <c r="E6" s="34" t="s">
        <v>102</v>
      </c>
      <c r="F6" s="34" t="s">
        <v>102</v>
      </c>
      <c r="G6" s="34" t="s">
        <v>102</v>
      </c>
      <c r="H6" s="34" t="s">
        <v>102</v>
      </c>
      <c r="I6" s="34">
        <f>E.2固定资产折旧费估算表!C4*A财务假设!$D$12</f>
        <v>84.9496063233665</v>
      </c>
    </row>
    <row r="7" customHeight="1" spans="1:9">
      <c r="A7" s="7">
        <v>1.4</v>
      </c>
      <c r="B7" s="7" t="s">
        <v>343</v>
      </c>
      <c r="C7" s="34">
        <f t="shared" si="1"/>
        <v>9.02892473611111</v>
      </c>
      <c r="D7" s="34" t="s">
        <v>102</v>
      </c>
      <c r="E7" s="34" t="s">
        <v>102</v>
      </c>
      <c r="F7" s="34" t="s">
        <v>102</v>
      </c>
      <c r="G7" s="34" t="s">
        <v>102</v>
      </c>
      <c r="H7" s="34" t="s">
        <v>102</v>
      </c>
      <c r="I7" s="34">
        <f>D.4流动资金估算表!J13</f>
        <v>9.02892473611111</v>
      </c>
    </row>
    <row r="8" customHeight="1" spans="1:9">
      <c r="A8" s="7">
        <v>2</v>
      </c>
      <c r="B8" s="7" t="s">
        <v>344</v>
      </c>
      <c r="C8" s="34">
        <f t="shared" si="1"/>
        <v>1989.78846508518</v>
      </c>
      <c r="D8" s="34">
        <f t="shared" ref="D8:I8" si="2">SUM(D9:D13)</f>
        <v>318.1728</v>
      </c>
      <c r="E8" s="34">
        <f t="shared" si="2"/>
        <v>618.432</v>
      </c>
      <c r="F8" s="34">
        <f t="shared" si="2"/>
        <v>918</v>
      </c>
      <c r="G8" s="34">
        <f t="shared" si="2"/>
        <v>36.644881875</v>
      </c>
      <c r="H8" s="34">
        <f t="shared" si="2"/>
        <v>44.9292323217865</v>
      </c>
      <c r="I8" s="34">
        <f t="shared" si="2"/>
        <v>53.6095508883957</v>
      </c>
    </row>
    <row r="9" customHeight="1" spans="1:9">
      <c r="A9" s="7">
        <v>2.1</v>
      </c>
      <c r="B9" s="7" t="s">
        <v>137</v>
      </c>
      <c r="C9" s="34">
        <f t="shared" si="1"/>
        <v>1854.6048</v>
      </c>
      <c r="D9" s="34">
        <f>D.2项目总投资使用计划与资金筹措表!D4</f>
        <v>318.1728</v>
      </c>
      <c r="E9" s="34">
        <f>D.2项目总投资使用计划与资金筹措表!E4</f>
        <v>618.432</v>
      </c>
      <c r="F9" s="34">
        <f>D.2项目总投资使用计划与资金筹措表!F4</f>
        <v>918</v>
      </c>
      <c r="G9" s="34">
        <f>D.2项目总投资使用计划与资金筹措表!G4</f>
        <v>0</v>
      </c>
      <c r="H9" s="34">
        <f>D.2项目总投资使用计划与资金筹措表!H4</f>
        <v>0</v>
      </c>
      <c r="I9" s="34">
        <f>D.2项目总投资使用计划与资金筹措表!I4</f>
        <v>0</v>
      </c>
    </row>
    <row r="10" customHeight="1" spans="1:9">
      <c r="A10" s="7">
        <v>2.2</v>
      </c>
      <c r="B10" s="7" t="s">
        <v>139</v>
      </c>
      <c r="C10" s="34">
        <f t="shared" si="1"/>
        <v>9.02892473611111</v>
      </c>
      <c r="D10" s="34">
        <f>D.2项目总投资使用计划与资金筹措表!D6</f>
        <v>0</v>
      </c>
      <c r="E10" s="34">
        <f>D.2项目总投资使用计划与资金筹措表!E6</f>
        <v>0</v>
      </c>
      <c r="F10" s="34">
        <f>D.2项目总投资使用计划与资金筹措表!F6</f>
        <v>0</v>
      </c>
      <c r="G10" s="34">
        <f>D.2项目总投资使用计划与资金筹措表!G6</f>
        <v>6.975329375</v>
      </c>
      <c r="H10" s="34">
        <f>D.2项目总投资使用计划与资金筹措表!H6</f>
        <v>1.96690323611111</v>
      </c>
      <c r="I10" s="34">
        <f>D.2项目总投资使用计划与资金筹措表!I6</f>
        <v>0.086692124999999</v>
      </c>
    </row>
    <row r="11" customHeight="1" spans="1:9">
      <c r="A11" s="7">
        <v>2.3</v>
      </c>
      <c r="B11" s="7" t="s">
        <v>345</v>
      </c>
      <c r="C11" s="34">
        <f t="shared" si="1"/>
        <v>103.840374</v>
      </c>
      <c r="D11" s="34">
        <f>E总成本费用估算表!C11</f>
        <v>0</v>
      </c>
      <c r="E11" s="34">
        <f>E总成本费用估算表!D11</f>
        <v>0</v>
      </c>
      <c r="F11" s="34">
        <f>E总成本费用估算表!E11</f>
        <v>0</v>
      </c>
      <c r="G11" s="34">
        <f>E总成本费用估算表!F11</f>
        <v>29.6695525</v>
      </c>
      <c r="H11" s="34">
        <f>E总成本费用估算表!G11</f>
        <v>37.085458</v>
      </c>
      <c r="I11" s="34">
        <f>E总成本费用估算表!H11</f>
        <v>37.0853635</v>
      </c>
    </row>
    <row r="12" customHeight="1" spans="1:9">
      <c r="A12" s="7">
        <v>2.4</v>
      </c>
      <c r="B12" s="7" t="s">
        <v>346</v>
      </c>
      <c r="C12" s="34">
        <f t="shared" si="1"/>
        <v>22.3143663490712</v>
      </c>
      <c r="D12" s="37">
        <f>G.税金及附加测算表!D30</f>
        <v>0</v>
      </c>
      <c r="E12" s="37">
        <f>G.税金及附加测算表!E30</f>
        <v>0</v>
      </c>
      <c r="F12" s="37">
        <f>G.税金及附加测算表!F30</f>
        <v>0</v>
      </c>
      <c r="G12" s="37">
        <f>G.税金及附加测算表!G30</f>
        <v>0</v>
      </c>
      <c r="H12" s="37">
        <f>G.税金及附加测算表!H30</f>
        <v>5.87687108567542</v>
      </c>
      <c r="I12" s="37">
        <f>G.税金及附加测算表!I30</f>
        <v>16.4374952633957</v>
      </c>
    </row>
    <row r="13" customHeight="1" spans="1:9">
      <c r="A13" s="7">
        <v>2.5</v>
      </c>
      <c r="B13" s="7" t="s">
        <v>347</v>
      </c>
      <c r="C13" s="34">
        <f t="shared" si="1"/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</row>
    <row r="14" customHeight="1" spans="1:9">
      <c r="A14" s="7">
        <v>3</v>
      </c>
      <c r="B14" s="7" t="s">
        <v>348</v>
      </c>
      <c r="C14" s="34">
        <f t="shared" si="1"/>
        <v>4123.6020659743</v>
      </c>
      <c r="D14" s="34">
        <f t="shared" ref="D14:I14" si="3">D3-D8</f>
        <v>-318.1728</v>
      </c>
      <c r="E14" s="34">
        <f t="shared" si="3"/>
        <v>-618.432</v>
      </c>
      <c r="F14" s="34">
        <f t="shared" si="3"/>
        <v>-918</v>
      </c>
      <c r="G14" s="34">
        <f t="shared" si="3"/>
        <v>1628.355118125</v>
      </c>
      <c r="H14" s="34">
        <f t="shared" si="3"/>
        <v>2116.67076767821</v>
      </c>
      <c r="I14" s="34">
        <f t="shared" si="3"/>
        <v>2233.18098017108</v>
      </c>
    </row>
    <row r="15" customHeight="1" spans="1:9">
      <c r="A15" s="7">
        <v>4</v>
      </c>
      <c r="B15" s="7" t="s">
        <v>349</v>
      </c>
      <c r="C15" s="34">
        <f t="shared" si="1"/>
        <v>2678.39106990251</v>
      </c>
      <c r="D15" s="34">
        <f>D14</f>
        <v>-318.1728</v>
      </c>
      <c r="E15" s="34">
        <f>D15+E14</f>
        <v>-936.6048</v>
      </c>
      <c r="F15" s="34">
        <f>E15+F14</f>
        <v>-1854.6048</v>
      </c>
      <c r="G15" s="34">
        <f>F15+G14</f>
        <v>-226.249681875</v>
      </c>
      <c r="H15" s="34">
        <f>G15+H14</f>
        <v>1890.42108580321</v>
      </c>
      <c r="I15" s="34">
        <f>H15+I14</f>
        <v>4123.6020659743</v>
      </c>
    </row>
    <row r="16" s="32" customFormat="1" customHeight="1" spans="1:18">
      <c r="A16" s="36">
        <v>5</v>
      </c>
      <c r="B16" s="36" t="s">
        <v>350</v>
      </c>
      <c r="C16" s="37">
        <f t="shared" si="1"/>
        <v>1312.17614296157</v>
      </c>
      <c r="D16" s="37">
        <f>'b利润与利润分配表（损益和利润分配表）'!E25*A财务假设!$D$9</f>
        <v>0</v>
      </c>
      <c r="E16" s="37">
        <f>'b利润与利润分配表（损益和利润分配表）'!F25*A财务假设!$D$9</f>
        <v>0</v>
      </c>
      <c r="F16" s="37">
        <f>'b利润与利润分配表（损益和利润分配表）'!G25*A财务假设!$D$9</f>
        <v>0</v>
      </c>
      <c r="G16" s="37">
        <f>'b利润与利润分配表（损益和利润分配表）'!H25*A财务假设!$D$9</f>
        <v>360.555596758659</v>
      </c>
      <c r="H16" s="37">
        <f>'b利润与利润分配表（损益和利润分配表）'!I25*A财务假设!$D$9</f>
        <v>473.449678933814</v>
      </c>
      <c r="I16" s="37">
        <f>'b利润与利润分配表（损益和利润分配表）'!J25*A财务假设!$D$9</f>
        <v>478.170867269101</v>
      </c>
      <c r="J16"/>
      <c r="K16"/>
      <c r="L16"/>
      <c r="M16"/>
      <c r="N16"/>
      <c r="O16"/>
      <c r="P16"/>
      <c r="Q16"/>
      <c r="R16"/>
    </row>
    <row r="17" customHeight="1" spans="1:9">
      <c r="A17" s="7">
        <v>6</v>
      </c>
      <c r="B17" s="7" t="s">
        <v>351</v>
      </c>
      <c r="C17" s="34">
        <f t="shared" si="1"/>
        <v>2811.42592301272</v>
      </c>
      <c r="D17" s="34">
        <f t="shared" ref="D17:I17" si="4">D14-D16</f>
        <v>-318.1728</v>
      </c>
      <c r="E17" s="34">
        <f t="shared" si="4"/>
        <v>-618.432</v>
      </c>
      <c r="F17" s="34">
        <f t="shared" si="4"/>
        <v>-918</v>
      </c>
      <c r="G17" s="34">
        <f t="shared" si="4"/>
        <v>1267.79952136634</v>
      </c>
      <c r="H17" s="34">
        <f t="shared" si="4"/>
        <v>1643.2210887444</v>
      </c>
      <c r="I17" s="34">
        <f t="shared" si="4"/>
        <v>1755.01011290198</v>
      </c>
    </row>
    <row r="18" customHeight="1" spans="1:9">
      <c r="A18" s="7">
        <v>7</v>
      </c>
      <c r="B18" s="7" t="s">
        <v>352</v>
      </c>
      <c r="C18" s="34">
        <f t="shared" si="1"/>
        <v>171.6540544898</v>
      </c>
      <c r="D18" s="34">
        <f>D17</f>
        <v>-318.1728</v>
      </c>
      <c r="E18" s="34">
        <f>D18+E17</f>
        <v>-936.6048</v>
      </c>
      <c r="F18" s="34">
        <f>E18+F17</f>
        <v>-1854.6048</v>
      </c>
      <c r="G18" s="34">
        <f>F18+G17</f>
        <v>-586.805278633659</v>
      </c>
      <c r="H18" s="34">
        <f>G18+H17</f>
        <v>1056.41581011074</v>
      </c>
      <c r="I18" s="34">
        <f>H18+I17</f>
        <v>2811.42592301272</v>
      </c>
    </row>
    <row r="19" customHeight="1" spans="1:9">
      <c r="A19" s="7">
        <v>8</v>
      </c>
      <c r="B19" s="7" t="s">
        <v>353</v>
      </c>
      <c r="C19" s="34" t="e">
        <f t="shared" si="1"/>
        <v>#VALUE!</v>
      </c>
      <c r="D19" s="34">
        <f>D14/(1+A财务假设!$D$15)^(D2-2025)</f>
        <v>-318.1728</v>
      </c>
      <c r="E19" s="34">
        <f>E14/(1+A财务假设!$D$15)^(E2-2025)</f>
        <v>-600.419417475728</v>
      </c>
      <c r="F19" s="34">
        <f>F14/(1+A财务假设!$D$15)^(F2-2025)</f>
        <v>-865.303044584787</v>
      </c>
      <c r="G19" s="34">
        <f>G14/(1+A财务假设!$D$15)^(G2-2025)</f>
        <v>1490.17560481712</v>
      </c>
      <c r="H19" s="34" t="e">
        <f>H14/(1+A财务假设!$D$15)^(H2-2025)</f>
        <v>#VALUE!</v>
      </c>
      <c r="I19" s="34">
        <f>I14/(1+A财务假设!$D$15)^(I2-2025)</f>
        <v>1236.4581634308</v>
      </c>
    </row>
    <row r="20" customHeight="1" spans="1:9">
      <c r="A20" s="7">
        <v>9</v>
      </c>
      <c r="B20" s="7" t="s">
        <v>354</v>
      </c>
      <c r="C20" s="34" t="e">
        <f t="shared" si="1"/>
        <v>#VALUE!</v>
      </c>
      <c r="D20" s="34">
        <f>D19</f>
        <v>-318.1728</v>
      </c>
      <c r="E20" s="34">
        <f>D20+E19</f>
        <v>-918.592217475728</v>
      </c>
      <c r="F20" s="34">
        <f>E20+F19</f>
        <v>-1783.89526206051</v>
      </c>
      <c r="G20" s="34">
        <f>F20+G19</f>
        <v>-293.719657243392</v>
      </c>
      <c r="H20" s="34" t="e">
        <f>G20+H19</f>
        <v>#VALUE!</v>
      </c>
      <c r="I20" s="34" t="e">
        <f>H20+I19</f>
        <v>#VALUE!</v>
      </c>
    </row>
    <row r="21" customHeight="1" spans="1:9">
      <c r="A21" s="7">
        <v>10</v>
      </c>
      <c r="B21" s="7" t="s">
        <v>355</v>
      </c>
      <c r="C21" s="34" t="e">
        <f t="shared" si="1"/>
        <v>#VALUE!</v>
      </c>
      <c r="D21" s="34">
        <f>D17/(1+A财务假设!$D$15)^(D2-2025)</f>
        <v>-318.1728</v>
      </c>
      <c r="E21" s="34">
        <f>E17/(1+A财务假设!$D$15)^(E2-2025)</f>
        <v>-600.419417475728</v>
      </c>
      <c r="F21" s="34">
        <f>F17/(1+A财务假设!$D$15)^(F2-2025)</f>
        <v>-865.303044584787</v>
      </c>
      <c r="G21" s="34">
        <f>G17/(1+A财务假设!$D$15)^(G2-2025)</f>
        <v>1160.21615771033</v>
      </c>
      <c r="H21" s="34" t="e">
        <f>H17/(1+A财务假设!$D$15)^(H2-2025)</f>
        <v>#VALUE!</v>
      </c>
      <c r="I21" s="34">
        <f>I17/(1+A财务假设!$D$15)^(I2-2025)</f>
        <v>971.706547865649</v>
      </c>
    </row>
    <row r="22" customHeight="1" spans="1:9">
      <c r="A22" s="7">
        <v>11</v>
      </c>
      <c r="B22" s="7" t="s">
        <v>356</v>
      </c>
      <c r="C22" s="34" t="e">
        <f t="shared" si="1"/>
        <v>#VALUE!</v>
      </c>
      <c r="D22" s="34">
        <f>D21</f>
        <v>-318.1728</v>
      </c>
      <c r="E22" s="34">
        <f>D22+E21</f>
        <v>-918.592217475728</v>
      </c>
      <c r="F22" s="34">
        <f>E22+F21</f>
        <v>-1783.89526206051</v>
      </c>
      <c r="G22" s="34">
        <f>F22+G21</f>
        <v>-623.67910435018</v>
      </c>
      <c r="H22" s="34" t="e">
        <f>G22+H21</f>
        <v>#VALUE!</v>
      </c>
      <c r="I22" s="34" t="e">
        <f>H22+I21</f>
        <v>#VALUE!</v>
      </c>
    </row>
    <row r="23" ht="37.95" customHeight="1" spans="1:9">
      <c r="A23" s="7" t="s">
        <v>57</v>
      </c>
      <c r="B23" s="60" t="s">
        <v>357</v>
      </c>
      <c r="C23" s="7"/>
      <c r="D23" s="55">
        <f>IRR(D14:I14)</f>
        <v>0.526385917966536</v>
      </c>
      <c r="E23" s="56"/>
      <c r="F23" s="56"/>
      <c r="G23" s="56"/>
      <c r="H23" s="56"/>
      <c r="I23" s="58"/>
    </row>
    <row r="24" ht="34.95" customHeight="1" spans="1:9">
      <c r="A24" s="7" t="s">
        <v>61</v>
      </c>
      <c r="B24" s="60" t="s">
        <v>358</v>
      </c>
      <c r="C24" s="7"/>
      <c r="D24" s="55">
        <f>IRR(D17:I17)</f>
        <v>0.394960827543221</v>
      </c>
      <c r="E24" s="56"/>
      <c r="F24" s="56"/>
      <c r="G24" s="56"/>
      <c r="H24" s="56"/>
      <c r="I24" s="58"/>
    </row>
    <row r="25" ht="34.05" customHeight="1" spans="1:9">
      <c r="A25" s="7" t="s">
        <v>64</v>
      </c>
      <c r="B25" s="60" t="s">
        <v>359</v>
      </c>
      <c r="C25" s="61" t="s">
        <v>360</v>
      </c>
      <c r="D25" s="62">
        <f>NPV(0.05,D14:I14)</f>
        <v>3007.59206451658</v>
      </c>
      <c r="E25" s="56"/>
      <c r="F25" s="56"/>
      <c r="G25" s="56"/>
      <c r="H25" s="56"/>
      <c r="I25" s="58"/>
    </row>
    <row r="26" ht="34.05" customHeight="1" spans="1:9">
      <c r="A26" s="7" t="s">
        <v>67</v>
      </c>
      <c r="B26" s="60" t="s">
        <v>361</v>
      </c>
      <c r="C26" s="61" t="s">
        <v>360</v>
      </c>
      <c r="D26" s="62">
        <f>NPV(0.03,D17:I17)</f>
        <v>2281.73659216838</v>
      </c>
      <c r="E26" s="56"/>
      <c r="F26" s="56"/>
      <c r="G26" s="56"/>
      <c r="H26" s="56"/>
      <c r="I26" s="58"/>
    </row>
    <row r="27" ht="37.05" customHeight="1" spans="1:9">
      <c r="A27" s="7" t="s">
        <v>362</v>
      </c>
      <c r="B27" s="60" t="s">
        <v>363</v>
      </c>
      <c r="C27" s="7"/>
      <c r="D27" s="36" t="s">
        <v>364</v>
      </c>
      <c r="E27" s="36"/>
      <c r="F27" s="36"/>
      <c r="G27" s="36"/>
      <c r="H27" s="63">
        <f>E2-1+D15/E14-2025</f>
        <v>0.514483079788988</v>
      </c>
      <c r="I27" s="64"/>
    </row>
    <row r="28" ht="37.05" customHeight="1" spans="1:9">
      <c r="A28" s="7" t="s">
        <v>365</v>
      </c>
      <c r="B28" s="60" t="s">
        <v>366</v>
      </c>
      <c r="C28" s="7"/>
      <c r="D28" s="7" t="s">
        <v>367</v>
      </c>
      <c r="E28" s="7"/>
      <c r="F28" s="7"/>
      <c r="G28" s="7"/>
      <c r="H28" s="63">
        <f>E2-1+D20/E19-2025</f>
        <v>0.529917572182512</v>
      </c>
      <c r="I28" s="64"/>
    </row>
    <row r="29" ht="34.05" customHeight="1" spans="1:9">
      <c r="A29" s="7" t="s">
        <v>368</v>
      </c>
      <c r="B29" s="60" t="s">
        <v>369</v>
      </c>
      <c r="C29" s="7"/>
      <c r="D29" s="7" t="s">
        <v>370</v>
      </c>
      <c r="E29" s="7"/>
      <c r="F29" s="7"/>
      <c r="G29" s="7"/>
      <c r="H29" s="63">
        <f>E2-1+D18/E17-2025</f>
        <v>0.514483079788988</v>
      </c>
      <c r="I29" s="64"/>
    </row>
    <row r="30" ht="34.95" customHeight="1" spans="1:9">
      <c r="A30" s="7" t="s">
        <v>371</v>
      </c>
      <c r="B30" s="60" t="s">
        <v>372</v>
      </c>
      <c r="C30" s="7"/>
      <c r="D30" s="7" t="s">
        <v>373</v>
      </c>
      <c r="E30" s="7"/>
      <c r="F30" s="7"/>
      <c r="G30" s="7"/>
      <c r="H30" s="63">
        <f>E2-1+D22/E21-2025</f>
        <v>0.529917572182512</v>
      </c>
      <c r="I30" s="64"/>
    </row>
  </sheetData>
  <mergeCells count="13">
    <mergeCell ref="A1:I1"/>
    <mergeCell ref="D23:I23"/>
    <mergeCell ref="D24:I24"/>
    <mergeCell ref="D25:I25"/>
    <mergeCell ref="D26:I26"/>
    <mergeCell ref="D27:G27"/>
    <mergeCell ref="H27:I27"/>
    <mergeCell ref="D28:G28"/>
    <mergeCell ref="H28:I28"/>
    <mergeCell ref="D29:G29"/>
    <mergeCell ref="H29:I29"/>
    <mergeCell ref="D30:G30"/>
    <mergeCell ref="H30:I30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rgb="FFFFC000"/>
  </sheetPr>
  <dimension ref="A1:I17"/>
  <sheetViews>
    <sheetView zoomScale="70" zoomScaleNormal="70" workbookViewId="0">
      <selection activeCell="D11" sqref="D11"/>
    </sheetView>
  </sheetViews>
  <sheetFormatPr defaultColWidth="8.88888888888889" defaultRowHeight="28.05" customHeight="1"/>
  <cols>
    <col min="2" max="2" width="29.6666666666667" customWidth="1"/>
    <col min="3" max="3" width="17.1111111111111"/>
    <col min="4" max="4" width="17" customWidth="1"/>
    <col min="5" max="7" width="17.1111111111111"/>
    <col min="8" max="9" width="15.6666666666667"/>
  </cols>
  <sheetData>
    <row r="1" customHeight="1" spans="1:9">
      <c r="A1" s="53" t="s">
        <v>374</v>
      </c>
      <c r="B1" s="54"/>
      <c r="C1" s="54"/>
      <c r="D1" s="54"/>
      <c r="E1" s="54"/>
      <c r="F1" s="54"/>
      <c r="G1" s="54"/>
      <c r="H1" s="54"/>
      <c r="I1" s="57"/>
    </row>
    <row r="2" customHeight="1" spans="1:9">
      <c r="A2" s="2" t="s">
        <v>1</v>
      </c>
      <c r="B2" s="2" t="s">
        <v>159</v>
      </c>
      <c r="C2" s="2" t="s">
        <v>103</v>
      </c>
      <c r="D2" s="2">
        <v>2025</v>
      </c>
      <c r="E2" s="2">
        <v>2026</v>
      </c>
      <c r="F2" s="2">
        <v>2027</v>
      </c>
      <c r="G2" s="2">
        <v>2028</v>
      </c>
      <c r="H2" s="2" t="s">
        <v>135</v>
      </c>
      <c r="I2" s="2">
        <v>2045</v>
      </c>
    </row>
    <row r="3" customHeight="1" spans="1:9">
      <c r="A3" s="7">
        <v>1</v>
      </c>
      <c r="B3" s="7" t="s">
        <v>340</v>
      </c>
      <c r="C3" s="34">
        <f>SUM(D3:I3)</f>
        <v>6116.39053105948</v>
      </c>
      <c r="D3" s="34">
        <f t="shared" ref="D3:I3" si="0">SUM(D4:D7)</f>
        <v>0</v>
      </c>
      <c r="E3" s="34">
        <f t="shared" si="0"/>
        <v>0</v>
      </c>
      <c r="F3" s="34">
        <f t="shared" si="0"/>
        <v>0</v>
      </c>
      <c r="G3" s="34">
        <f t="shared" si="0"/>
        <v>1666</v>
      </c>
      <c r="H3" s="34">
        <f t="shared" si="0"/>
        <v>2162.6</v>
      </c>
      <c r="I3" s="34">
        <f t="shared" si="0"/>
        <v>2287.79053105948</v>
      </c>
    </row>
    <row r="4" customHeight="1" spans="1:9">
      <c r="A4" s="7">
        <v>1.1</v>
      </c>
      <c r="B4" s="7" t="s">
        <v>341</v>
      </c>
      <c r="C4" s="34">
        <f>SUM(D4:I4)</f>
        <v>6019.412</v>
      </c>
      <c r="D4" s="34">
        <f>F项目收入!D10</f>
        <v>0</v>
      </c>
      <c r="E4" s="34">
        <f>F项目收入!E10</f>
        <v>0</v>
      </c>
      <c r="F4" s="34">
        <f>F项目收入!F10</f>
        <v>0</v>
      </c>
      <c r="G4" s="34">
        <f>F项目收入!G10</f>
        <v>1665</v>
      </c>
      <c r="H4" s="34">
        <f>F项目收入!H10</f>
        <v>2161.6</v>
      </c>
      <c r="I4" s="34">
        <f>F项目收入!I10</f>
        <v>2192.812</v>
      </c>
    </row>
    <row r="5" customHeight="1" spans="1:9">
      <c r="A5" s="7">
        <v>1.2</v>
      </c>
      <c r="B5" s="7" t="s">
        <v>302</v>
      </c>
      <c r="C5" s="34">
        <f>SUM(D5:I5)</f>
        <v>3</v>
      </c>
      <c r="D5" s="34">
        <f>F项目收入!D9</f>
        <v>0</v>
      </c>
      <c r="E5" s="34">
        <f>F项目收入!E9</f>
        <v>0</v>
      </c>
      <c r="F5" s="34">
        <f>F项目收入!F9</f>
        <v>0</v>
      </c>
      <c r="G5" s="34">
        <f>F项目收入!G9</f>
        <v>1</v>
      </c>
      <c r="H5" s="34">
        <f>F项目收入!H9</f>
        <v>1</v>
      </c>
      <c r="I5" s="34">
        <f>F项目收入!I9</f>
        <v>1</v>
      </c>
    </row>
    <row r="6" customHeight="1" spans="1:9">
      <c r="A6" s="7">
        <v>1.3</v>
      </c>
      <c r="B6" s="7" t="s">
        <v>342</v>
      </c>
      <c r="C6" s="34">
        <f>SUM(D6:I6)</f>
        <v>84.9496063233665</v>
      </c>
      <c r="D6" s="34" t="s">
        <v>102</v>
      </c>
      <c r="E6" s="34" t="s">
        <v>102</v>
      </c>
      <c r="F6" s="34" t="s">
        <v>102</v>
      </c>
      <c r="G6" s="34" t="s">
        <v>102</v>
      </c>
      <c r="H6" s="34" t="s">
        <v>102</v>
      </c>
      <c r="I6" s="34">
        <f>E.2固定资产折旧费估算表!C4*A财务假设!$D$12</f>
        <v>84.9496063233665</v>
      </c>
    </row>
    <row r="7" customHeight="1" spans="1:9">
      <c r="A7" s="7">
        <v>1.4</v>
      </c>
      <c r="B7" s="7" t="s">
        <v>375</v>
      </c>
      <c r="C7" s="34">
        <f>SUM(D7:I7)</f>
        <v>9.02892473611111</v>
      </c>
      <c r="D7" s="34" t="s">
        <v>102</v>
      </c>
      <c r="E7" s="34" t="s">
        <v>102</v>
      </c>
      <c r="F7" s="34" t="s">
        <v>102</v>
      </c>
      <c r="G7" s="34" t="s">
        <v>102</v>
      </c>
      <c r="H7" s="34" t="s">
        <v>102</v>
      </c>
      <c r="I7" s="34">
        <f>D.4流动资金估算表!J13</f>
        <v>9.02892473611111</v>
      </c>
    </row>
    <row r="8" customHeight="1" spans="1:9">
      <c r="A8" s="7">
        <v>2</v>
      </c>
      <c r="B8" s="7" t="s">
        <v>344</v>
      </c>
      <c r="C8" s="34">
        <f t="shared" ref="C8:C16" si="1">SUM(D8:I8)</f>
        <v>3184.62210804676</v>
      </c>
      <c r="D8" s="34">
        <f t="shared" ref="D8:I8" si="2">SUM(D9:D15)</f>
        <v>128.9328</v>
      </c>
      <c r="E8" s="34">
        <f t="shared" si="2"/>
        <v>248.092</v>
      </c>
      <c r="F8" s="34">
        <f t="shared" si="2"/>
        <v>1043.88</v>
      </c>
      <c r="G8" s="34">
        <f t="shared" si="2"/>
        <v>505.487978633659</v>
      </c>
      <c r="H8" s="34">
        <f t="shared" si="2"/>
        <v>522.413911255601</v>
      </c>
      <c r="I8" s="34">
        <f t="shared" si="2"/>
        <v>735.815418157497</v>
      </c>
    </row>
    <row r="9" customHeight="1" spans="1:9">
      <c r="A9" s="7">
        <v>2.1</v>
      </c>
      <c r="B9" s="7" t="s">
        <v>141</v>
      </c>
      <c r="C9" s="34">
        <f t="shared" si="1"/>
        <v>1196.78372473611</v>
      </c>
      <c r="D9" s="34">
        <f>D.2项目总投资使用计划与资金筹措表!D8</f>
        <v>123.5528</v>
      </c>
      <c r="E9" s="34">
        <f>D.2项目总投资使用计划与资金筹措表!E8</f>
        <v>133.262</v>
      </c>
      <c r="F9" s="34">
        <f>D.2项目总投资使用计划与资金筹措表!F8</f>
        <v>930.94</v>
      </c>
      <c r="G9" s="34">
        <f>D.2项目总投资使用计划与资金筹措表!G8</f>
        <v>6.975329375</v>
      </c>
      <c r="H9" s="34">
        <f>D.2项目总投资使用计划与资金筹措表!H8</f>
        <v>1.96690323611111</v>
      </c>
      <c r="I9" s="34">
        <f>D.2项目总投资使用计划与资金筹措表!I8</f>
        <v>0.086692124999999</v>
      </c>
    </row>
    <row r="10" customHeight="1" spans="1:9">
      <c r="A10" s="7">
        <v>2.2</v>
      </c>
      <c r="B10" s="7" t="s">
        <v>376</v>
      </c>
      <c r="C10" s="34">
        <f t="shared" si="1"/>
        <v>500</v>
      </c>
      <c r="D10" s="34">
        <f>c借款还本付息计划表!D23</f>
        <v>0</v>
      </c>
      <c r="E10" s="34">
        <f>c借款还本付息计划表!E23</f>
        <v>100</v>
      </c>
      <c r="F10" s="34">
        <f>c借款还本付息计划表!F23</f>
        <v>100</v>
      </c>
      <c r="G10" s="34">
        <f>c借款还本付息计划表!G23</f>
        <v>100</v>
      </c>
      <c r="H10" s="34">
        <f>c借款还本付息计划表!K23</f>
        <v>0</v>
      </c>
      <c r="I10" s="34">
        <f>c借款还本付息计划表!L23</f>
        <v>200</v>
      </c>
    </row>
    <row r="11" customHeight="1" spans="1:9">
      <c r="A11" s="7">
        <v>2.3</v>
      </c>
      <c r="B11" s="7" t="s">
        <v>377</v>
      </c>
      <c r="C11" s="34">
        <f t="shared" si="1"/>
        <v>54.96</v>
      </c>
      <c r="D11" s="34">
        <f>c借款还本付息计划表!D24</f>
        <v>5.38</v>
      </c>
      <c r="E11" s="34">
        <f>c借款还本付息计划表!E24</f>
        <v>14.83</v>
      </c>
      <c r="F11" s="34">
        <f>c借款还本付息计划表!F24</f>
        <v>12.94</v>
      </c>
      <c r="G11" s="34">
        <f>c借款还本付息计划表!G24</f>
        <v>11.05</v>
      </c>
      <c r="H11" s="34">
        <f>c借款还本付息计划表!K24</f>
        <v>5.38</v>
      </c>
      <c r="I11" s="34">
        <f>c借款还本付息计划表!L24</f>
        <v>5.38</v>
      </c>
    </row>
    <row r="12" customHeight="1" spans="1:9">
      <c r="A12" s="7">
        <v>2.4</v>
      </c>
      <c r="B12" s="7" t="s">
        <v>345</v>
      </c>
      <c r="C12" s="34">
        <f t="shared" si="1"/>
        <v>103.840374</v>
      </c>
      <c r="D12" s="34">
        <f>E总成本费用估算表!C11</f>
        <v>0</v>
      </c>
      <c r="E12" s="34">
        <f>E总成本费用估算表!D11</f>
        <v>0</v>
      </c>
      <c r="F12" s="34">
        <f>E总成本费用估算表!E11</f>
        <v>0</v>
      </c>
      <c r="G12" s="34">
        <f>E总成本费用估算表!F11</f>
        <v>29.6695525</v>
      </c>
      <c r="H12" s="34">
        <f>E总成本费用估算表!G11</f>
        <v>37.085458</v>
      </c>
      <c r="I12" s="34">
        <f>E总成本费用估算表!H11</f>
        <v>37.0853635</v>
      </c>
    </row>
    <row r="13" customHeight="1" spans="1:9">
      <c r="A13" s="7">
        <v>2.5</v>
      </c>
      <c r="B13" s="7" t="s">
        <v>346</v>
      </c>
      <c r="C13" s="34">
        <f t="shared" si="1"/>
        <v>22.3143663490712</v>
      </c>
      <c r="D13" s="37">
        <f>G.税金及附加测算表!D30</f>
        <v>0</v>
      </c>
      <c r="E13" s="37">
        <f>G.税金及附加测算表!E30</f>
        <v>0</v>
      </c>
      <c r="F13" s="37">
        <f>G.税金及附加测算表!F30</f>
        <v>0</v>
      </c>
      <c r="G13" s="37">
        <f>G.税金及附加测算表!G30</f>
        <v>0</v>
      </c>
      <c r="H13" s="37">
        <f>G.税金及附加测算表!H30</f>
        <v>5.87687108567542</v>
      </c>
      <c r="I13" s="37">
        <f>G.税金及附加测算表!I30</f>
        <v>16.4374952633957</v>
      </c>
    </row>
    <row r="14" customHeight="1" spans="1:9">
      <c r="A14" s="7">
        <v>2.6</v>
      </c>
      <c r="B14" s="7" t="s">
        <v>378</v>
      </c>
      <c r="C14" s="34">
        <f t="shared" si="1"/>
        <v>1306.72364296157</v>
      </c>
      <c r="D14" s="34">
        <f>'b利润与利润分配表（损益和利润分配表）'!E11</f>
        <v>0</v>
      </c>
      <c r="E14" s="34">
        <f>'b利润与利润分配表（损益和利润分配表）'!F11</f>
        <v>0</v>
      </c>
      <c r="F14" s="34">
        <f>'b利润与利润分配表（损益和利润分配表）'!G11</f>
        <v>0</v>
      </c>
      <c r="G14" s="34">
        <f>'b利润与利润分配表（损益和利润分配表）'!H11</f>
        <v>357.793096758659</v>
      </c>
      <c r="H14" s="34">
        <f>'b利润与利润分配表（损益和利润分配表）'!I11</f>
        <v>472.104678933814</v>
      </c>
      <c r="I14" s="34">
        <f>'b利润与利润分配表（损益和利润分配表）'!J11</f>
        <v>476.825867269101</v>
      </c>
    </row>
    <row r="15" customHeight="1" spans="1:9">
      <c r="A15" s="7">
        <v>2.7</v>
      </c>
      <c r="B15" s="7" t="s">
        <v>347</v>
      </c>
      <c r="C15" s="34">
        <f t="shared" si="1"/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</row>
    <row r="16" customHeight="1" spans="1:9">
      <c r="A16" s="7">
        <v>3</v>
      </c>
      <c r="B16" s="7" t="s">
        <v>379</v>
      </c>
      <c r="C16" s="34">
        <f t="shared" si="1"/>
        <v>2931.76842301272</v>
      </c>
      <c r="D16" s="34">
        <f t="shared" ref="D16:I16" si="3">D3-D8</f>
        <v>-128.9328</v>
      </c>
      <c r="E16" s="34">
        <f t="shared" si="3"/>
        <v>-248.092</v>
      </c>
      <c r="F16" s="34">
        <f t="shared" si="3"/>
        <v>-1043.88</v>
      </c>
      <c r="G16" s="34">
        <f t="shared" si="3"/>
        <v>1160.51202136634</v>
      </c>
      <c r="H16" s="34">
        <f t="shared" si="3"/>
        <v>1640.1860887444</v>
      </c>
      <c r="I16" s="34">
        <f t="shared" si="3"/>
        <v>1551.97511290198</v>
      </c>
    </row>
    <row r="17" customHeight="1" spans="1:9">
      <c r="A17" s="7" t="s">
        <v>57</v>
      </c>
      <c r="B17" s="38" t="s">
        <v>380</v>
      </c>
      <c r="C17" s="7"/>
      <c r="D17" s="55">
        <f>IRR(D16:I16)</f>
        <v>0.590171676816228</v>
      </c>
      <c r="E17" s="56"/>
      <c r="F17" s="56"/>
      <c r="G17" s="56"/>
      <c r="H17" s="56"/>
      <c r="I17" s="58"/>
    </row>
  </sheetData>
  <mergeCells count="2">
    <mergeCell ref="A1:I1"/>
    <mergeCell ref="D17:I17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rgb="FFFFC000"/>
  </sheetPr>
  <dimension ref="A1:J28"/>
  <sheetViews>
    <sheetView zoomScale="85" zoomScaleNormal="85" topLeftCell="A22" workbookViewId="0">
      <selection activeCell="G9" sqref="G9"/>
    </sheetView>
  </sheetViews>
  <sheetFormatPr defaultColWidth="8.88888888888889" defaultRowHeight="28.05" customHeight="1"/>
  <cols>
    <col min="1" max="1" width="8.88888888888889" style="50"/>
    <col min="2" max="2" width="28.7777777777778" style="50" customWidth="1"/>
    <col min="3" max="3" width="18.4444444444444" style="50" customWidth="1"/>
    <col min="4" max="4" width="31.4444444444444" style="50" hidden="1" customWidth="1"/>
    <col min="5" max="5" width="19" style="50" customWidth="1"/>
    <col min="6" max="6" width="20.6666666666667" style="50" customWidth="1"/>
    <col min="7" max="7" width="19.7777777777778" style="50" customWidth="1"/>
    <col min="8" max="10" width="17.1111111111111" style="50"/>
    <col min="11" max="16384" width="8.88888888888889" style="50"/>
  </cols>
  <sheetData>
    <row r="1" customHeight="1" spans="1:10">
      <c r="A1" s="33" t="s">
        <v>381</v>
      </c>
      <c r="B1" s="33"/>
      <c r="C1" s="33"/>
      <c r="D1" s="33"/>
      <c r="E1" s="33"/>
      <c r="F1" s="33"/>
      <c r="G1" s="33"/>
      <c r="H1" s="33"/>
      <c r="I1" s="33"/>
      <c r="J1" s="33"/>
    </row>
    <row r="2" customHeight="1" spans="1:10">
      <c r="A2" s="2" t="s">
        <v>1</v>
      </c>
      <c r="B2" s="2" t="s">
        <v>159</v>
      </c>
      <c r="C2" s="2" t="s">
        <v>103</v>
      </c>
      <c r="D2" s="2"/>
      <c r="E2" s="2">
        <v>2025</v>
      </c>
      <c r="F2" s="2">
        <v>2026</v>
      </c>
      <c r="G2" s="2">
        <v>2027</v>
      </c>
      <c r="H2" s="2">
        <v>2028</v>
      </c>
      <c r="I2" s="2" t="s">
        <v>56</v>
      </c>
      <c r="J2" s="2">
        <v>2045</v>
      </c>
    </row>
    <row r="3" customHeight="1" spans="1:10">
      <c r="A3" s="7">
        <v>1</v>
      </c>
      <c r="B3" s="7" t="s">
        <v>382</v>
      </c>
      <c r="C3" s="37">
        <f t="shared" ref="C3:C8" si="0">SUM(E3:J3)</f>
        <v>5636.27772200104</v>
      </c>
      <c r="D3" s="37"/>
      <c r="E3" s="37">
        <f>F项目收入!D11</f>
        <v>0</v>
      </c>
      <c r="F3" s="37">
        <f>F项目收入!E11</f>
        <v>0</v>
      </c>
      <c r="G3" s="37">
        <f>F项目收入!F11</f>
        <v>0</v>
      </c>
      <c r="H3" s="37">
        <f>F项目收入!G11</f>
        <v>1559.38670590272</v>
      </c>
      <c r="I3" s="37">
        <f>F项目收入!H11</f>
        <v>2023.72286653973</v>
      </c>
      <c r="J3" s="37">
        <f>F项目收入!I11</f>
        <v>2053.16814955859</v>
      </c>
    </row>
    <row r="4" customHeight="1" spans="1:10">
      <c r="A4" s="7">
        <v>2</v>
      </c>
      <c r="B4" s="7" t="s">
        <v>346</v>
      </c>
      <c r="C4" s="34">
        <f t="shared" si="0"/>
        <v>22.3143663490712</v>
      </c>
      <c r="D4" s="37"/>
      <c r="E4" s="37">
        <f>G.税金及附加测算表!D30</f>
        <v>0</v>
      </c>
      <c r="F4" s="37">
        <f>G.税金及附加测算表!E30</f>
        <v>0</v>
      </c>
      <c r="G4" s="37">
        <f>G.税金及附加测算表!F30</f>
        <v>0</v>
      </c>
      <c r="H4" s="37">
        <f>G.税金及附加测算表!G30</f>
        <v>0</v>
      </c>
      <c r="I4" s="37">
        <f>G.税金及附加测算表!H30</f>
        <v>5.87687108567542</v>
      </c>
      <c r="J4" s="37">
        <f>G.税金及附加测算表!I30</f>
        <v>16.4374952633957</v>
      </c>
    </row>
    <row r="5" customHeight="1" spans="1:10">
      <c r="A5" s="7">
        <v>3</v>
      </c>
      <c r="B5" s="7" t="s">
        <v>383</v>
      </c>
      <c r="C5" s="34">
        <f t="shared" si="0"/>
        <v>390.068783805668</v>
      </c>
      <c r="D5" s="34"/>
      <c r="E5" s="34">
        <f>E总成本费用估算表!C15-G.税金及附加测算表!D4</f>
        <v>0</v>
      </c>
      <c r="F5" s="34">
        <f>E总成本费用估算表!D15-G.税金及附加测算表!E4</f>
        <v>0</v>
      </c>
      <c r="G5" s="34">
        <f>E总成本费用估算表!E15-G.税金及附加测算表!F4</f>
        <v>0</v>
      </c>
      <c r="H5" s="34">
        <f>E总成本费用估算表!F15-G.税金及附加测算表!G4</f>
        <v>129.214318868082</v>
      </c>
      <c r="I5" s="34">
        <f>E总成本费用估算表!G15-G.税金及附加测算表!H4</f>
        <v>130.427279718793</v>
      </c>
      <c r="J5" s="34">
        <f>E总成本费用估算表!H15-G.税金及附加测算表!I4</f>
        <v>130.427185218793</v>
      </c>
    </row>
    <row r="6" customHeight="1" spans="1:10">
      <c r="A6" s="7">
        <v>4</v>
      </c>
      <c r="B6" s="7" t="s">
        <v>302</v>
      </c>
      <c r="C6" s="34">
        <f t="shared" si="0"/>
        <v>3</v>
      </c>
      <c r="D6" s="34"/>
      <c r="E6" s="34">
        <f>F项目收入!D9</f>
        <v>0</v>
      </c>
      <c r="F6" s="34">
        <f>F项目收入!E9</f>
        <v>0</v>
      </c>
      <c r="G6" s="34">
        <f>F项目收入!F9</f>
        <v>0</v>
      </c>
      <c r="H6" s="34">
        <f>F项目收入!G9</f>
        <v>1</v>
      </c>
      <c r="I6" s="34">
        <f>F项目收入!H9</f>
        <v>1</v>
      </c>
      <c r="J6" s="34">
        <f>F项目收入!I9</f>
        <v>1</v>
      </c>
    </row>
    <row r="7" customHeight="1" spans="1:10">
      <c r="A7" s="7">
        <v>5</v>
      </c>
      <c r="B7" s="7" t="s">
        <v>384</v>
      </c>
      <c r="C7" s="34">
        <f t="shared" si="0"/>
        <v>5226.8945718463</v>
      </c>
      <c r="D7" s="34"/>
      <c r="E7" s="34">
        <f t="shared" ref="E7:J7" si="1">E3-E4-E5+E6</f>
        <v>0</v>
      </c>
      <c r="F7" s="34">
        <f t="shared" si="1"/>
        <v>0</v>
      </c>
      <c r="G7" s="34">
        <f t="shared" si="1"/>
        <v>0</v>
      </c>
      <c r="H7" s="34">
        <f t="shared" si="1"/>
        <v>1431.17238703464</v>
      </c>
      <c r="I7" s="34">
        <f t="shared" si="1"/>
        <v>1888.41871573526</v>
      </c>
      <c r="J7" s="34">
        <f t="shared" si="1"/>
        <v>1907.30346907641</v>
      </c>
    </row>
    <row r="8" customHeight="1" spans="1:10">
      <c r="A8" s="7">
        <v>6</v>
      </c>
      <c r="B8" s="7" t="s">
        <v>385</v>
      </c>
      <c r="C8" s="34">
        <f t="shared" si="0"/>
        <v>0</v>
      </c>
      <c r="D8" s="37"/>
      <c r="E8" s="37">
        <f>IF((E7+D8)&gt;0,0,(E7+D8))</f>
        <v>0</v>
      </c>
      <c r="F8" s="37">
        <v>0</v>
      </c>
      <c r="G8" s="37">
        <f>IF(F9&lt;0,IF((G7+F9)&lt;0,G7,-F9),0)</f>
        <v>0</v>
      </c>
      <c r="H8" s="37">
        <f>IF(G9&lt;0,IF((H7+G9)&lt;0,H7,-G9),0)</f>
        <v>0</v>
      </c>
      <c r="I8" s="37">
        <f>IF(H9&lt;0,IF((I7+H9)&lt;0,I7,-H9),0)</f>
        <v>0</v>
      </c>
      <c r="J8" s="37">
        <f>IF(I9&lt;0,IF((J7+I9)&lt;0,J7,-I9),0)</f>
        <v>0</v>
      </c>
    </row>
    <row r="9" customHeight="1" spans="1:10">
      <c r="A9" s="7"/>
      <c r="B9" s="7" t="s">
        <v>386</v>
      </c>
      <c r="C9" s="34" t="s">
        <v>102</v>
      </c>
      <c r="D9" s="34"/>
      <c r="E9" s="34" t="s">
        <v>102</v>
      </c>
      <c r="F9" s="34">
        <f>IF(F7&lt;0,F7,0)</f>
        <v>0</v>
      </c>
      <c r="G9" s="34">
        <f>IF(F9&lt;0,F9+G8,0)</f>
        <v>0</v>
      </c>
      <c r="H9" s="34">
        <f>IF(G9&lt;0,G9+H8,0)</f>
        <v>0</v>
      </c>
      <c r="I9" s="34">
        <f>IF(H9&lt;0,H9+I8,0)</f>
        <v>0</v>
      </c>
      <c r="J9" s="34">
        <f>IF(I9&lt;0,I9+J8,0)</f>
        <v>0</v>
      </c>
    </row>
    <row r="10" customHeight="1" spans="1:10">
      <c r="A10" s="7">
        <v>7</v>
      </c>
      <c r="B10" s="7" t="s">
        <v>387</v>
      </c>
      <c r="C10" s="34">
        <f t="shared" ref="C10:C26" si="2">SUM(E10:J10)</f>
        <v>5226.8945718463</v>
      </c>
      <c r="D10" s="34"/>
      <c r="E10" s="34">
        <f>IF((E7+D8)&gt;0,(E7+D8),0)</f>
        <v>0</v>
      </c>
      <c r="F10" s="34">
        <f>IF(F9&lt;0,0,(F7-F8)*0.25)</f>
        <v>0</v>
      </c>
      <c r="G10" s="34">
        <f>IF(G9&lt;0,0,(G7-G8)*0.25)</f>
        <v>0</v>
      </c>
      <c r="H10" s="34">
        <f>IF(H9&lt;0,0,(H7-H8))</f>
        <v>1431.17238703464</v>
      </c>
      <c r="I10" s="34">
        <f>IF(I9&lt;0,0,(I7-I8))</f>
        <v>1888.41871573526</v>
      </c>
      <c r="J10" s="34">
        <f>IF(J9&lt;0,0,(J7-J8))</f>
        <v>1907.30346907641</v>
      </c>
    </row>
    <row r="11" ht="46.95" customHeight="1" spans="1:10">
      <c r="A11" s="7">
        <v>8</v>
      </c>
      <c r="B11" s="31" t="s">
        <v>388</v>
      </c>
      <c r="C11" s="34">
        <f t="shared" si="2"/>
        <v>1306.72364296157</v>
      </c>
      <c r="D11" s="34"/>
      <c r="E11" s="34">
        <f>E10*A财务假设!$D$9</f>
        <v>0</v>
      </c>
      <c r="F11" s="34">
        <f>IF((F10)&lt;0,0,(F10*A财务假设!$D$9))</f>
        <v>0</v>
      </c>
      <c r="G11" s="34">
        <f>IF((G10)&lt;0,0,(G10*A财务假设!$D$9))</f>
        <v>0</v>
      </c>
      <c r="H11" s="34">
        <f>IF((H10)&lt;0,0,(H10*A财务假设!$D$9))</f>
        <v>357.793096758659</v>
      </c>
      <c r="I11" s="34">
        <f>IF((I10)&lt;0,0,(I10*A财务假设!$D$9))</f>
        <v>472.104678933814</v>
      </c>
      <c r="J11" s="34">
        <f>IF((J10)&lt;0,0,(J10*A财务假设!$D$9))</f>
        <v>476.825867269101</v>
      </c>
    </row>
    <row r="12" customHeight="1" spans="1:10">
      <c r="A12" s="7">
        <v>9</v>
      </c>
      <c r="B12" s="7" t="s">
        <v>389</v>
      </c>
      <c r="C12" s="34">
        <f t="shared" si="2"/>
        <v>3920.17092888473</v>
      </c>
      <c r="D12" s="34"/>
      <c r="E12" s="34">
        <f>E7-E11</f>
        <v>0</v>
      </c>
      <c r="F12" s="34">
        <f t="shared" ref="F12:J12" si="3">F7-F11</f>
        <v>0</v>
      </c>
      <c r="G12" s="34">
        <f t="shared" si="3"/>
        <v>0</v>
      </c>
      <c r="H12" s="34">
        <f t="shared" si="3"/>
        <v>1073.37929027598</v>
      </c>
      <c r="I12" s="34">
        <f t="shared" si="3"/>
        <v>1416.31403680144</v>
      </c>
      <c r="J12" s="34">
        <f t="shared" si="3"/>
        <v>1430.4776018073</v>
      </c>
    </row>
    <row r="13" customHeight="1" spans="1:10">
      <c r="A13" s="7">
        <v>10</v>
      </c>
      <c r="B13" s="7" t="s">
        <v>390</v>
      </c>
      <c r="C13" s="34">
        <f t="shared" si="2"/>
        <v>0</v>
      </c>
      <c r="D13" s="35"/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</row>
    <row r="14" customHeight="1" spans="1:10">
      <c r="A14" s="7">
        <v>11</v>
      </c>
      <c r="B14" s="7" t="s">
        <v>391</v>
      </c>
      <c r="C14" s="34">
        <f t="shared" si="2"/>
        <v>3920.17092888473</v>
      </c>
      <c r="D14" s="34"/>
      <c r="E14" s="34">
        <f t="shared" ref="E14:J14" si="4">SUM(E12:E13)</f>
        <v>0</v>
      </c>
      <c r="F14" s="34">
        <f t="shared" si="4"/>
        <v>0</v>
      </c>
      <c r="G14" s="34">
        <f t="shared" si="4"/>
        <v>0</v>
      </c>
      <c r="H14" s="34">
        <f t="shared" si="4"/>
        <v>1073.37929027598</v>
      </c>
      <c r="I14" s="34">
        <f t="shared" si="4"/>
        <v>1416.31403680144</v>
      </c>
      <c r="J14" s="34">
        <f t="shared" si="4"/>
        <v>1430.4776018073</v>
      </c>
    </row>
    <row r="15" customHeight="1" spans="1:10">
      <c r="A15" s="7">
        <v>12</v>
      </c>
      <c r="B15" s="7" t="s">
        <v>392</v>
      </c>
      <c r="C15" s="34">
        <f t="shared" si="2"/>
        <v>392.017092888472</v>
      </c>
      <c r="D15" s="34"/>
      <c r="E15" s="34">
        <f>E12*A财务假设!$D$10</f>
        <v>0</v>
      </c>
      <c r="F15" s="34">
        <f>F12*A财务假设!$D$10</f>
        <v>0</v>
      </c>
      <c r="G15" s="34">
        <f>G12*A财务假设!$D$10</f>
        <v>0</v>
      </c>
      <c r="H15" s="34">
        <f>H12*A财务假设!$D$10</f>
        <v>107.337929027598</v>
      </c>
      <c r="I15" s="34">
        <f>I12*A财务假设!$D$10</f>
        <v>141.631403680144</v>
      </c>
      <c r="J15" s="34">
        <f>J12*A财务假设!$D$10</f>
        <v>143.04776018073</v>
      </c>
    </row>
    <row r="16" customHeight="1" spans="1:10">
      <c r="A16" s="7">
        <v>13</v>
      </c>
      <c r="B16" s="7" t="s">
        <v>393</v>
      </c>
      <c r="C16" s="34">
        <f t="shared" si="2"/>
        <v>3528.15383599625</v>
      </c>
      <c r="D16" s="34"/>
      <c r="E16" s="34">
        <f t="shared" ref="E16:J16" si="5">E14-E15</f>
        <v>0</v>
      </c>
      <c r="F16" s="34">
        <f t="shared" si="5"/>
        <v>0</v>
      </c>
      <c r="G16" s="34">
        <f t="shared" si="5"/>
        <v>0</v>
      </c>
      <c r="H16" s="34">
        <f t="shared" si="5"/>
        <v>966.041361248379</v>
      </c>
      <c r="I16" s="34">
        <f t="shared" si="5"/>
        <v>1274.6826331213</v>
      </c>
      <c r="J16" s="34">
        <f t="shared" si="5"/>
        <v>1287.42984162657</v>
      </c>
    </row>
    <row r="17" customHeight="1" spans="1:10">
      <c r="A17" s="7">
        <v>14</v>
      </c>
      <c r="B17" s="51" t="s">
        <v>394</v>
      </c>
      <c r="C17" s="34">
        <f t="shared" si="2"/>
        <v>0</v>
      </c>
      <c r="D17" s="35"/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</row>
    <row r="18" customHeight="1" spans="1:10">
      <c r="A18" s="7">
        <v>15</v>
      </c>
      <c r="B18" s="51" t="s">
        <v>395</v>
      </c>
      <c r="C18" s="34">
        <f t="shared" si="2"/>
        <v>176.407691799813</v>
      </c>
      <c r="D18" s="34"/>
      <c r="E18" s="34">
        <f>E16*A财务假设!$D$11</f>
        <v>0</v>
      </c>
      <c r="F18" s="34">
        <f>F16*A财务假设!$D$11</f>
        <v>0</v>
      </c>
      <c r="G18" s="34">
        <f>G16*A财务假设!$D$11</f>
        <v>0</v>
      </c>
      <c r="H18" s="34">
        <f>H16*A财务假设!$D$11</f>
        <v>48.302068062419</v>
      </c>
      <c r="I18" s="34">
        <f>I16*A财务假设!$D$11</f>
        <v>63.734131656065</v>
      </c>
      <c r="J18" s="34">
        <f>J16*A财务假设!$D$11</f>
        <v>64.3714920813287</v>
      </c>
    </row>
    <row r="19" customHeight="1" spans="1:10">
      <c r="A19" s="7">
        <v>16</v>
      </c>
      <c r="B19" s="51" t="s">
        <v>396</v>
      </c>
      <c r="C19" s="34">
        <f t="shared" si="2"/>
        <v>3351.74614419644</v>
      </c>
      <c r="D19" s="52"/>
      <c r="E19" s="52">
        <f t="shared" ref="E19:J19" si="6">E16-E17-E18</f>
        <v>0</v>
      </c>
      <c r="F19" s="52">
        <f t="shared" si="6"/>
        <v>0</v>
      </c>
      <c r="G19" s="52">
        <f t="shared" si="6"/>
        <v>0</v>
      </c>
      <c r="H19" s="52">
        <f t="shared" si="6"/>
        <v>917.73929318596</v>
      </c>
      <c r="I19" s="52">
        <f t="shared" si="6"/>
        <v>1210.94850146523</v>
      </c>
      <c r="J19" s="52">
        <f t="shared" si="6"/>
        <v>1223.05834954525</v>
      </c>
    </row>
    <row r="20" customHeight="1" spans="1:10">
      <c r="A20" s="7">
        <v>17</v>
      </c>
      <c r="B20" s="51" t="s">
        <v>397</v>
      </c>
      <c r="C20" s="34">
        <f t="shared" si="2"/>
        <v>0</v>
      </c>
      <c r="D20" s="35"/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</row>
    <row r="21" customHeight="1" spans="1:10">
      <c r="A21" s="7">
        <v>17.1</v>
      </c>
      <c r="B21" s="51" t="s">
        <v>398</v>
      </c>
      <c r="C21" s="34">
        <f t="shared" si="2"/>
        <v>0</v>
      </c>
      <c r="D21" s="35"/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</row>
    <row r="22" customHeight="1" spans="1:10">
      <c r="A22" s="7">
        <v>18</v>
      </c>
      <c r="B22" s="7" t="s">
        <v>399</v>
      </c>
      <c r="C22" s="34">
        <f t="shared" si="2"/>
        <v>0</v>
      </c>
      <c r="D22" s="34"/>
      <c r="E22" s="34">
        <f t="shared" ref="E22:J22" si="7">E16-E17-E18-E19</f>
        <v>0</v>
      </c>
      <c r="F22" s="34">
        <f t="shared" si="7"/>
        <v>0</v>
      </c>
      <c r="G22" s="34">
        <f t="shared" si="7"/>
        <v>0</v>
      </c>
      <c r="H22" s="34">
        <f t="shared" si="7"/>
        <v>0</v>
      </c>
      <c r="I22" s="34">
        <f t="shared" si="7"/>
        <v>0</v>
      </c>
      <c r="J22" s="34">
        <f t="shared" si="7"/>
        <v>0</v>
      </c>
    </row>
    <row r="23" customHeight="1" spans="1:10">
      <c r="A23" s="7">
        <v>18.1</v>
      </c>
      <c r="B23" s="7" t="s">
        <v>400</v>
      </c>
      <c r="C23" s="34">
        <f t="shared" si="2"/>
        <v>0</v>
      </c>
      <c r="D23" s="35"/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</row>
    <row r="24" customHeight="1" spans="1:10">
      <c r="A24" s="7">
        <v>18.2</v>
      </c>
      <c r="B24" s="7" t="s">
        <v>401</v>
      </c>
      <c r="C24" s="34">
        <f t="shared" si="2"/>
        <v>0</v>
      </c>
      <c r="D24" s="34"/>
      <c r="E24" s="34">
        <f>E22</f>
        <v>0</v>
      </c>
      <c r="F24" s="34">
        <f>E24+F22</f>
        <v>0</v>
      </c>
      <c r="G24" s="34">
        <f>F24+G22</f>
        <v>0</v>
      </c>
      <c r="H24" s="34">
        <f>G24+H22</f>
        <v>0</v>
      </c>
      <c r="I24" s="34">
        <f>H24+I22</f>
        <v>0</v>
      </c>
      <c r="J24" s="34">
        <f>I24+J22</f>
        <v>0</v>
      </c>
    </row>
    <row r="25" ht="39" customHeight="1" spans="1:10">
      <c r="A25" s="7">
        <v>19</v>
      </c>
      <c r="B25" s="31" t="s">
        <v>402</v>
      </c>
      <c r="C25" s="34">
        <f t="shared" si="2"/>
        <v>5248.7045718463</v>
      </c>
      <c r="D25" s="34"/>
      <c r="E25" s="34">
        <f>E7+E总成本费用估算表!C14</f>
        <v>0</v>
      </c>
      <c r="F25" s="34">
        <f>F7+E总成本费用估算表!D14</f>
        <v>0</v>
      </c>
      <c r="G25" s="34">
        <f>G7+E总成本费用估算表!E14</f>
        <v>0</v>
      </c>
      <c r="H25" s="34">
        <f>H7+E总成本费用估算表!F14</f>
        <v>1442.22238703464</v>
      </c>
      <c r="I25" s="34">
        <f>I7+E总成本费用估算表!G14</f>
        <v>1893.79871573526</v>
      </c>
      <c r="J25" s="34">
        <f>J7+E总成本费用估算表!H14</f>
        <v>1912.68346907641</v>
      </c>
    </row>
    <row r="26" ht="40.05" customHeight="1" spans="1:10">
      <c r="A26" s="7">
        <v>20</v>
      </c>
      <c r="B26" s="31" t="s">
        <v>403</v>
      </c>
      <c r="C26" s="34">
        <f t="shared" si="2"/>
        <v>5520.584206742</v>
      </c>
      <c r="D26" s="34"/>
      <c r="E26" s="34">
        <f>E25+E总成本费用估算表!C12+E总成本费用估算表!C13</f>
        <v>0</v>
      </c>
      <c r="F26" s="34">
        <f>F25+E总成本费用估算表!D12+E总成本费用估算表!D13</f>
        <v>0</v>
      </c>
      <c r="G26" s="34">
        <f>G25+E总成本费用估算表!E12+E总成本费用估算表!E13</f>
        <v>0</v>
      </c>
      <c r="H26" s="34">
        <f>H25+E总成本费用估算表!F12+E总成本费用估算表!F13</f>
        <v>1532.84893199987</v>
      </c>
      <c r="I26" s="34">
        <f>I25+E总成本费用估算表!G12+E总成本费用估算表!G13</f>
        <v>1984.42526070049</v>
      </c>
      <c r="J26" s="34">
        <f>J25+E总成本费用估算表!H12+E总成本费用估算表!H13</f>
        <v>2003.31001404164</v>
      </c>
    </row>
    <row r="27" customHeight="1" spans="1:10">
      <c r="A27" s="7">
        <v>21</v>
      </c>
      <c r="B27" s="31" t="s">
        <v>404</v>
      </c>
      <c r="C27" s="8">
        <f>(C26-C11)/c借款还本付息计划表!C23</f>
        <v>6.01980080540061</v>
      </c>
      <c r="D27" s="8"/>
      <c r="E27" s="8"/>
      <c r="F27" s="8"/>
      <c r="G27" s="8"/>
      <c r="H27" s="8"/>
      <c r="I27" s="8"/>
      <c r="J27" s="8"/>
    </row>
    <row r="28" customHeight="1" spans="1:10">
      <c r="A28" s="7">
        <v>22</v>
      </c>
      <c r="B28" s="31" t="s">
        <v>405</v>
      </c>
      <c r="C28" s="8">
        <f>(C26-C11)/c借款还本付息计划表!C22</f>
        <v>5.42484978021863</v>
      </c>
      <c r="D28" s="8"/>
      <c r="E28" s="8"/>
      <c r="F28" s="8"/>
      <c r="G28" s="8"/>
      <c r="H28" s="8"/>
      <c r="I28" s="8"/>
      <c r="J28" s="8"/>
    </row>
  </sheetData>
  <mergeCells count="3">
    <mergeCell ref="A1:J1"/>
    <mergeCell ref="C27:J27"/>
    <mergeCell ref="C28:J2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rgb="FFFFC000"/>
  </sheetPr>
  <dimension ref="A1:N36"/>
  <sheetViews>
    <sheetView zoomScale="70" zoomScaleNormal="70" topLeftCell="A11" workbookViewId="0">
      <selection activeCell="Q31" sqref="Q31"/>
    </sheetView>
  </sheetViews>
  <sheetFormatPr defaultColWidth="8.88888888888889" defaultRowHeight="28.05" customHeight="1"/>
  <cols>
    <col min="1" max="1" width="10.3333333333333" customWidth="1"/>
    <col min="2" max="2" width="22.2222222222222" customWidth="1"/>
    <col min="3" max="3" width="18.1111111111111" customWidth="1"/>
    <col min="4" max="4" width="12.4444444444444" customWidth="1"/>
    <col min="5" max="7" width="15.6666666666667"/>
    <col min="8" max="8" width="14.3333333333333"/>
    <col min="9" max="9" width="15.6666666666667"/>
    <col min="10" max="10" width="12.8888888888889"/>
    <col min="11" max="11" width="18.2222222222222" customWidth="1"/>
    <col min="12" max="12" width="15.6666666666667"/>
  </cols>
  <sheetData>
    <row r="1" customHeight="1" spans="1:14">
      <c r="A1" s="39" t="s">
        <v>406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8"/>
      <c r="N1" s="48"/>
    </row>
    <row r="2" customHeight="1" spans="1:14">
      <c r="A2" s="2" t="s">
        <v>1</v>
      </c>
      <c r="B2" s="2" t="s">
        <v>159</v>
      </c>
      <c r="C2" s="2" t="s">
        <v>103</v>
      </c>
      <c r="D2" s="2">
        <v>2025</v>
      </c>
      <c r="E2" s="2">
        <v>2026</v>
      </c>
      <c r="F2" s="2">
        <v>2027</v>
      </c>
      <c r="G2" s="2">
        <v>2028</v>
      </c>
      <c r="H2" s="2">
        <v>2029</v>
      </c>
      <c r="I2" s="2">
        <v>2030</v>
      </c>
      <c r="J2" s="2">
        <v>2031</v>
      </c>
      <c r="K2" s="2" t="s">
        <v>56</v>
      </c>
      <c r="L2" s="2">
        <v>2045</v>
      </c>
      <c r="M2" s="48"/>
      <c r="N2" s="48"/>
    </row>
    <row r="3" customHeight="1" spans="1:14">
      <c r="A3" s="7">
        <v>1</v>
      </c>
      <c r="B3" s="7" t="s">
        <v>90</v>
      </c>
      <c r="C3" s="7" t="s">
        <v>407</v>
      </c>
      <c r="D3" s="7"/>
      <c r="E3" s="7"/>
      <c r="F3" s="7"/>
      <c r="G3" s="7"/>
      <c r="H3" s="7"/>
      <c r="I3" s="7"/>
      <c r="J3" s="7"/>
      <c r="K3" s="7"/>
      <c r="L3" s="7"/>
      <c r="M3" s="48"/>
      <c r="N3" s="48"/>
    </row>
    <row r="4" customHeight="1" spans="1:14">
      <c r="A4" s="7">
        <v>1.1</v>
      </c>
      <c r="B4" s="7" t="s">
        <v>408</v>
      </c>
      <c r="C4" s="34" t="s">
        <v>102</v>
      </c>
      <c r="D4" s="35">
        <v>0</v>
      </c>
      <c r="E4" s="34">
        <f t="shared" ref="E4:L4" si="0">D8</f>
        <v>200</v>
      </c>
      <c r="F4" s="34">
        <f t="shared" si="0"/>
        <v>200</v>
      </c>
      <c r="G4" s="34">
        <f t="shared" si="0"/>
        <v>200</v>
      </c>
      <c r="H4" s="34">
        <f t="shared" si="0"/>
        <v>200</v>
      </c>
      <c r="I4" s="34">
        <f t="shared" si="0"/>
        <v>200</v>
      </c>
      <c r="J4" s="34">
        <f t="shared" si="0"/>
        <v>200</v>
      </c>
      <c r="K4" s="34">
        <f t="shared" si="0"/>
        <v>200</v>
      </c>
      <c r="L4" s="34">
        <f t="shared" si="0"/>
        <v>200</v>
      </c>
      <c r="M4" s="48"/>
      <c r="N4" s="48"/>
    </row>
    <row r="5" customHeight="1" spans="1:14">
      <c r="A5" s="7">
        <v>1.2</v>
      </c>
      <c r="B5" s="7" t="s">
        <v>409</v>
      </c>
      <c r="C5" s="34">
        <f>SUM(D5:L5)</f>
        <v>248.42</v>
      </c>
      <c r="D5" s="34">
        <f t="shared" ref="D5:L5" si="1">D6+D7</f>
        <v>5.38</v>
      </c>
      <c r="E5" s="34">
        <f t="shared" si="1"/>
        <v>5.38</v>
      </c>
      <c r="F5" s="34">
        <f t="shared" si="1"/>
        <v>5.38</v>
      </c>
      <c r="G5" s="34">
        <f t="shared" si="1"/>
        <v>5.38</v>
      </c>
      <c r="H5" s="34">
        <f t="shared" si="1"/>
        <v>5.38</v>
      </c>
      <c r="I5" s="34">
        <f t="shared" si="1"/>
        <v>5.38</v>
      </c>
      <c r="J5" s="34">
        <f t="shared" si="1"/>
        <v>5.38</v>
      </c>
      <c r="K5" s="34">
        <f t="shared" si="1"/>
        <v>5.38</v>
      </c>
      <c r="L5" s="34">
        <f t="shared" si="1"/>
        <v>205.38</v>
      </c>
      <c r="M5" s="48"/>
      <c r="N5" s="48"/>
    </row>
    <row r="6" customHeight="1" spans="1:14">
      <c r="A6" s="7" t="s">
        <v>168</v>
      </c>
      <c r="B6" s="7" t="s">
        <v>410</v>
      </c>
      <c r="C6" s="34">
        <f>SUM(D6:L6)</f>
        <v>200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4">
        <f>C.1项目融资信息!D4</f>
        <v>200</v>
      </c>
      <c r="M6" s="48"/>
      <c r="N6" s="48"/>
    </row>
    <row r="7" customHeight="1" spans="1:14">
      <c r="A7" s="7" t="s">
        <v>170</v>
      </c>
      <c r="B7" s="7" t="s">
        <v>411</v>
      </c>
      <c r="C7" s="34">
        <f>SUM(D7:L7)</f>
        <v>48.42</v>
      </c>
      <c r="D7" s="34">
        <f>(D8+D6)*C.1项目融资信息!$H$4</f>
        <v>5.38</v>
      </c>
      <c r="E7" s="34">
        <f>(E8+E6)*C.1项目融资信息!$H$4</f>
        <v>5.38</v>
      </c>
      <c r="F7" s="34">
        <f>(F8+F6)*C.1项目融资信息!$H$4</f>
        <v>5.38</v>
      </c>
      <c r="G7" s="34">
        <f>(G8+G6)*C.1项目融资信息!$H$4</f>
        <v>5.38</v>
      </c>
      <c r="H7" s="34">
        <f>(H8+H6)*C.1项目融资信息!$H$4</f>
        <v>5.38</v>
      </c>
      <c r="I7" s="34">
        <f>(I8+I6)*C.1项目融资信息!$H$4</f>
        <v>5.38</v>
      </c>
      <c r="J7" s="34">
        <f>(J8+J6)*C.1项目融资信息!$H$4</f>
        <v>5.38</v>
      </c>
      <c r="K7" s="34">
        <f>(K8+K6)*C.1项目融资信息!$H$4</f>
        <v>5.38</v>
      </c>
      <c r="L7" s="34">
        <f>(L8+L6)*C.1项目融资信息!$H$4</f>
        <v>5.38</v>
      </c>
      <c r="M7" s="48"/>
      <c r="N7" s="48"/>
    </row>
    <row r="8" customHeight="1" spans="1:14">
      <c r="A8" s="7">
        <v>1.3</v>
      </c>
      <c r="B8" s="7" t="s">
        <v>412</v>
      </c>
      <c r="C8" s="34" t="s">
        <v>102</v>
      </c>
      <c r="D8" s="34">
        <f>D4+C.2项目每年借款信息!C3-D6</f>
        <v>200</v>
      </c>
      <c r="E8" s="34">
        <f>E4+C.2项目每年借款信息!D3-E6</f>
        <v>200</v>
      </c>
      <c r="F8" s="34">
        <f>F4+C.2项目每年借款信息!E3-F6</f>
        <v>200</v>
      </c>
      <c r="G8" s="34">
        <f>G4+C.2项目每年借款信息!F3-G6</f>
        <v>200</v>
      </c>
      <c r="H8" s="34">
        <f>H4+C.2项目每年借款信息!G3-H6</f>
        <v>200</v>
      </c>
      <c r="I8" s="34">
        <f>I4+C.2项目每年借款信息!H3-I6</f>
        <v>200</v>
      </c>
      <c r="J8" s="34">
        <f>J4+C.2项目每年借款信息!I3-J6</f>
        <v>200</v>
      </c>
      <c r="K8" s="34">
        <f>K4+C.2项目每年借款信息!J3-K6</f>
        <v>200</v>
      </c>
      <c r="L8" s="34">
        <f>L4+C.2项目每年借款信息!K3-L6</f>
        <v>0</v>
      </c>
      <c r="M8" s="48"/>
      <c r="N8" s="48"/>
    </row>
    <row r="9" customHeight="1" spans="1:14">
      <c r="A9" s="7">
        <v>1.4</v>
      </c>
      <c r="B9" s="7" t="s">
        <v>413</v>
      </c>
      <c r="C9" s="34">
        <f>SUM(D9:L9)</f>
        <v>0.012421</v>
      </c>
      <c r="D9" s="34">
        <f>D5*A财务假设!$D$19</f>
        <v>0.000269</v>
      </c>
      <c r="E9" s="34">
        <f>E5*A财务假设!$D$19</f>
        <v>0.000269</v>
      </c>
      <c r="F9" s="34">
        <f>F5*A财务假设!$D$19</f>
        <v>0.000269</v>
      </c>
      <c r="G9" s="34">
        <f>G5*A财务假设!$D$19</f>
        <v>0.000269</v>
      </c>
      <c r="H9" s="34">
        <f>H5*A财务假设!$D$19</f>
        <v>0.000269</v>
      </c>
      <c r="I9" s="34">
        <f>I5*A财务假设!$D$19</f>
        <v>0.000269</v>
      </c>
      <c r="J9" s="34">
        <f>J5*A财务假设!$D$19</f>
        <v>0.000269</v>
      </c>
      <c r="K9" s="34">
        <f>K5*A财务假设!$D$19</f>
        <v>0.000269</v>
      </c>
      <c r="L9" s="34">
        <f>L5*A财务假设!$D$19</f>
        <v>0.010269</v>
      </c>
      <c r="M9" s="48"/>
      <c r="N9" s="48"/>
    </row>
    <row r="10" customHeight="1" spans="1:14">
      <c r="A10" s="7">
        <v>1.5</v>
      </c>
      <c r="B10" s="7" t="s">
        <v>414</v>
      </c>
      <c r="C10" s="34">
        <f>SUM(D10:L10)</f>
        <v>0.1728</v>
      </c>
      <c r="D10" s="34">
        <f>C.2项目每年借款信息!C3*(A财务假设!$D$18+A财务假设!$D$17)</f>
        <v>0.1728</v>
      </c>
      <c r="E10" s="34">
        <f>C.2项目每年借款信息!D3*(A财务假设!$D$18+A财务假设!$D$17)</f>
        <v>0</v>
      </c>
      <c r="F10" s="34">
        <f>C.2项目每年借款信息!E3*(A财务假设!$D$18+A财务假设!$D$17)</f>
        <v>0</v>
      </c>
      <c r="G10" s="34">
        <f>C.2项目每年借款信息!F3*(A财务假设!$D$18+A财务假设!$D$17)</f>
        <v>0</v>
      </c>
      <c r="H10" s="34">
        <f>C.2项目每年借款信息!G3*(A财务假设!$D$18+A财务假设!$D$17)</f>
        <v>0</v>
      </c>
      <c r="I10" s="34">
        <f>C.2项目每年借款信息!H3*(A财务假设!$D$18+A财务假设!$D$17)</f>
        <v>0</v>
      </c>
      <c r="J10" s="34">
        <f>C.2项目每年借款信息!I3*(A财务假设!$D$18+A财务假设!$D$17)</f>
        <v>0</v>
      </c>
      <c r="K10" s="34">
        <f>C.2项目每年借款信息!J3*(A财务假设!$D$18+A财务假设!$D$17)</f>
        <v>0</v>
      </c>
      <c r="L10" s="34">
        <f>C.2项目每年借款信息!K3*(A财务假设!$D$18+A财务假设!$D$17)</f>
        <v>0</v>
      </c>
      <c r="M10" s="48"/>
      <c r="N10" s="48"/>
    </row>
    <row r="11" customHeight="1" spans="1:14">
      <c r="A11" s="7">
        <v>2</v>
      </c>
      <c r="B11" s="7" t="s">
        <v>93</v>
      </c>
      <c r="C11" s="41" t="s">
        <v>415</v>
      </c>
      <c r="D11" s="42"/>
      <c r="E11" s="42"/>
      <c r="F11" s="42"/>
      <c r="G11" s="42"/>
      <c r="H11" s="42"/>
      <c r="I11" s="42"/>
      <c r="J11" s="42"/>
      <c r="K11" s="42"/>
      <c r="L11" s="49"/>
      <c r="M11" s="48"/>
      <c r="N11" s="48"/>
    </row>
    <row r="12" customHeight="1" spans="1:14">
      <c r="A12" s="7">
        <v>2.1</v>
      </c>
      <c r="B12" s="7" t="s">
        <v>408</v>
      </c>
      <c r="C12" s="34" t="s">
        <v>102</v>
      </c>
      <c r="D12" s="35">
        <v>0</v>
      </c>
      <c r="E12" s="34">
        <f t="shared" ref="E12:L12" si="2">D16</f>
        <v>0</v>
      </c>
      <c r="F12" s="34">
        <f t="shared" si="2"/>
        <v>400</v>
      </c>
      <c r="G12" s="34">
        <f t="shared" si="2"/>
        <v>300</v>
      </c>
      <c r="H12" s="34">
        <f t="shared" si="2"/>
        <v>200</v>
      </c>
      <c r="I12" s="34">
        <f t="shared" si="2"/>
        <v>100</v>
      </c>
      <c r="J12" s="34">
        <f t="shared" si="2"/>
        <v>0</v>
      </c>
      <c r="K12" s="34">
        <f t="shared" si="2"/>
        <v>0</v>
      </c>
      <c r="L12" s="34">
        <f t="shared" si="2"/>
        <v>0</v>
      </c>
      <c r="M12" s="48"/>
      <c r="N12" s="48"/>
    </row>
    <row r="13" customHeight="1" spans="1:14">
      <c r="A13" s="7">
        <v>2.2</v>
      </c>
      <c r="B13" s="7" t="s">
        <v>409</v>
      </c>
      <c r="C13" s="34">
        <f>SUM(D13:L13)</f>
        <v>528.35</v>
      </c>
      <c r="D13" s="34">
        <f t="shared" ref="D13:L13" si="3">D14+D15</f>
        <v>0</v>
      </c>
      <c r="E13" s="34">
        <f t="shared" si="3"/>
        <v>109.45</v>
      </c>
      <c r="F13" s="34">
        <f t="shared" si="3"/>
        <v>107.56</v>
      </c>
      <c r="G13" s="34">
        <f t="shared" si="3"/>
        <v>105.67</v>
      </c>
      <c r="H13" s="34">
        <f t="shared" si="3"/>
        <v>103.78</v>
      </c>
      <c r="I13" s="34">
        <f t="shared" si="3"/>
        <v>101.89</v>
      </c>
      <c r="J13" s="34">
        <f t="shared" si="3"/>
        <v>0</v>
      </c>
      <c r="K13" s="34">
        <f t="shared" si="3"/>
        <v>0</v>
      </c>
      <c r="L13" s="34">
        <f t="shared" si="3"/>
        <v>0</v>
      </c>
      <c r="M13" s="48"/>
      <c r="N13" s="48"/>
    </row>
    <row r="14" customHeight="1" spans="1:14">
      <c r="A14" s="7" t="s">
        <v>149</v>
      </c>
      <c r="B14" s="7" t="s">
        <v>410</v>
      </c>
      <c r="C14" s="34">
        <f>SUM(D14:L14)</f>
        <v>500</v>
      </c>
      <c r="D14" s="34">
        <v>0</v>
      </c>
      <c r="E14" s="34">
        <f>C.1项目融资信息!D5/C.1项目融资信息!G5</f>
        <v>100</v>
      </c>
      <c r="F14" s="34">
        <f>C.1项目融资信息!D5/C.1项目融资信息!G5</f>
        <v>100</v>
      </c>
      <c r="G14" s="34">
        <f>C.1项目融资信息!D5/C.1项目融资信息!G5</f>
        <v>100</v>
      </c>
      <c r="H14" s="34">
        <f>C.1项目融资信息!D5/C.1项目融资信息!G5</f>
        <v>100</v>
      </c>
      <c r="I14" s="34">
        <f>C.1项目融资信息!D5/C.1项目融资信息!G5</f>
        <v>100</v>
      </c>
      <c r="J14" s="35">
        <v>0</v>
      </c>
      <c r="K14" s="35">
        <v>0</v>
      </c>
      <c r="L14" s="35">
        <v>0</v>
      </c>
      <c r="M14" s="48"/>
      <c r="N14" s="48"/>
    </row>
    <row r="15" customHeight="1" spans="1:14">
      <c r="A15" s="7" t="s">
        <v>150</v>
      </c>
      <c r="B15" s="7" t="s">
        <v>411</v>
      </c>
      <c r="C15" s="34">
        <f>SUM(D15:L15)</f>
        <v>28.35</v>
      </c>
      <c r="D15" s="34">
        <f>(D16+D14)*C.1项目融资信息!$H$5</f>
        <v>0</v>
      </c>
      <c r="E15" s="34">
        <f>(E16+E14)*C.1项目融资信息!$H$5</f>
        <v>9.45</v>
      </c>
      <c r="F15" s="34">
        <f>(F16+F14)*C.1项目融资信息!$H$5</f>
        <v>7.56</v>
      </c>
      <c r="G15" s="34">
        <f>(G16+G14)*C.1项目融资信息!$H$5</f>
        <v>5.67</v>
      </c>
      <c r="H15" s="34">
        <f>(H16+H14)*C.1项目融资信息!$H$5</f>
        <v>3.78</v>
      </c>
      <c r="I15" s="34">
        <f>(I16+I14)*C.1项目融资信息!$H$5</f>
        <v>1.89</v>
      </c>
      <c r="J15" s="34">
        <f>(J16+J14)*C.1项目融资信息!$H$5</f>
        <v>0</v>
      </c>
      <c r="K15" s="34">
        <f>(K16+K14)*C.1项目融资信息!$H$5</f>
        <v>0</v>
      </c>
      <c r="L15" s="34">
        <f>(L16+L14)*C.1项目融资信息!$H$5</f>
        <v>0</v>
      </c>
      <c r="M15" s="48"/>
      <c r="N15" s="48"/>
    </row>
    <row r="16" customHeight="1" spans="1:14">
      <c r="A16" s="7">
        <v>2.3</v>
      </c>
      <c r="B16" s="7" t="s">
        <v>412</v>
      </c>
      <c r="C16" s="34" t="s">
        <v>102</v>
      </c>
      <c r="D16" s="34">
        <f>C.2项目每年借款信息!C4</f>
        <v>0</v>
      </c>
      <c r="E16" s="34">
        <f>C.2项目每年借款信息!D4-E14</f>
        <v>400</v>
      </c>
      <c r="F16" s="34">
        <f t="shared" ref="F16:L16" si="4">F12-F14</f>
        <v>300</v>
      </c>
      <c r="G16" s="34">
        <f t="shared" si="4"/>
        <v>200</v>
      </c>
      <c r="H16" s="34">
        <f t="shared" si="4"/>
        <v>100</v>
      </c>
      <c r="I16" s="34">
        <f t="shared" si="4"/>
        <v>0</v>
      </c>
      <c r="J16" s="34">
        <f t="shared" si="4"/>
        <v>0</v>
      </c>
      <c r="K16" s="34">
        <f t="shared" si="4"/>
        <v>0</v>
      </c>
      <c r="L16" s="34">
        <f t="shared" si="4"/>
        <v>0</v>
      </c>
      <c r="M16" s="48"/>
      <c r="N16" s="48"/>
    </row>
    <row r="17" customHeight="1" spans="1:14">
      <c r="A17" s="7">
        <v>2.4</v>
      </c>
      <c r="B17" s="7" t="s">
        <v>413</v>
      </c>
      <c r="C17" s="34">
        <f>SUM(D17:L17)</f>
        <v>0.0264175</v>
      </c>
      <c r="D17" s="34">
        <f>D13*A财务假设!$D$19</f>
        <v>0</v>
      </c>
      <c r="E17" s="34">
        <f>E13*A财务假设!$D$19</f>
        <v>0.0054725</v>
      </c>
      <c r="F17" s="34">
        <f>F13*A财务假设!$D$19</f>
        <v>0.005378</v>
      </c>
      <c r="G17" s="34">
        <f>G13*A财务假设!$D$19</f>
        <v>0.0052835</v>
      </c>
      <c r="H17" s="34">
        <f>H13*A财务假设!$D$19</f>
        <v>0.005189</v>
      </c>
      <c r="I17" s="34">
        <f>I13*A财务假设!$D$19</f>
        <v>0.0050945</v>
      </c>
      <c r="J17" s="34">
        <f>J13*A财务假设!$D$19</f>
        <v>0</v>
      </c>
      <c r="K17" s="34">
        <f>K13*A财务假设!$D$19</f>
        <v>0</v>
      </c>
      <c r="L17" s="34">
        <f>L13*A财务假设!$D$19</f>
        <v>0</v>
      </c>
      <c r="M17" s="48"/>
      <c r="N17" s="48"/>
    </row>
    <row r="18" customHeight="1" spans="1:14">
      <c r="A18" s="7">
        <v>2.5</v>
      </c>
      <c r="B18" s="7" t="s">
        <v>414</v>
      </c>
      <c r="C18" s="34">
        <f>SUM(D18:L18)</f>
        <v>0.432</v>
      </c>
      <c r="D18" s="34">
        <f>C.2项目每年借款信息!C4*(A财务假设!$D$17+A财务假设!$D$18)</f>
        <v>0</v>
      </c>
      <c r="E18" s="34">
        <f>C.2项目每年借款信息!D4*(A财务假设!$D$17+A财务假设!$D$18)</f>
        <v>0.432</v>
      </c>
      <c r="F18" s="34">
        <f>C.2项目每年借款信息!E4*(A财务假设!$D$17+A财务假设!$D$18)</f>
        <v>0</v>
      </c>
      <c r="G18" s="34">
        <f>C.2项目每年借款信息!F4*(A财务假设!$D$17+A财务假设!$D$18)</f>
        <v>0</v>
      </c>
      <c r="H18" s="34">
        <f>C.2项目每年借款信息!G4*(A财务假设!$D$17+A财务假设!$D$18)</f>
        <v>0</v>
      </c>
      <c r="I18" s="34">
        <f>C.2项目每年借款信息!H4*(A财务假设!$D$17+A财务假设!$D$18)</f>
        <v>0</v>
      </c>
      <c r="J18" s="34">
        <f>C.2项目每年借款信息!I4*(A财务假设!$D$17+A财务假设!$D$18)</f>
        <v>0</v>
      </c>
      <c r="K18" s="34">
        <f>C.2项目每年借款信息!J4*(A财务假设!$D$17+A财务假设!$D$18)</f>
        <v>0</v>
      </c>
      <c r="L18" s="34">
        <f>C.2项目每年借款信息!K4*(A财务假设!$D$17+A财务假设!$D$18)</f>
        <v>0</v>
      </c>
      <c r="M18" s="48"/>
      <c r="N18" s="48"/>
    </row>
    <row r="19" customHeight="1" spans="1:14">
      <c r="A19" s="7"/>
      <c r="B19" s="7" t="s">
        <v>56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8"/>
      <c r="N19" s="48"/>
    </row>
    <row r="20" customHeight="1" spans="1:14">
      <c r="A20" s="7" t="s">
        <v>54</v>
      </c>
      <c r="B20" s="7" t="s">
        <v>416</v>
      </c>
      <c r="C20" s="41">
        <f>C.1项目融资信息!D4+C.1项目融资信息!D5</f>
        <v>700</v>
      </c>
      <c r="D20" s="42"/>
      <c r="E20" s="42"/>
      <c r="F20" s="42"/>
      <c r="G20" s="42"/>
      <c r="H20" s="42"/>
      <c r="I20" s="42"/>
      <c r="J20" s="42"/>
      <c r="K20" s="42"/>
      <c r="L20" s="49"/>
      <c r="M20" s="48"/>
      <c r="N20" s="48"/>
    </row>
    <row r="21" customHeight="1" spans="1:14">
      <c r="A21" s="7" t="s">
        <v>417</v>
      </c>
      <c r="B21" s="7" t="s">
        <v>408</v>
      </c>
      <c r="C21" s="34" t="s">
        <v>102</v>
      </c>
      <c r="D21" s="34">
        <f>D12</f>
        <v>0</v>
      </c>
      <c r="E21" s="34">
        <f t="shared" ref="E21:L21" si="5">E4+E12</f>
        <v>200</v>
      </c>
      <c r="F21" s="34">
        <f t="shared" si="5"/>
        <v>600</v>
      </c>
      <c r="G21" s="34">
        <f t="shared" si="5"/>
        <v>500</v>
      </c>
      <c r="H21" s="34">
        <f t="shared" si="5"/>
        <v>400</v>
      </c>
      <c r="I21" s="34">
        <f t="shared" si="5"/>
        <v>300</v>
      </c>
      <c r="J21" s="34">
        <f t="shared" si="5"/>
        <v>200</v>
      </c>
      <c r="K21" s="34">
        <f t="shared" si="5"/>
        <v>200</v>
      </c>
      <c r="L21" s="34">
        <f t="shared" si="5"/>
        <v>200</v>
      </c>
      <c r="M21" s="48"/>
      <c r="N21" s="48"/>
    </row>
    <row r="22" customHeight="1" spans="1:14">
      <c r="A22" s="7" t="s">
        <v>418</v>
      </c>
      <c r="B22" s="7" t="s">
        <v>409</v>
      </c>
      <c r="C22" s="34">
        <f>SUM(D22:L22)</f>
        <v>776.77</v>
      </c>
      <c r="D22" s="34">
        <f t="shared" ref="D22:L22" si="6">D5+D13</f>
        <v>5.38</v>
      </c>
      <c r="E22" s="34">
        <f t="shared" si="6"/>
        <v>114.83</v>
      </c>
      <c r="F22" s="34">
        <f t="shared" si="6"/>
        <v>112.94</v>
      </c>
      <c r="G22" s="34">
        <f t="shared" si="6"/>
        <v>111.05</v>
      </c>
      <c r="H22" s="34">
        <f t="shared" si="6"/>
        <v>109.16</v>
      </c>
      <c r="I22" s="34">
        <f t="shared" si="6"/>
        <v>107.27</v>
      </c>
      <c r="J22" s="34">
        <f t="shared" si="6"/>
        <v>5.38</v>
      </c>
      <c r="K22" s="34">
        <f t="shared" si="6"/>
        <v>5.38</v>
      </c>
      <c r="L22" s="34">
        <f t="shared" si="6"/>
        <v>205.38</v>
      </c>
      <c r="M22" s="48"/>
      <c r="N22" s="48"/>
    </row>
    <row r="23" customHeight="1" spans="1:14">
      <c r="A23" s="7" t="s">
        <v>419</v>
      </c>
      <c r="B23" s="7" t="s">
        <v>410</v>
      </c>
      <c r="C23" s="34">
        <f>SUM(D23:L23)</f>
        <v>700</v>
      </c>
      <c r="D23" s="34">
        <f t="shared" ref="D23:L23" si="7">D6+D14</f>
        <v>0</v>
      </c>
      <c r="E23" s="34">
        <f t="shared" si="7"/>
        <v>100</v>
      </c>
      <c r="F23" s="34">
        <f t="shared" si="7"/>
        <v>100</v>
      </c>
      <c r="G23" s="34">
        <f t="shared" si="7"/>
        <v>100</v>
      </c>
      <c r="H23" s="34">
        <f t="shared" si="7"/>
        <v>100</v>
      </c>
      <c r="I23" s="34">
        <f t="shared" si="7"/>
        <v>100</v>
      </c>
      <c r="J23" s="34">
        <f t="shared" si="7"/>
        <v>0</v>
      </c>
      <c r="K23" s="34">
        <f t="shared" si="7"/>
        <v>0</v>
      </c>
      <c r="L23" s="34">
        <f t="shared" si="7"/>
        <v>200</v>
      </c>
      <c r="M23" s="48"/>
      <c r="N23" s="48"/>
    </row>
    <row r="24" customHeight="1" spans="1:14">
      <c r="A24" s="7" t="s">
        <v>420</v>
      </c>
      <c r="B24" s="7" t="s">
        <v>411</v>
      </c>
      <c r="C24" s="34">
        <f>SUM(D24:L24)</f>
        <v>76.77</v>
      </c>
      <c r="D24" s="34">
        <f t="shared" ref="D24:E27" si="8">D7+D15</f>
        <v>5.38</v>
      </c>
      <c r="E24" s="34">
        <f t="shared" si="8"/>
        <v>14.83</v>
      </c>
      <c r="F24" s="34">
        <f t="shared" ref="F24:L24" si="9">F7+F15</f>
        <v>12.94</v>
      </c>
      <c r="G24" s="34">
        <f t="shared" si="9"/>
        <v>11.05</v>
      </c>
      <c r="H24" s="34">
        <f t="shared" si="9"/>
        <v>9.16</v>
      </c>
      <c r="I24" s="34">
        <f t="shared" si="9"/>
        <v>7.27</v>
      </c>
      <c r="J24" s="34">
        <f t="shared" si="9"/>
        <v>5.38</v>
      </c>
      <c r="K24" s="34">
        <f t="shared" si="9"/>
        <v>5.38</v>
      </c>
      <c r="L24" s="34">
        <f t="shared" si="9"/>
        <v>5.38</v>
      </c>
      <c r="M24" s="48"/>
      <c r="N24" s="48"/>
    </row>
    <row r="25" customHeight="1" spans="1:14">
      <c r="A25" s="7" t="s">
        <v>421</v>
      </c>
      <c r="B25" s="7" t="s">
        <v>412</v>
      </c>
      <c r="C25" s="34" t="s">
        <v>102</v>
      </c>
      <c r="D25" s="34">
        <f t="shared" si="8"/>
        <v>200</v>
      </c>
      <c r="E25" s="34">
        <f t="shared" si="8"/>
        <v>600</v>
      </c>
      <c r="F25" s="34">
        <f t="shared" ref="F25:L25" si="10">F8+F16</f>
        <v>500</v>
      </c>
      <c r="G25" s="34">
        <f t="shared" si="10"/>
        <v>400</v>
      </c>
      <c r="H25" s="34">
        <f t="shared" si="10"/>
        <v>300</v>
      </c>
      <c r="I25" s="34">
        <f t="shared" si="10"/>
        <v>200</v>
      </c>
      <c r="J25" s="34">
        <f t="shared" si="10"/>
        <v>200</v>
      </c>
      <c r="K25" s="34">
        <f t="shared" si="10"/>
        <v>200</v>
      </c>
      <c r="L25" s="34">
        <f t="shared" si="10"/>
        <v>0</v>
      </c>
      <c r="M25" s="48"/>
      <c r="N25" s="48"/>
    </row>
    <row r="26" customHeight="1" spans="1:14">
      <c r="A26" s="7" t="s">
        <v>422</v>
      </c>
      <c r="B26" s="7" t="s">
        <v>413</v>
      </c>
      <c r="C26" s="34">
        <f>SUM(D26:L26)</f>
        <v>0.0388385</v>
      </c>
      <c r="D26" s="34">
        <f t="shared" si="8"/>
        <v>0.000269</v>
      </c>
      <c r="E26" s="34">
        <f t="shared" si="8"/>
        <v>0.0057415</v>
      </c>
      <c r="F26" s="34">
        <f t="shared" ref="F26:L26" si="11">F9+F17</f>
        <v>0.005647</v>
      </c>
      <c r="G26" s="34">
        <f t="shared" si="11"/>
        <v>0.0055525</v>
      </c>
      <c r="H26" s="34">
        <f t="shared" si="11"/>
        <v>0.005458</v>
      </c>
      <c r="I26" s="34">
        <f t="shared" si="11"/>
        <v>0.0053635</v>
      </c>
      <c r="J26" s="34">
        <f t="shared" si="11"/>
        <v>0.000269</v>
      </c>
      <c r="K26" s="34">
        <f t="shared" si="11"/>
        <v>0.000269</v>
      </c>
      <c r="L26" s="34">
        <f t="shared" si="11"/>
        <v>0.010269</v>
      </c>
      <c r="M26" s="48"/>
      <c r="N26" s="48"/>
    </row>
    <row r="27" customHeight="1" spans="1:14">
      <c r="A27" s="7" t="s">
        <v>423</v>
      </c>
      <c r="B27" s="7" t="s">
        <v>414</v>
      </c>
      <c r="C27" s="34">
        <f>C10+C18</f>
        <v>0.6048</v>
      </c>
      <c r="D27" s="34">
        <f>D10+D18</f>
        <v>0.1728</v>
      </c>
      <c r="E27" s="34">
        <f t="shared" si="8"/>
        <v>0.432</v>
      </c>
      <c r="F27" s="34">
        <f t="shared" ref="F27:L27" si="12">F10+F18</f>
        <v>0</v>
      </c>
      <c r="G27" s="34">
        <f t="shared" si="12"/>
        <v>0</v>
      </c>
      <c r="H27" s="34">
        <f t="shared" si="12"/>
        <v>0</v>
      </c>
      <c r="I27" s="34">
        <f t="shared" si="12"/>
        <v>0</v>
      </c>
      <c r="J27" s="34">
        <f t="shared" si="12"/>
        <v>0</v>
      </c>
      <c r="K27" s="34">
        <f t="shared" si="12"/>
        <v>0</v>
      </c>
      <c r="L27" s="34">
        <f t="shared" si="12"/>
        <v>0</v>
      </c>
      <c r="M27" s="48"/>
      <c r="N27" s="48"/>
    </row>
    <row r="28" customHeight="1" spans="1:14">
      <c r="A28" s="43" t="s">
        <v>424</v>
      </c>
      <c r="B28" s="38" t="s">
        <v>425</v>
      </c>
      <c r="C28" s="27"/>
      <c r="D28" s="27">
        <f>'b利润与利润分配表（损益和利润分配表）'!E25/D24</f>
        <v>0</v>
      </c>
      <c r="E28" s="27">
        <f>'b利润与利润分配表（损益和利润分配表）'!F25/E24</f>
        <v>0</v>
      </c>
      <c r="F28" s="27">
        <f>'b利润与利润分配表（损益和利润分配表）'!G25/F24</f>
        <v>0</v>
      </c>
      <c r="G28" s="27">
        <f>'b利润与利润分配表（损益和利润分配表）'!H25/G24</f>
        <v>130.517863080058</v>
      </c>
      <c r="H28" s="27"/>
      <c r="I28" s="27"/>
      <c r="J28" s="27"/>
      <c r="K28" s="27">
        <f>'b利润与利润分配表（损益和利润分配表）'!I25/K24</f>
        <v>352.007196233319</v>
      </c>
      <c r="L28" s="27">
        <f>'b利润与利润分配表（损益和利润分配表）'!J25/L24</f>
        <v>355.517373434276</v>
      </c>
      <c r="M28" s="48"/>
      <c r="N28" s="48"/>
    </row>
    <row r="29" customHeight="1" spans="1:14">
      <c r="A29" s="44"/>
      <c r="B29" s="45" t="s">
        <v>426</v>
      </c>
      <c r="C29" s="46"/>
      <c r="D29" s="46" t="e">
        <f>('b利润与利润分配表（损益和利润分配表）'!E26-'b利润与利润分配表（损益和利润分配表）'!E11)/D23</f>
        <v>#DIV/0!</v>
      </c>
      <c r="E29" s="46">
        <f>('b利润与利润分配表（损益和利润分配表）'!F26-'b利润与利润分配表（损益和利润分配表）'!F11)/E23</f>
        <v>0</v>
      </c>
      <c r="F29" s="46">
        <f>('b利润与利润分配表（损益和利润分配表）'!G26-'b利润与利润分配表（损益和利润分配表）'!G11)/F23</f>
        <v>0</v>
      </c>
      <c r="G29" s="46">
        <f>('b利润与利润分配表（损益和利润分配表）'!H26-'b利润与利润分配表（损益和利润分配表）'!H11)/G23</f>
        <v>11.7505583524121</v>
      </c>
      <c r="H29" s="46"/>
      <c r="I29" s="46"/>
      <c r="J29" s="46"/>
      <c r="K29" s="46" t="e">
        <f>('b利润与利润分配表（损益和利润分配表）'!I26-'b利润与利润分配表（损益和利润分配表）'!I11)/K23</f>
        <v>#DIV/0!</v>
      </c>
      <c r="L29" s="46">
        <f>('b利润与利润分配表（损益和利润分配表）'!J26-'b利润与利润分配表（损益和利润分配表）'!J11)/L23</f>
        <v>7.63242073386269</v>
      </c>
      <c r="M29" s="48"/>
      <c r="N29" s="48"/>
    </row>
    <row r="30" customHeight="1" spans="1:14">
      <c r="A30" s="47" t="s">
        <v>427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8"/>
      <c r="N30" s="48"/>
    </row>
    <row r="31" customHeight="1" spans="1:1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customHeight="1" spans="1:1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customHeight="1" spans="1:14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customHeight="1" spans="1:1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customHeight="1" spans="1:1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customHeight="1" spans="1:1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</sheetData>
  <mergeCells count="6">
    <mergeCell ref="A1:L1"/>
    <mergeCell ref="C3:L3"/>
    <mergeCell ref="C11:L11"/>
    <mergeCell ref="C20:L20"/>
    <mergeCell ref="A30:L30"/>
    <mergeCell ref="A28:A29"/>
  </mergeCells>
  <pageMargins left="0.75" right="0.75" top="1" bottom="1" header="0.5" footer="0.5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>
    <tabColor rgb="FFFFC000"/>
  </sheetPr>
  <dimension ref="A1:I31"/>
  <sheetViews>
    <sheetView zoomScale="70" zoomScaleNormal="70" topLeftCell="A11" workbookViewId="0">
      <selection activeCell="D10" sqref="D10"/>
    </sheetView>
  </sheetViews>
  <sheetFormatPr defaultColWidth="8.88888888888889" defaultRowHeight="28.05" customHeight="1"/>
  <cols>
    <col min="2" max="2" width="20.6666666666667" customWidth="1"/>
    <col min="3" max="3" width="18.1111111111111" customWidth="1"/>
    <col min="4" max="4" width="18.8888888888889" customWidth="1"/>
    <col min="5" max="7" width="17.1111111111111"/>
    <col min="8" max="8" width="15.6666666666667"/>
    <col min="9" max="9" width="17.1111111111111"/>
  </cols>
  <sheetData>
    <row r="1" customHeight="1" spans="1:9">
      <c r="A1" s="33" t="s">
        <v>428</v>
      </c>
      <c r="B1" s="33"/>
      <c r="C1" s="33"/>
      <c r="D1" s="33"/>
      <c r="E1" s="33"/>
      <c r="F1" s="33"/>
      <c r="G1" s="33"/>
      <c r="H1" s="33"/>
      <c r="I1" s="33"/>
    </row>
    <row r="2" customHeight="1" spans="1:9">
      <c r="A2" s="2" t="s">
        <v>1</v>
      </c>
      <c r="B2" s="2" t="s">
        <v>159</v>
      </c>
      <c r="C2" s="2" t="s">
        <v>103</v>
      </c>
      <c r="D2" s="2">
        <v>2025</v>
      </c>
      <c r="E2" s="2">
        <v>2026</v>
      </c>
      <c r="F2" s="2">
        <v>2027</v>
      </c>
      <c r="G2" s="2">
        <v>2028</v>
      </c>
      <c r="H2" s="2" t="s">
        <v>56</v>
      </c>
      <c r="I2" s="2">
        <v>2045</v>
      </c>
    </row>
    <row r="3" customHeight="1" spans="1:9">
      <c r="A3" s="7">
        <v>1</v>
      </c>
      <c r="B3" s="7" t="s">
        <v>429</v>
      </c>
      <c r="C3" s="34">
        <f t="shared" ref="C3:C12" si="0">SUM(D3:I3)</f>
        <v>4556.75802525025</v>
      </c>
      <c r="D3" s="34">
        <f t="shared" ref="D3:I3" si="1">D4-D9</f>
        <v>0</v>
      </c>
      <c r="E3" s="34">
        <f t="shared" si="1"/>
        <v>0</v>
      </c>
      <c r="F3" s="34">
        <f t="shared" si="1"/>
        <v>0</v>
      </c>
      <c r="G3" s="34">
        <f t="shared" si="1"/>
        <v>1275.40557214419</v>
      </c>
      <c r="H3" s="34">
        <f t="shared" si="1"/>
        <v>1637.99139764839</v>
      </c>
      <c r="I3" s="34">
        <f t="shared" si="1"/>
        <v>1643.36105545767</v>
      </c>
    </row>
    <row r="4" customHeight="1" spans="1:9">
      <c r="A4" s="7">
        <v>1.1</v>
      </c>
      <c r="B4" s="7" t="s">
        <v>340</v>
      </c>
      <c r="C4" s="34">
        <f t="shared" si="0"/>
        <v>6019.412</v>
      </c>
      <c r="D4" s="34">
        <f t="shared" ref="D4:I4" si="2">SUM(D5:D8)</f>
        <v>0</v>
      </c>
      <c r="E4" s="34">
        <f t="shared" si="2"/>
        <v>0</v>
      </c>
      <c r="F4" s="34">
        <f t="shared" si="2"/>
        <v>0</v>
      </c>
      <c r="G4" s="34">
        <f t="shared" si="2"/>
        <v>1665</v>
      </c>
      <c r="H4" s="34">
        <f t="shared" si="2"/>
        <v>2161.6</v>
      </c>
      <c r="I4" s="34">
        <f t="shared" si="2"/>
        <v>2192.812</v>
      </c>
    </row>
    <row r="5" customHeight="1" spans="1:9">
      <c r="A5" s="7" t="s">
        <v>430</v>
      </c>
      <c r="B5" s="7" t="s">
        <v>341</v>
      </c>
      <c r="C5" s="34">
        <f t="shared" si="0"/>
        <v>5633.27772200104</v>
      </c>
      <c r="D5" s="37">
        <f>F项目收入!D4+F项目收入!D6+F项目收入!D8</f>
        <v>0</v>
      </c>
      <c r="E5" s="37">
        <f>F项目收入!E4+F项目收入!E6+F项目收入!E8</f>
        <v>0</v>
      </c>
      <c r="F5" s="37">
        <f>F项目收入!F4+F项目收入!F6+F项目收入!F8</f>
        <v>0</v>
      </c>
      <c r="G5" s="37">
        <f>F项目收入!G4+F项目收入!G6+F项目收入!G8</f>
        <v>1558.38670590272</v>
      </c>
      <c r="H5" s="37">
        <f>F项目收入!H4+F项目收入!H6+F项目收入!H8</f>
        <v>2022.72286653973</v>
      </c>
      <c r="I5" s="37">
        <f>F项目收入!I4+F项目收入!I6+F项目收入!I8</f>
        <v>2052.16814955859</v>
      </c>
    </row>
    <row r="6" customHeight="1" spans="1:9">
      <c r="A6" s="7" t="s">
        <v>431</v>
      </c>
      <c r="B6" s="7" t="s">
        <v>432</v>
      </c>
      <c r="C6" s="34">
        <f t="shared" si="0"/>
        <v>383.134277998961</v>
      </c>
      <c r="D6" s="37">
        <f>G.税金及附加测算表!D25</f>
        <v>0</v>
      </c>
      <c r="E6" s="37">
        <f>G.税金及附加测算表!E25</f>
        <v>0</v>
      </c>
      <c r="F6" s="37">
        <f>G.税金及附加测算表!F25</f>
        <v>0</v>
      </c>
      <c r="G6" s="37">
        <f>G.税金及附加测算表!G25</f>
        <v>105.613294097282</v>
      </c>
      <c r="H6" s="37">
        <f>G.税金及附加测算表!H25</f>
        <v>137.877133460273</v>
      </c>
      <c r="I6" s="37">
        <f>G.税金及附加测算表!I25</f>
        <v>139.643850441406</v>
      </c>
    </row>
    <row r="7" customHeight="1" spans="1:9">
      <c r="A7" s="7" t="s">
        <v>433</v>
      </c>
      <c r="B7" s="7" t="s">
        <v>302</v>
      </c>
      <c r="C7" s="34">
        <f t="shared" si="0"/>
        <v>3</v>
      </c>
      <c r="D7" s="37">
        <f>F项目收入!D9</f>
        <v>0</v>
      </c>
      <c r="E7" s="37">
        <f>F项目收入!E9</f>
        <v>0</v>
      </c>
      <c r="F7" s="37">
        <f>F项目收入!F9</f>
        <v>0</v>
      </c>
      <c r="G7" s="37">
        <f>F项目收入!G9</f>
        <v>1</v>
      </c>
      <c r="H7" s="37">
        <f>F项目收入!H9</f>
        <v>1</v>
      </c>
      <c r="I7" s="37">
        <f>F项目收入!I9</f>
        <v>1</v>
      </c>
    </row>
    <row r="8" customHeight="1" spans="1:9">
      <c r="A8" s="7" t="s">
        <v>434</v>
      </c>
      <c r="B8" s="7" t="s">
        <v>435</v>
      </c>
      <c r="C8" s="34">
        <f t="shared" si="0"/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</row>
    <row r="9" customHeight="1" spans="1:9">
      <c r="A9" s="7">
        <v>1.2</v>
      </c>
      <c r="B9" s="7" t="s">
        <v>344</v>
      </c>
      <c r="C9" s="34">
        <f t="shared" si="0"/>
        <v>1462.65397474975</v>
      </c>
      <c r="D9" s="34">
        <f t="shared" ref="D9:I9" si="3">SUM(D10:D15)</f>
        <v>0</v>
      </c>
      <c r="E9" s="34">
        <f t="shared" si="3"/>
        <v>0</v>
      </c>
      <c r="F9" s="34">
        <f t="shared" si="3"/>
        <v>0</v>
      </c>
      <c r="G9" s="34">
        <f t="shared" si="3"/>
        <v>389.594427855812</v>
      </c>
      <c r="H9" s="34">
        <f t="shared" si="3"/>
        <v>523.608602351606</v>
      </c>
      <c r="I9" s="34">
        <f t="shared" si="3"/>
        <v>549.450944542334</v>
      </c>
    </row>
    <row r="10" customHeight="1" spans="1:9">
      <c r="A10" s="7" t="s">
        <v>168</v>
      </c>
      <c r="B10" s="7" t="s">
        <v>345</v>
      </c>
      <c r="C10" s="34">
        <f t="shared" si="0"/>
        <v>103.840374</v>
      </c>
      <c r="D10" s="34">
        <f>E总成本费用估算表!C11</f>
        <v>0</v>
      </c>
      <c r="E10" s="34">
        <f>E总成本费用估算表!D11</f>
        <v>0</v>
      </c>
      <c r="F10" s="34">
        <f>E总成本费用估算表!E11</f>
        <v>0</v>
      </c>
      <c r="G10" s="34">
        <f>E总成本费用估算表!F11</f>
        <v>29.6695525</v>
      </c>
      <c r="H10" s="34">
        <f>E总成本费用估算表!G11</f>
        <v>37.085458</v>
      </c>
      <c r="I10" s="34">
        <f>E总成本费用估算表!H11</f>
        <v>37.0853635</v>
      </c>
    </row>
    <row r="11" customHeight="1" spans="1:9">
      <c r="A11" s="7" t="s">
        <v>170</v>
      </c>
      <c r="B11" s="7" t="s">
        <v>436</v>
      </c>
      <c r="C11" s="34">
        <f t="shared" si="0"/>
        <v>7.46122509003509</v>
      </c>
      <c r="D11" s="34">
        <f>G.税金及附加测算表!D4</f>
        <v>0</v>
      </c>
      <c r="E11" s="34">
        <f>G.税金及附加测算表!E4</f>
        <v>0</v>
      </c>
      <c r="F11" s="34">
        <f>G.税金及附加测算表!F4</f>
        <v>0</v>
      </c>
      <c r="G11" s="34">
        <f>G.税金及附加测算表!G4</f>
        <v>2.13177859715288</v>
      </c>
      <c r="H11" s="34">
        <f>G.税金及附加测算表!H4</f>
        <v>2.6647232464411</v>
      </c>
      <c r="I11" s="34">
        <f>G.税金及附加测算表!I4</f>
        <v>2.6647232464411</v>
      </c>
    </row>
    <row r="12" customHeight="1" spans="1:9">
      <c r="A12" s="7" t="s">
        <v>172</v>
      </c>
      <c r="B12" s="7" t="s">
        <v>346</v>
      </c>
      <c r="C12" s="34">
        <f t="shared" si="0"/>
        <v>22.3143663490712</v>
      </c>
      <c r="D12" s="34">
        <f>G.税金及附加测算表!D30</f>
        <v>0</v>
      </c>
      <c r="E12" s="34">
        <f>G.税金及附加测算表!E30</f>
        <v>0</v>
      </c>
      <c r="F12" s="34">
        <f>G.税金及附加测算表!F30</f>
        <v>0</v>
      </c>
      <c r="G12" s="34">
        <f>G.税金及附加测算表!G30</f>
        <v>0</v>
      </c>
      <c r="H12" s="34">
        <f>G.税金及附加测算表!H30</f>
        <v>5.87687108567542</v>
      </c>
      <c r="I12" s="34">
        <f>G.税金及附加测算表!I30</f>
        <v>16.4374952633957</v>
      </c>
    </row>
    <row r="13" customHeight="1" spans="1:9">
      <c r="A13" s="7" t="s">
        <v>174</v>
      </c>
      <c r="B13" s="7" t="s">
        <v>437</v>
      </c>
      <c r="C13" s="34">
        <f t="shared" ref="C13:C30" si="4">SUM(D13:I13)</f>
        <v>22.3143663490712</v>
      </c>
      <c r="D13" s="34">
        <f>G.税金及附加测算表!D30</f>
        <v>0</v>
      </c>
      <c r="E13" s="34">
        <f>G.税金及附加测算表!E30</f>
        <v>0</v>
      </c>
      <c r="F13" s="34">
        <f>G.税金及附加测算表!F30</f>
        <v>0</v>
      </c>
      <c r="G13" s="34">
        <f>G.税金及附加测算表!G30</f>
        <v>0</v>
      </c>
      <c r="H13" s="34">
        <f>G.税金及附加测算表!H30</f>
        <v>5.87687108567542</v>
      </c>
      <c r="I13" s="34">
        <f>G.税金及附加测算表!I30</f>
        <v>16.4374952633957</v>
      </c>
    </row>
    <row r="14" customHeight="1" spans="1:9">
      <c r="A14" s="7" t="s">
        <v>438</v>
      </c>
      <c r="B14" s="7" t="s">
        <v>378</v>
      </c>
      <c r="C14" s="34">
        <f t="shared" si="4"/>
        <v>1306.72364296157</v>
      </c>
      <c r="D14" s="34">
        <f>'b利润与利润分配表（损益和利润分配表）'!E11</f>
        <v>0</v>
      </c>
      <c r="E14" s="34">
        <f>'b利润与利润分配表（损益和利润分配表）'!F11</f>
        <v>0</v>
      </c>
      <c r="F14" s="34">
        <f>'b利润与利润分配表（损益和利润分配表）'!G11</f>
        <v>0</v>
      </c>
      <c r="G14" s="34">
        <f>'b利润与利润分配表（损益和利润分配表）'!H11</f>
        <v>357.793096758659</v>
      </c>
      <c r="H14" s="34">
        <f>'b利润与利润分配表（损益和利润分配表）'!I11</f>
        <v>472.104678933814</v>
      </c>
      <c r="I14" s="34">
        <f>'b利润与利润分配表（损益和利润分配表）'!J11</f>
        <v>476.825867269101</v>
      </c>
    </row>
    <row r="15" customHeight="1" spans="1:9">
      <c r="A15" s="7" t="s">
        <v>439</v>
      </c>
      <c r="B15" s="7" t="s">
        <v>440</v>
      </c>
      <c r="C15" s="34">
        <f t="shared" si="4"/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</row>
    <row r="16" customHeight="1" spans="1:9">
      <c r="A16" s="7">
        <v>2</v>
      </c>
      <c r="B16" s="7" t="s">
        <v>441</v>
      </c>
      <c r="C16" s="34">
        <f t="shared" si="4"/>
        <v>-1863.63372473611</v>
      </c>
      <c r="D16" s="34">
        <f t="shared" ref="D16:I16" si="5">D17-D18</f>
        <v>-318.1728</v>
      </c>
      <c r="E16" s="34">
        <f t="shared" si="5"/>
        <v>-618.432</v>
      </c>
      <c r="F16" s="34">
        <f t="shared" si="5"/>
        <v>-918</v>
      </c>
      <c r="G16" s="34">
        <f t="shared" si="5"/>
        <v>-6.975329375</v>
      </c>
      <c r="H16" s="34">
        <f t="shared" si="5"/>
        <v>-1.96690323611111</v>
      </c>
      <c r="I16" s="34">
        <f t="shared" si="5"/>
        <v>-0.086692124999999</v>
      </c>
    </row>
    <row r="17" ht="40.95" customHeight="1" spans="1:9">
      <c r="A17" s="7">
        <v>2.1</v>
      </c>
      <c r="B17" s="31" t="s">
        <v>442</v>
      </c>
      <c r="C17" s="34">
        <f t="shared" si="4"/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</row>
    <row r="18" customHeight="1" spans="1:9">
      <c r="A18" s="7">
        <v>2.2</v>
      </c>
      <c r="B18" s="7" t="s">
        <v>344</v>
      </c>
      <c r="C18" s="34">
        <f t="shared" si="4"/>
        <v>1863.63372473611</v>
      </c>
      <c r="D18" s="34">
        <f t="shared" ref="D18:I18" si="6">SUM(D19:D22)</f>
        <v>318.1728</v>
      </c>
      <c r="E18" s="34">
        <f t="shared" si="6"/>
        <v>618.432</v>
      </c>
      <c r="F18" s="34">
        <f t="shared" si="6"/>
        <v>918</v>
      </c>
      <c r="G18" s="34">
        <f t="shared" si="6"/>
        <v>6.975329375</v>
      </c>
      <c r="H18" s="34">
        <f t="shared" si="6"/>
        <v>1.96690323611111</v>
      </c>
      <c r="I18" s="34">
        <f t="shared" si="6"/>
        <v>0.086692124999999</v>
      </c>
    </row>
    <row r="19" customHeight="1" spans="1:9">
      <c r="A19" s="7" t="s">
        <v>149</v>
      </c>
      <c r="B19" s="7" t="s">
        <v>137</v>
      </c>
      <c r="C19" s="34">
        <f t="shared" si="4"/>
        <v>1854.6048</v>
      </c>
      <c r="D19" s="34">
        <f>D.2项目总投资使用计划与资金筹措表!D4</f>
        <v>318.1728</v>
      </c>
      <c r="E19" s="34">
        <f>D.2项目总投资使用计划与资金筹措表!E4</f>
        <v>618.432</v>
      </c>
      <c r="F19" s="34">
        <f>D.2项目总投资使用计划与资金筹措表!F4</f>
        <v>918</v>
      </c>
      <c r="G19" s="34">
        <f>D.2项目总投资使用计划与资金筹措表!G4</f>
        <v>0</v>
      </c>
      <c r="H19" s="34">
        <f>D.2项目总投资使用计划与资金筹措表!H4</f>
        <v>0</v>
      </c>
      <c r="I19" s="34">
        <f>D.2项目总投资使用计划与资金筹措表!I4</f>
        <v>0</v>
      </c>
    </row>
    <row r="20" customHeight="1" spans="1:9">
      <c r="A20" s="7" t="s">
        <v>150</v>
      </c>
      <c r="B20" s="7" t="s">
        <v>347</v>
      </c>
      <c r="C20" s="34">
        <f t="shared" si="4"/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</row>
    <row r="21" customHeight="1" spans="1:9">
      <c r="A21" s="7" t="s">
        <v>151</v>
      </c>
      <c r="B21" s="7" t="s">
        <v>139</v>
      </c>
      <c r="C21" s="34">
        <f t="shared" si="4"/>
        <v>9.02892473611111</v>
      </c>
      <c r="D21" s="34">
        <f>D.2项目总投资使用计划与资金筹措表!D6</f>
        <v>0</v>
      </c>
      <c r="E21" s="34">
        <f>D.2项目总投资使用计划与资金筹措表!E6</f>
        <v>0</v>
      </c>
      <c r="F21" s="34">
        <f>D.2项目总投资使用计划与资金筹措表!F6</f>
        <v>0</v>
      </c>
      <c r="G21" s="34">
        <f>D.2项目总投资使用计划与资金筹措表!G6</f>
        <v>6.975329375</v>
      </c>
      <c r="H21" s="34">
        <f>D.2项目总投资使用计划与资金筹措表!H6</f>
        <v>1.96690323611111</v>
      </c>
      <c r="I21" s="34">
        <f>D.2项目总投资使用计划与资金筹措表!I6</f>
        <v>0.086692124999999</v>
      </c>
    </row>
    <row r="22" customHeight="1" spans="1:9">
      <c r="A22" s="7" t="s">
        <v>443</v>
      </c>
      <c r="B22" s="7" t="s">
        <v>440</v>
      </c>
      <c r="C22" s="34">
        <f t="shared" si="4"/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</row>
    <row r="23" customHeight="1" spans="1:9">
      <c r="A23" s="7">
        <v>3</v>
      </c>
      <c r="B23" s="7" t="s">
        <v>444</v>
      </c>
      <c r="C23" s="34">
        <f t="shared" si="4"/>
        <v>1341.82372473611</v>
      </c>
      <c r="D23" s="34">
        <f t="shared" ref="D23:I23" si="7">D24-D27</f>
        <v>318.1728</v>
      </c>
      <c r="E23" s="34">
        <f t="shared" si="7"/>
        <v>518.432</v>
      </c>
      <c r="F23" s="34">
        <f t="shared" si="7"/>
        <v>818</v>
      </c>
      <c r="G23" s="34">
        <f t="shared" si="7"/>
        <v>-104.074670625</v>
      </c>
      <c r="H23" s="34">
        <f t="shared" si="7"/>
        <v>-3.41309676388889</v>
      </c>
      <c r="I23" s="34">
        <f t="shared" si="7"/>
        <v>-205.293307875</v>
      </c>
    </row>
    <row r="24" customHeight="1" spans="1:9">
      <c r="A24" s="7">
        <v>3.1</v>
      </c>
      <c r="B24" s="7" t="s">
        <v>340</v>
      </c>
      <c r="C24" s="34">
        <f t="shared" si="4"/>
        <v>1896.78372473611</v>
      </c>
      <c r="D24" s="34">
        <f t="shared" ref="D24:I24" si="8">SUM(D25:D26)</f>
        <v>323.5528</v>
      </c>
      <c r="E24" s="34">
        <f t="shared" si="8"/>
        <v>633.262</v>
      </c>
      <c r="F24" s="34">
        <f t="shared" si="8"/>
        <v>930.94</v>
      </c>
      <c r="G24" s="34">
        <f t="shared" si="8"/>
        <v>6.975329375</v>
      </c>
      <c r="H24" s="34">
        <f t="shared" si="8"/>
        <v>1.96690323611111</v>
      </c>
      <c r="I24" s="34">
        <f t="shared" si="8"/>
        <v>0.086692124999999</v>
      </c>
    </row>
    <row r="25" customHeight="1" spans="1:9">
      <c r="A25" s="7" t="s">
        <v>445</v>
      </c>
      <c r="B25" s="7" t="s">
        <v>446</v>
      </c>
      <c r="C25" s="34">
        <f t="shared" si="4"/>
        <v>1196.78372473611</v>
      </c>
      <c r="D25" s="34">
        <f>D.2项目总投资使用计划与资金筹措表!D8</f>
        <v>123.5528</v>
      </c>
      <c r="E25" s="34">
        <f>D.2项目总投资使用计划与资金筹措表!E8</f>
        <v>133.262</v>
      </c>
      <c r="F25" s="34">
        <f>D.2项目总投资使用计划与资金筹措表!F8</f>
        <v>930.94</v>
      </c>
      <c r="G25" s="34">
        <f>D.2项目总投资使用计划与资金筹措表!G8</f>
        <v>6.975329375</v>
      </c>
      <c r="H25" s="34">
        <f>D.2项目总投资使用计划与资金筹措表!H8</f>
        <v>1.96690323611111</v>
      </c>
      <c r="I25" s="34">
        <f>D.2项目总投资使用计划与资金筹措表!I8</f>
        <v>0.086692124999999</v>
      </c>
    </row>
    <row r="26" customHeight="1" spans="1:9">
      <c r="A26" s="7" t="s">
        <v>447</v>
      </c>
      <c r="B26" s="7" t="s">
        <v>448</v>
      </c>
      <c r="C26" s="34">
        <f t="shared" si="4"/>
        <v>700</v>
      </c>
      <c r="D26" s="34">
        <f>D.2项目总投资使用计划与资金筹措表!D12</f>
        <v>200</v>
      </c>
      <c r="E26" s="34">
        <f>D.2项目总投资使用计划与资金筹措表!E12</f>
        <v>500</v>
      </c>
      <c r="F26" s="34">
        <f>D.2项目总投资使用计划与资金筹措表!F12</f>
        <v>0</v>
      </c>
      <c r="G26" s="34">
        <f>D.2项目总投资使用计划与资金筹措表!G12</f>
        <v>0</v>
      </c>
      <c r="H26" s="34">
        <f>D.2项目总投资使用计划与资金筹措表!H12</f>
        <v>0</v>
      </c>
      <c r="I26" s="34">
        <f>D.2项目总投资使用计划与资金筹措表!I12</f>
        <v>0</v>
      </c>
    </row>
    <row r="27" customHeight="1" spans="1:9">
      <c r="A27" s="7">
        <v>3.2</v>
      </c>
      <c r="B27" s="7" t="s">
        <v>344</v>
      </c>
      <c r="C27" s="34">
        <f t="shared" si="4"/>
        <v>554.96</v>
      </c>
      <c r="D27" s="34">
        <f t="shared" ref="D27:I27" si="9">SUM(D28:D29)</f>
        <v>5.38</v>
      </c>
      <c r="E27" s="34">
        <f t="shared" si="9"/>
        <v>114.83</v>
      </c>
      <c r="F27" s="34">
        <f t="shared" si="9"/>
        <v>112.94</v>
      </c>
      <c r="G27" s="34">
        <f t="shared" si="9"/>
        <v>111.05</v>
      </c>
      <c r="H27" s="34">
        <f t="shared" si="9"/>
        <v>5.38</v>
      </c>
      <c r="I27" s="34">
        <f t="shared" si="9"/>
        <v>205.38</v>
      </c>
    </row>
    <row r="28" customHeight="1" spans="1:9">
      <c r="A28" s="7" t="s">
        <v>449</v>
      </c>
      <c r="B28" s="7" t="s">
        <v>450</v>
      </c>
      <c r="C28" s="34">
        <f t="shared" si="4"/>
        <v>54.96</v>
      </c>
      <c r="D28" s="34">
        <f>c借款还本付息计划表!D24</f>
        <v>5.38</v>
      </c>
      <c r="E28" s="34">
        <f>c借款还本付息计划表!E24</f>
        <v>14.83</v>
      </c>
      <c r="F28" s="34">
        <f>c借款还本付息计划表!F24</f>
        <v>12.94</v>
      </c>
      <c r="G28" s="34">
        <f>c借款还本付息计划表!G24</f>
        <v>11.05</v>
      </c>
      <c r="H28" s="34">
        <f>c借款还本付息计划表!K24</f>
        <v>5.38</v>
      </c>
      <c r="I28" s="34">
        <f>c借款还本付息计划表!L24</f>
        <v>5.38</v>
      </c>
    </row>
    <row r="29" customHeight="1" spans="1:9">
      <c r="A29" s="7" t="s">
        <v>451</v>
      </c>
      <c r="B29" s="7" t="s">
        <v>452</v>
      </c>
      <c r="C29" s="34">
        <f t="shared" si="4"/>
        <v>500</v>
      </c>
      <c r="D29" s="34">
        <f>c借款还本付息计划表!D23</f>
        <v>0</v>
      </c>
      <c r="E29" s="34">
        <f>c借款还本付息计划表!E23</f>
        <v>100</v>
      </c>
      <c r="F29" s="34">
        <f>c借款还本付息计划表!F23</f>
        <v>100</v>
      </c>
      <c r="G29" s="34">
        <f>c借款还本付息计划表!G23</f>
        <v>100</v>
      </c>
      <c r="H29" s="34">
        <f>c借款还本付息计划表!K23</f>
        <v>0</v>
      </c>
      <c r="I29" s="34">
        <f>c借款还本付息计划表!L23</f>
        <v>200</v>
      </c>
    </row>
    <row r="30" customHeight="1" spans="1:9">
      <c r="A30" s="7">
        <v>4</v>
      </c>
      <c r="B30" s="7" t="s">
        <v>379</v>
      </c>
      <c r="C30" s="34">
        <f t="shared" si="4"/>
        <v>4034.94802525025</v>
      </c>
      <c r="D30" s="34">
        <f t="shared" ref="D30:I30" si="10">D3+D16+D23</f>
        <v>0</v>
      </c>
      <c r="E30" s="34">
        <f t="shared" si="10"/>
        <v>-100</v>
      </c>
      <c r="F30" s="34">
        <f t="shared" si="10"/>
        <v>-100</v>
      </c>
      <c r="G30" s="34">
        <f t="shared" si="10"/>
        <v>1164.35557214419</v>
      </c>
      <c r="H30" s="34">
        <f t="shared" si="10"/>
        <v>1632.61139764839</v>
      </c>
      <c r="I30" s="34">
        <f t="shared" si="10"/>
        <v>1437.98105545767</v>
      </c>
    </row>
    <row r="31" customHeight="1" spans="1:9">
      <c r="A31" s="7">
        <v>5</v>
      </c>
      <c r="B31" s="7" t="s">
        <v>453</v>
      </c>
      <c r="C31" s="34"/>
      <c r="D31" s="34">
        <f>D30</f>
        <v>0</v>
      </c>
      <c r="E31" s="34">
        <f>D31+E30</f>
        <v>-100</v>
      </c>
      <c r="F31" s="34">
        <f>E31+F30</f>
        <v>-200</v>
      </c>
      <c r="G31" s="34">
        <f>F31+G30</f>
        <v>964.355572144188</v>
      </c>
      <c r="H31" s="34">
        <f>G31+H30</f>
        <v>2596.96696979258</v>
      </c>
      <c r="I31" s="34">
        <f>H31+I30</f>
        <v>4034.94802525025</v>
      </c>
    </row>
  </sheetData>
  <mergeCells count="1">
    <mergeCell ref="A1:I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C000"/>
  </sheetPr>
  <dimension ref="A1:K28"/>
  <sheetViews>
    <sheetView zoomScale="85" zoomScaleNormal="85" topLeftCell="A13" workbookViewId="0">
      <selection activeCell="C19" sqref="C19"/>
    </sheetView>
  </sheetViews>
  <sheetFormatPr defaultColWidth="8.88888888888889" defaultRowHeight="28.05" customHeight="1"/>
  <cols>
    <col min="2" max="2" width="20.6666666666667" customWidth="1"/>
    <col min="3" max="3" width="16.8888888888889" customWidth="1"/>
    <col min="4" max="6" width="17.1111111111111"/>
    <col min="7" max="7" width="15.6666666666667"/>
    <col min="8" max="8" width="17.1111111111111"/>
  </cols>
  <sheetData>
    <row r="1" customHeight="1" spans="1:8">
      <c r="A1" s="33" t="s">
        <v>454</v>
      </c>
      <c r="B1" s="33"/>
      <c r="C1" s="33"/>
      <c r="D1" s="33"/>
      <c r="E1" s="33"/>
      <c r="F1" s="33"/>
      <c r="G1" s="33"/>
      <c r="H1" s="33"/>
    </row>
    <row r="2" customHeight="1" spans="1:8">
      <c r="A2" s="2" t="s">
        <v>1</v>
      </c>
      <c r="B2" s="2" t="s">
        <v>159</v>
      </c>
      <c r="C2" s="2">
        <v>2025</v>
      </c>
      <c r="D2" s="2">
        <v>2026</v>
      </c>
      <c r="E2" s="2">
        <v>2027</v>
      </c>
      <c r="F2" s="2">
        <v>2028</v>
      </c>
      <c r="G2" s="2" t="s">
        <v>56</v>
      </c>
      <c r="H2" s="2">
        <v>2045</v>
      </c>
    </row>
    <row r="3" customHeight="1" spans="1:8">
      <c r="A3" s="7">
        <v>1</v>
      </c>
      <c r="B3" s="7" t="s">
        <v>455</v>
      </c>
      <c r="C3" s="34">
        <f t="shared" ref="C3:H3" si="0">SUM(C4+C10+C11+C12)</f>
        <v>323.5528</v>
      </c>
      <c r="D3" s="34">
        <f t="shared" si="0"/>
        <v>533.262</v>
      </c>
      <c r="E3" s="34">
        <f t="shared" si="0"/>
        <v>730.94</v>
      </c>
      <c r="F3" s="34">
        <f t="shared" si="0"/>
        <v>2603.96656829321</v>
      </c>
      <c r="G3" s="34" t="e">
        <f t="shared" si="0"/>
        <v>#VALUE!</v>
      </c>
      <c r="H3" s="34">
        <f t="shared" si="0"/>
        <v>4129.08758176806</v>
      </c>
    </row>
    <row r="4" customHeight="1" spans="1:8">
      <c r="A4" s="7">
        <v>1.1</v>
      </c>
      <c r="B4" s="7" t="s">
        <v>456</v>
      </c>
      <c r="C4" s="34">
        <f t="shared" ref="C4:H4" si="1">SUM(C5:C9)</f>
        <v>0</v>
      </c>
      <c r="D4" s="34">
        <f t="shared" si="1"/>
        <v>-100</v>
      </c>
      <c r="E4" s="34">
        <f t="shared" si="1"/>
        <v>-200</v>
      </c>
      <c r="F4" s="34">
        <f t="shared" si="1"/>
        <v>971.390368185855</v>
      </c>
      <c r="G4" s="34">
        <f t="shared" si="1"/>
        <v>2605.98353573703</v>
      </c>
      <c r="H4" s="34">
        <f t="shared" si="1"/>
        <v>4044.05128331969</v>
      </c>
    </row>
    <row r="5" customHeight="1" spans="1:8">
      <c r="A5" s="7" t="s">
        <v>430</v>
      </c>
      <c r="B5" s="7" t="s">
        <v>457</v>
      </c>
      <c r="C5" s="34">
        <f>D.4流动资金估算表!E10+d财务计划现金流量表!D31</f>
        <v>0</v>
      </c>
      <c r="D5" s="34">
        <f>D.4流动资金估算表!F10+d财务计划现金流量表!E31</f>
        <v>-100</v>
      </c>
      <c r="E5" s="34">
        <f>D.4流动资金估算表!G10+d财务计划现金流量表!F31</f>
        <v>-200</v>
      </c>
      <c r="F5" s="34">
        <f>D.4流动资金估算表!H10+d财务计划现金流量表!G31</f>
        <v>965.173803498355</v>
      </c>
      <c r="G5" s="34">
        <f>D.4流动资金估算表!I10+d财务计划现金流量表!H31</f>
        <v>2597.98969720925</v>
      </c>
      <c r="H5" s="34">
        <f>D.4流动资金估算表!J10+d财务计划现金流量表!I31</f>
        <v>4035.97074872941</v>
      </c>
    </row>
    <row r="6" customHeight="1" spans="1:8">
      <c r="A6" s="7" t="s">
        <v>431</v>
      </c>
      <c r="B6" s="7" t="s">
        <v>166</v>
      </c>
      <c r="C6" s="34">
        <f>D.4流动资金估算表!E4</f>
        <v>0</v>
      </c>
      <c r="D6" s="34">
        <f>D.4流动资金估算表!F4</f>
        <v>0</v>
      </c>
      <c r="E6" s="34">
        <f>D.4流动资金估算表!G4</f>
        <v>0</v>
      </c>
      <c r="F6" s="34">
        <f>D.4流动资金估算表!H4</f>
        <v>4.625</v>
      </c>
      <c r="G6" s="34">
        <f>D.4流动资金估算表!I4</f>
        <v>6.00444444444444</v>
      </c>
      <c r="H6" s="34">
        <f>D.4流动资金估算表!J4</f>
        <v>6.09114444444444</v>
      </c>
    </row>
    <row r="7" customHeight="1" spans="1:8">
      <c r="A7" s="7" t="s">
        <v>433</v>
      </c>
      <c r="B7" s="7" t="s">
        <v>458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</row>
    <row r="8" customHeight="1" spans="1:8">
      <c r="A8" s="7" t="s">
        <v>434</v>
      </c>
      <c r="B8" s="7" t="s">
        <v>167</v>
      </c>
      <c r="C8" s="34">
        <f>D.4流动资金估算表!E5</f>
        <v>0</v>
      </c>
      <c r="D8" s="34">
        <f>D.4流动资金估算表!F5</f>
        <v>0</v>
      </c>
      <c r="E8" s="34">
        <f>D.4流动资金估算表!G5</f>
        <v>0</v>
      </c>
      <c r="F8" s="34">
        <f>D.4流动资金估算表!H5</f>
        <v>1.5915646875</v>
      </c>
      <c r="G8" s="34">
        <f>D.4流动资金估算表!I5</f>
        <v>1.98939408333333</v>
      </c>
      <c r="H8" s="34">
        <f>D.4流动资金估算表!J5</f>
        <v>1.98939014583333</v>
      </c>
    </row>
    <row r="9" customHeight="1" spans="1:8">
      <c r="A9" s="7" t="s">
        <v>459</v>
      </c>
      <c r="B9" s="7" t="s">
        <v>460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</row>
    <row r="10" customHeight="1" spans="1:8">
      <c r="A10" s="7">
        <v>1.2</v>
      </c>
      <c r="B10" s="7" t="s">
        <v>461</v>
      </c>
      <c r="C10" s="34">
        <f>D.2项目总投资使用计划与资金筹措表!D3</f>
        <v>323.5528</v>
      </c>
      <c r="D10" s="34">
        <f>D.2项目总投资使用计划与资金筹措表!E3</f>
        <v>633.262</v>
      </c>
      <c r="E10" s="34">
        <f>D.2项目总投资使用计划与资金筹措表!F3</f>
        <v>930.94</v>
      </c>
      <c r="F10" s="34">
        <f>D.2项目总投资使用计划与资金筹措表!G3</f>
        <v>6.975329375</v>
      </c>
      <c r="G10" s="34">
        <f>D.2项目总投资使用计划与资金筹措表!H3</f>
        <v>1.96690323611111</v>
      </c>
      <c r="H10" s="34">
        <f>D.2项目总投资使用计划与资金筹措表!I3</f>
        <v>0.086692124999999</v>
      </c>
    </row>
    <row r="11" customHeight="1" spans="1:8">
      <c r="A11" s="7">
        <v>1.3</v>
      </c>
      <c r="B11" s="7" t="s">
        <v>462</v>
      </c>
      <c r="C11" s="35">
        <v>0</v>
      </c>
      <c r="D11" s="35">
        <v>0</v>
      </c>
      <c r="E11" s="35">
        <v>0</v>
      </c>
      <c r="F11" s="34">
        <f>E.2固定资产折旧费估算表!F4</f>
        <v>1609.32309757044</v>
      </c>
      <c r="G11" s="34" t="e">
        <f>E.2固定资产折旧费估算表!H4</f>
        <v>#VALUE!</v>
      </c>
      <c r="H11" s="34">
        <f>E.2固定资产折旧费估算表!I4</f>
        <v>84.9496063233669</v>
      </c>
    </row>
    <row r="12" customHeight="1" spans="1:8">
      <c r="A12" s="7">
        <v>1.4</v>
      </c>
      <c r="B12" s="7" t="s">
        <v>463</v>
      </c>
      <c r="C12" s="35">
        <v>0</v>
      </c>
      <c r="D12" s="35">
        <v>0</v>
      </c>
      <c r="E12" s="35">
        <v>0</v>
      </c>
      <c r="F12" s="34">
        <f>E.3无形资产和其他资产摊销费估算表!F11</f>
        <v>16.2777731619079</v>
      </c>
      <c r="G12" s="34" t="e">
        <f>E.3无形资产和其他资产摊销费估算表!H11</f>
        <v>#VALUE!</v>
      </c>
      <c r="H12" s="34">
        <f>E.3无形资产和其他资产摊销费估算表!I11</f>
        <v>0</v>
      </c>
    </row>
    <row r="13" customHeight="1" spans="1:8">
      <c r="A13" s="7">
        <v>2</v>
      </c>
      <c r="B13" s="7" t="s">
        <v>464</v>
      </c>
      <c r="C13" s="34">
        <f t="shared" ref="C13:H13" si="2">C21+C22</f>
        <v>323.5528</v>
      </c>
      <c r="D13" s="34">
        <f t="shared" si="2"/>
        <v>856.8148</v>
      </c>
      <c r="E13" s="34">
        <f t="shared" si="2"/>
        <v>1687.7548</v>
      </c>
      <c r="F13" s="34">
        <f t="shared" si="2"/>
        <v>1750.42959313168</v>
      </c>
      <c r="G13" s="34">
        <f t="shared" si="2"/>
        <v>1757.77689837067</v>
      </c>
      <c r="H13" s="34">
        <f t="shared" si="2"/>
        <v>1765.28284275773</v>
      </c>
    </row>
    <row r="14" customHeight="1" spans="1:8">
      <c r="A14" s="7">
        <v>2.1</v>
      </c>
      <c r="B14" s="7" t="s">
        <v>465</v>
      </c>
      <c r="C14" s="34">
        <f t="shared" ref="C14:H14" si="3">SUM(C15:C18)</f>
        <v>0</v>
      </c>
      <c r="D14" s="34">
        <f t="shared" si="3"/>
        <v>0</v>
      </c>
      <c r="E14" s="34">
        <f t="shared" si="3"/>
        <v>0</v>
      </c>
      <c r="F14" s="34">
        <f t="shared" si="3"/>
        <v>0.0594666666666667</v>
      </c>
      <c r="G14" s="34">
        <f t="shared" si="3"/>
        <v>0.0743333333333333</v>
      </c>
      <c r="H14" s="34">
        <f t="shared" si="3"/>
        <v>0.0743333333333333</v>
      </c>
    </row>
    <row r="15" customHeight="1" spans="1:8">
      <c r="A15" s="7" t="s">
        <v>142</v>
      </c>
      <c r="B15" s="7" t="s">
        <v>466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</row>
    <row r="16" customHeight="1" spans="1:8">
      <c r="A16" s="7" t="s">
        <v>144</v>
      </c>
      <c r="B16" s="7" t="s">
        <v>178</v>
      </c>
      <c r="C16" s="34">
        <f>D.4流动资金估算表!E12</f>
        <v>0</v>
      </c>
      <c r="D16" s="34">
        <f>D.4流动资金估算表!F12</f>
        <v>0</v>
      </c>
      <c r="E16" s="34">
        <f>D.4流动资金估算表!G12</f>
        <v>0</v>
      </c>
      <c r="F16" s="34">
        <f>D.4流动资金估算表!H12</f>
        <v>0.0594666666666667</v>
      </c>
      <c r="G16" s="34">
        <f>D.4流动资金估算表!I12</f>
        <v>0.0743333333333333</v>
      </c>
      <c r="H16" s="34">
        <f>D.4流动资金估算表!J12</f>
        <v>0.0743333333333333</v>
      </c>
    </row>
    <row r="17" customHeight="1" spans="1:8">
      <c r="A17" s="7" t="s">
        <v>146</v>
      </c>
      <c r="B17" s="7" t="s">
        <v>467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</row>
    <row r="18" customHeight="1" spans="1:8">
      <c r="A18" s="7" t="s">
        <v>468</v>
      </c>
      <c r="B18" s="7" t="s">
        <v>460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</row>
    <row r="19" s="32" customFormat="1" customHeight="1" spans="1:8">
      <c r="A19" s="36">
        <v>2.2</v>
      </c>
      <c r="B19" s="36" t="s">
        <v>448</v>
      </c>
      <c r="C19" s="37">
        <f>c借款还本付息计划表!D25</f>
        <v>200</v>
      </c>
      <c r="D19" s="37">
        <f>c借款还本付息计划表!E25</f>
        <v>600</v>
      </c>
      <c r="E19" s="37">
        <f>c借款还本付息计划表!F25</f>
        <v>500</v>
      </c>
      <c r="F19" s="37">
        <f>c借款还本付息计划表!G25</f>
        <v>400</v>
      </c>
      <c r="G19" s="37">
        <f>c借款还本付息计划表!K25</f>
        <v>200</v>
      </c>
      <c r="H19" s="37">
        <f>c借款还本付息计划表!L25</f>
        <v>0</v>
      </c>
    </row>
    <row r="20" customHeight="1" spans="1:8">
      <c r="A20" s="7">
        <v>2.3</v>
      </c>
      <c r="B20" s="7" t="s">
        <v>469</v>
      </c>
      <c r="C20" s="34">
        <f>D.4流动资金估算表!E15</f>
        <v>0</v>
      </c>
      <c r="D20" s="34">
        <f>D.4流动资金估算表!F15</f>
        <v>0</v>
      </c>
      <c r="E20" s="34">
        <f>D.4流动资金估算表!G15</f>
        <v>0</v>
      </c>
      <c r="F20" s="34">
        <f>D.4流动资金估算表!H15</f>
        <v>0</v>
      </c>
      <c r="G20" s="34">
        <f>D.4流动资金估算表!I15</f>
        <v>0</v>
      </c>
      <c r="H20" s="34">
        <f>D.4流动资金估算表!J15</f>
        <v>0</v>
      </c>
    </row>
    <row r="21" customHeight="1" spans="1:8">
      <c r="A21" s="7">
        <v>2.4</v>
      </c>
      <c r="B21" s="7" t="s">
        <v>470</v>
      </c>
      <c r="C21" s="34">
        <f t="shared" ref="C21:H21" si="4">C14+C19+C20</f>
        <v>200</v>
      </c>
      <c r="D21" s="34">
        <f t="shared" si="4"/>
        <v>600</v>
      </c>
      <c r="E21" s="34">
        <f t="shared" si="4"/>
        <v>500</v>
      </c>
      <c r="F21" s="34">
        <f t="shared" si="4"/>
        <v>400.059466666667</v>
      </c>
      <c r="G21" s="34">
        <f t="shared" si="4"/>
        <v>200.074333333333</v>
      </c>
      <c r="H21" s="34">
        <f t="shared" si="4"/>
        <v>0.0743333333333333</v>
      </c>
    </row>
    <row r="22" customHeight="1" spans="1:8">
      <c r="A22" s="7">
        <v>2.5</v>
      </c>
      <c r="B22" s="7" t="s">
        <v>471</v>
      </c>
      <c r="C22" s="34">
        <f t="shared" ref="C22:H22" si="5">SUM(C23:C26)</f>
        <v>123.5528</v>
      </c>
      <c r="D22" s="34">
        <f t="shared" si="5"/>
        <v>256.8148</v>
      </c>
      <c r="E22" s="34">
        <f t="shared" si="5"/>
        <v>1187.7548</v>
      </c>
      <c r="F22" s="34">
        <f t="shared" si="5"/>
        <v>1350.37012646502</v>
      </c>
      <c r="G22" s="34">
        <f t="shared" si="5"/>
        <v>1557.70256503734</v>
      </c>
      <c r="H22" s="34">
        <f t="shared" si="5"/>
        <v>1765.2085094244</v>
      </c>
    </row>
    <row r="23" customHeight="1" spans="1:8">
      <c r="A23" s="7" t="s">
        <v>472</v>
      </c>
      <c r="B23" s="7" t="s">
        <v>473</v>
      </c>
      <c r="C23" s="34">
        <f>D.2项目总投资使用计划与资金筹措表!D8</f>
        <v>123.5528</v>
      </c>
      <c r="D23" s="34">
        <f>C23+D.2项目总投资使用计划与资金筹措表!E8</f>
        <v>256.8148</v>
      </c>
      <c r="E23" s="34">
        <f>D23+D.2项目总投资使用计划与资金筹措表!F8</f>
        <v>1187.7548</v>
      </c>
      <c r="F23" s="34">
        <f>E23+D.2项目总投资使用计划与资金筹措表!G8</f>
        <v>1194.730129375</v>
      </c>
      <c r="G23" s="34">
        <f>F23+D.2项目总投资使用计划与资金筹措表!H8</f>
        <v>1196.69703261111</v>
      </c>
      <c r="H23" s="34">
        <f>G23+D.2项目总投资使用计划与资金筹措表!I8</f>
        <v>1196.78372473611</v>
      </c>
    </row>
    <row r="24" customHeight="1" spans="1:8">
      <c r="A24" s="7" t="s">
        <v>474</v>
      </c>
      <c r="B24" s="7" t="s">
        <v>475</v>
      </c>
      <c r="C24" s="34">
        <f>'b利润与利润分配表（损益和利润分配表）'!E15</f>
        <v>0</v>
      </c>
      <c r="D24" s="34">
        <f>C24+'b利润与利润分配表（损益和利润分配表）'!F15</f>
        <v>0</v>
      </c>
      <c r="E24" s="34">
        <f>D24+'b利润与利润分配表（损益和利润分配表）'!G15</f>
        <v>0</v>
      </c>
      <c r="F24" s="34">
        <f>E24+'b利润与利润分配表（损益和利润分配表）'!H15</f>
        <v>107.337929027598</v>
      </c>
      <c r="G24" s="34">
        <f>F24+'b利润与利润分配表（损益和利润分配表）'!I15</f>
        <v>248.969332707742</v>
      </c>
      <c r="H24" s="34">
        <f>G24+'b利润与利润分配表（损益和利润分配表）'!J15</f>
        <v>392.017092888472</v>
      </c>
    </row>
    <row r="25" customHeight="1" spans="1:8">
      <c r="A25" s="7" t="s">
        <v>476</v>
      </c>
      <c r="B25" s="7" t="s">
        <v>477</v>
      </c>
      <c r="C25" s="34">
        <f>'b利润与利润分配表（损益和利润分配表）'!E18</f>
        <v>0</v>
      </c>
      <c r="D25" s="34">
        <f>C25+'b利润与利润分配表（损益和利润分配表）'!F18</f>
        <v>0</v>
      </c>
      <c r="E25" s="34">
        <f>D25+'b利润与利润分配表（损益和利润分配表）'!G18</f>
        <v>0</v>
      </c>
      <c r="F25" s="34">
        <f>E25+'b利润与利润分配表（损益和利润分配表）'!H18</f>
        <v>48.302068062419</v>
      </c>
      <c r="G25" s="34">
        <f>F25+'b利润与利润分配表（损益和利润分配表）'!I18</f>
        <v>112.036199718484</v>
      </c>
      <c r="H25" s="34">
        <f>G25+'b利润与利润分配表（损益和利润分配表）'!J18</f>
        <v>176.407691799813</v>
      </c>
    </row>
    <row r="26" customHeight="1" spans="1:8">
      <c r="A26" s="7" t="s">
        <v>478</v>
      </c>
      <c r="B26" s="7" t="s">
        <v>401</v>
      </c>
      <c r="C26" s="34">
        <f>'b利润与利润分配表（损益和利润分配表）'!E24</f>
        <v>0</v>
      </c>
      <c r="D26" s="34">
        <f>'b利润与利润分配表（损益和利润分配表）'!F24</f>
        <v>0</v>
      </c>
      <c r="E26" s="34">
        <f>'b利润与利润分配表（损益和利润分配表）'!G24</f>
        <v>0</v>
      </c>
      <c r="F26" s="34">
        <f>'b利润与利润分配表（损益和利润分配表）'!H24</f>
        <v>0</v>
      </c>
      <c r="G26" s="34">
        <f>'b利润与利润分配表（损益和利润分配表）'!I24</f>
        <v>0</v>
      </c>
      <c r="H26" s="34">
        <f>'b利润与利润分配表（损益和利润分配表）'!J24</f>
        <v>0</v>
      </c>
    </row>
    <row r="27" customHeight="1" spans="1:8">
      <c r="A27" s="38" t="s">
        <v>479</v>
      </c>
      <c r="B27" s="38"/>
      <c r="C27" s="27">
        <f t="shared" ref="C27:H27" si="6">C21/C3</f>
        <v>0.618137132486568</v>
      </c>
      <c r="D27" s="27">
        <f t="shared" si="6"/>
        <v>1.12515048887789</v>
      </c>
      <c r="E27" s="27">
        <f t="shared" si="6"/>
        <v>0.684050674473965</v>
      </c>
      <c r="F27" s="27">
        <f t="shared" si="6"/>
        <v>0.153634640143974</v>
      </c>
      <c r="G27" s="27" t="e">
        <f t="shared" si="6"/>
        <v>#VALUE!</v>
      </c>
      <c r="H27" s="27">
        <f t="shared" si="6"/>
        <v>1.80023629582359e-5</v>
      </c>
    </row>
    <row r="28" customHeight="1" spans="11:11">
      <c r="K28" t="s">
        <v>480</v>
      </c>
    </row>
  </sheetData>
  <mergeCells count="2">
    <mergeCell ref="A1:H1"/>
    <mergeCell ref="A27:B27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>
    <tabColor rgb="FFFFC000"/>
  </sheetPr>
  <dimension ref="A1:G4"/>
  <sheetViews>
    <sheetView workbookViewId="0">
      <selection activeCell="F4" sqref="F4"/>
    </sheetView>
  </sheetViews>
  <sheetFormatPr defaultColWidth="14.7777777777778" defaultRowHeight="28.05" customHeight="1" outlineLevelRow="3" outlineLevelCol="6"/>
  <cols>
    <col min="1" max="1" width="20.2222222222222" customWidth="1"/>
    <col min="2" max="2" width="14.7777777777778" customWidth="1"/>
    <col min="3" max="3" width="17.7777777777778" customWidth="1"/>
    <col min="4" max="4" width="14.7777777777778" customWidth="1"/>
  </cols>
  <sheetData>
    <row r="1" customHeight="1" spans="1:7">
      <c r="A1" s="9" t="s">
        <v>481</v>
      </c>
      <c r="B1" s="10"/>
      <c r="C1" s="10"/>
      <c r="D1" s="10"/>
      <c r="E1" s="10"/>
      <c r="F1" s="10"/>
      <c r="G1" s="17"/>
    </row>
    <row r="2" customHeight="1" spans="1:7">
      <c r="A2" s="2" t="s">
        <v>482</v>
      </c>
      <c r="B2" s="2" t="s">
        <v>483</v>
      </c>
      <c r="C2" s="2" t="s">
        <v>123</v>
      </c>
      <c r="D2" s="2" t="s">
        <v>484</v>
      </c>
      <c r="E2" s="2" t="s">
        <v>138</v>
      </c>
      <c r="F2" s="2" t="s">
        <v>139</v>
      </c>
      <c r="G2" s="2" t="s">
        <v>103</v>
      </c>
    </row>
    <row r="3" customHeight="1" spans="1:7">
      <c r="A3" s="7" t="s">
        <v>485</v>
      </c>
      <c r="B3" s="8">
        <f>D.1建设投资!D3</f>
        <v>1824</v>
      </c>
      <c r="C3" s="8">
        <f>D.1建设投资!D13</f>
        <v>24.6048</v>
      </c>
      <c r="D3" s="8">
        <f>D.1建设投资!D20</f>
        <v>6</v>
      </c>
      <c r="E3" s="8">
        <f>D.2项目总投资使用计划与资金筹措表!C5</f>
        <v>33.15</v>
      </c>
      <c r="F3" s="8">
        <f>D.2项目总投资使用计划与资金筹措表!C6</f>
        <v>9.02892473611111</v>
      </c>
      <c r="G3" s="8">
        <f>SUM(B3:F3)</f>
        <v>1896.78372473611</v>
      </c>
    </row>
    <row r="4" customHeight="1" spans="1:7">
      <c r="A4" s="7" t="s">
        <v>486</v>
      </c>
      <c r="B4" s="27">
        <f t="shared" ref="B4:F4" si="0">B3/$G$3</f>
        <v>0.96162782093344</v>
      </c>
      <c r="C4" s="27">
        <f t="shared" si="0"/>
        <v>0.0129718531844863</v>
      </c>
      <c r="D4" s="27">
        <f t="shared" si="0"/>
        <v>0.00316324941096526</v>
      </c>
      <c r="E4" s="27">
        <f t="shared" si="0"/>
        <v>0.0174769529955831</v>
      </c>
      <c r="F4" s="27">
        <f t="shared" si="0"/>
        <v>0.00476012347552553</v>
      </c>
      <c r="G4" s="27" t="s">
        <v>102</v>
      </c>
    </row>
  </sheetData>
  <mergeCells count="1">
    <mergeCell ref="A1:G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>
    <tabColor rgb="FFFFC000"/>
  </sheetPr>
  <dimension ref="A1:F11"/>
  <sheetViews>
    <sheetView workbookViewId="0">
      <selection activeCell="I5" sqref="I5"/>
    </sheetView>
  </sheetViews>
  <sheetFormatPr defaultColWidth="14.7777777777778" defaultRowHeight="28.05" customHeight="1" outlineLevelCol="5"/>
  <cols>
    <col min="1" max="1" width="22" customWidth="1"/>
    <col min="2" max="2" width="14.7777777777778" customWidth="1"/>
  </cols>
  <sheetData>
    <row r="1" customHeight="1" spans="1:6">
      <c r="A1" s="9" t="s">
        <v>487</v>
      </c>
      <c r="B1" s="10"/>
      <c r="C1" s="10"/>
      <c r="D1" s="10"/>
      <c r="E1" s="10"/>
      <c r="F1" s="17"/>
    </row>
    <row r="2" customHeight="1" spans="1:6">
      <c r="A2" s="2" t="s">
        <v>488</v>
      </c>
      <c r="B2" s="2" t="s">
        <v>489</v>
      </c>
      <c r="C2" s="2" t="s">
        <v>490</v>
      </c>
      <c r="D2" s="2" t="s">
        <v>491</v>
      </c>
      <c r="E2" s="2" t="s">
        <v>266</v>
      </c>
      <c r="F2" s="2" t="s">
        <v>492</v>
      </c>
    </row>
    <row r="3" customHeight="1" spans="1:6">
      <c r="A3" s="7" t="s">
        <v>493</v>
      </c>
      <c r="B3" s="30">
        <v>0</v>
      </c>
      <c r="C3" s="30">
        <v>0</v>
      </c>
      <c r="D3" s="30">
        <v>0</v>
      </c>
      <c r="E3" s="8">
        <f t="shared" ref="E3:E8" si="0">SUM(B3:D3)</f>
        <v>0</v>
      </c>
      <c r="F3" s="27">
        <f>E3/E9</f>
        <v>0</v>
      </c>
    </row>
    <row r="4" customHeight="1" spans="1:6">
      <c r="A4" s="7" t="s">
        <v>494</v>
      </c>
      <c r="B4" s="8">
        <f>D.2项目总投资使用计划与资金筹措表!D8</f>
        <v>123.5528</v>
      </c>
      <c r="C4" s="8">
        <f>D.2项目总投资使用计划与资金筹措表!E8</f>
        <v>133.262</v>
      </c>
      <c r="D4" s="8">
        <f>D.2项目总投资使用计划与资金筹措表!F8</f>
        <v>930.94</v>
      </c>
      <c r="E4" s="8">
        <f t="shared" si="0"/>
        <v>1187.7548</v>
      </c>
      <c r="F4" s="27">
        <f>E4/E9</f>
        <v>0.62918912985945</v>
      </c>
    </row>
    <row r="5" ht="39" customHeight="1" spans="1:6">
      <c r="A5" s="31" t="s">
        <v>495</v>
      </c>
      <c r="B5" s="30">
        <v>0</v>
      </c>
      <c r="C5" s="30">
        <v>0</v>
      </c>
      <c r="D5" s="30">
        <v>0</v>
      </c>
      <c r="E5" s="8">
        <f t="shared" si="0"/>
        <v>0</v>
      </c>
      <c r="F5" s="27">
        <f>E5/E9</f>
        <v>0</v>
      </c>
    </row>
    <row r="6" ht="39" customHeight="1" spans="1:6">
      <c r="A6" s="31" t="s">
        <v>496</v>
      </c>
      <c r="B6" s="8">
        <f>D.2项目总投资使用计划与资金筹措表!D12</f>
        <v>200</v>
      </c>
      <c r="C6" s="8">
        <f>D.2项目总投资使用计划与资金筹措表!E12</f>
        <v>500</v>
      </c>
      <c r="D6" s="8">
        <f>D.2项目总投资使用计划与资金筹措表!F12</f>
        <v>0</v>
      </c>
      <c r="E6" s="8">
        <f t="shared" si="0"/>
        <v>700</v>
      </c>
      <c r="F6" s="27">
        <f>E6/E9</f>
        <v>0.37081087014055</v>
      </c>
    </row>
    <row r="7" customHeight="1" spans="1:6">
      <c r="A7" s="7" t="s">
        <v>497</v>
      </c>
      <c r="B7" s="30">
        <v>0</v>
      </c>
      <c r="C7" s="30">
        <v>0</v>
      </c>
      <c r="D7" s="30">
        <v>0</v>
      </c>
      <c r="E7" s="8">
        <f t="shared" si="0"/>
        <v>0</v>
      </c>
      <c r="F7" s="27">
        <f>E7/E9</f>
        <v>0</v>
      </c>
    </row>
    <row r="8" customHeight="1" spans="1:6">
      <c r="A8" s="7" t="s">
        <v>498</v>
      </c>
      <c r="B8" s="30">
        <v>0</v>
      </c>
      <c r="C8" s="30">
        <v>0</v>
      </c>
      <c r="D8" s="30">
        <v>0</v>
      </c>
      <c r="E8" s="8">
        <f t="shared" si="0"/>
        <v>0</v>
      </c>
      <c r="F8" s="27">
        <f>E8/E9</f>
        <v>0</v>
      </c>
    </row>
    <row r="9" customHeight="1" spans="1:6">
      <c r="A9" s="7" t="s">
        <v>103</v>
      </c>
      <c r="B9" s="8">
        <f>SUM(B3:B8)</f>
        <v>323.5528</v>
      </c>
      <c r="C9" s="8">
        <f>SUM(C3:C8)</f>
        <v>633.262</v>
      </c>
      <c r="D9" s="8">
        <f>SUM(D3:D8)</f>
        <v>930.94</v>
      </c>
      <c r="E9" s="8">
        <f>SUM(E3:E8)</f>
        <v>1887.7548</v>
      </c>
      <c r="F9" s="7" t="s">
        <v>102</v>
      </c>
    </row>
    <row r="10" customHeight="1" spans="1:6">
      <c r="A10" s="7" t="s">
        <v>499</v>
      </c>
      <c r="B10" s="27">
        <f>B9/E9</f>
        <v>0.171395564720588</v>
      </c>
      <c r="C10" s="27">
        <f>C9/E9</f>
        <v>0.33545776178135</v>
      </c>
      <c r="D10" s="27">
        <f>D9/E9</f>
        <v>0.493146673498062</v>
      </c>
      <c r="E10" s="7" t="s">
        <v>102</v>
      </c>
      <c r="F10" s="7" t="s">
        <v>102</v>
      </c>
    </row>
    <row r="11" customHeight="1" spans="1:6">
      <c r="A11" s="28" t="s">
        <v>500</v>
      </c>
      <c r="B11" s="28"/>
      <c r="C11" s="28"/>
      <c r="D11" s="28"/>
      <c r="E11" s="28"/>
      <c r="F11" s="28"/>
    </row>
  </sheetData>
  <mergeCells count="2">
    <mergeCell ref="A1:F1"/>
    <mergeCell ref="A11:F1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>
    <tabColor rgb="FFFFC000"/>
  </sheetPr>
  <dimension ref="A1:G7"/>
  <sheetViews>
    <sheetView workbookViewId="0">
      <selection activeCell="A7" sqref="A7:G7"/>
    </sheetView>
  </sheetViews>
  <sheetFormatPr defaultColWidth="15.7777777777778" defaultRowHeight="28.05" customHeight="1" outlineLevelRow="6" outlineLevelCol="6"/>
  <cols>
    <col min="1" max="1" width="15.7777777777778" customWidth="1"/>
  </cols>
  <sheetData>
    <row r="1" customHeight="1" spans="1:7">
      <c r="A1" s="9" t="s">
        <v>501</v>
      </c>
      <c r="B1" s="10"/>
      <c r="C1" s="10"/>
      <c r="D1" s="10"/>
      <c r="E1" s="10"/>
      <c r="F1" s="10"/>
      <c r="G1" s="17"/>
    </row>
    <row r="2" customHeight="1" spans="1:7">
      <c r="A2" s="11" t="s">
        <v>502</v>
      </c>
      <c r="B2" s="13" t="s">
        <v>503</v>
      </c>
      <c r="C2" s="14"/>
      <c r="D2" s="14"/>
      <c r="E2" s="14"/>
      <c r="F2" s="14"/>
      <c r="G2" s="18"/>
    </row>
    <row r="3" customHeight="1" spans="1:7">
      <c r="A3" s="15"/>
      <c r="B3" s="28" t="s">
        <v>489</v>
      </c>
      <c r="C3" s="28" t="s">
        <v>490</v>
      </c>
      <c r="D3" s="28" t="s">
        <v>491</v>
      </c>
      <c r="E3" s="28" t="s">
        <v>504</v>
      </c>
      <c r="F3" s="28" t="s">
        <v>505</v>
      </c>
      <c r="G3" s="28" t="s">
        <v>506</v>
      </c>
    </row>
    <row r="4" customHeight="1" spans="1:7">
      <c r="A4" s="7" t="s">
        <v>507</v>
      </c>
      <c r="B4" s="8">
        <f>F项目收入!D10-F项目收入!D9</f>
        <v>0</v>
      </c>
      <c r="C4" s="8">
        <f>F项目收入!E10-F项目收入!E9</f>
        <v>0</v>
      </c>
      <c r="D4" s="8">
        <f>F项目收入!F10-F项目收入!F9</f>
        <v>0</v>
      </c>
      <c r="E4" s="8">
        <f>F项目收入!G10-F项目收入!G9</f>
        <v>1664</v>
      </c>
      <c r="F4" s="8">
        <f>F项目收入!H10-F项目收入!H9</f>
        <v>2160.6</v>
      </c>
      <c r="G4" s="8">
        <f>F项目收入!I10-F项目收入!I9</f>
        <v>2191.812</v>
      </c>
    </row>
    <row r="5" customHeight="1" spans="1:7">
      <c r="A5" s="7" t="s">
        <v>508</v>
      </c>
      <c r="B5" s="8">
        <f>F项目收入!D9</f>
        <v>0</v>
      </c>
      <c r="C5" s="8">
        <f>F项目收入!E9</f>
        <v>0</v>
      </c>
      <c r="D5" s="8">
        <f>F项目收入!F9</f>
        <v>0</v>
      </c>
      <c r="E5" s="8">
        <f>F项目收入!G9</f>
        <v>1</v>
      </c>
      <c r="F5" s="8">
        <f>F项目收入!H9</f>
        <v>1</v>
      </c>
      <c r="G5" s="8">
        <f>F项目收入!I9</f>
        <v>1</v>
      </c>
    </row>
    <row r="6" customHeight="1" spans="1:7">
      <c r="A6" s="7" t="s">
        <v>103</v>
      </c>
      <c r="B6" s="8">
        <f t="shared" ref="B6:G6" si="0">SUM(B4:B5)</f>
        <v>0</v>
      </c>
      <c r="C6" s="8">
        <f t="shared" si="0"/>
        <v>0</v>
      </c>
      <c r="D6" s="8">
        <f t="shared" si="0"/>
        <v>0</v>
      </c>
      <c r="E6" s="8">
        <f t="shared" si="0"/>
        <v>1665</v>
      </c>
      <c r="F6" s="8">
        <f t="shared" si="0"/>
        <v>2161.6</v>
      </c>
      <c r="G6" s="8">
        <f t="shared" si="0"/>
        <v>2192.812</v>
      </c>
    </row>
    <row r="7" ht="42" customHeight="1" spans="1:7">
      <c r="A7" s="29" t="s">
        <v>509</v>
      </c>
      <c r="B7" s="28"/>
      <c r="C7" s="28"/>
      <c r="D7" s="28"/>
      <c r="E7" s="28"/>
      <c r="F7" s="28"/>
      <c r="G7" s="28"/>
    </row>
  </sheetData>
  <mergeCells count="4">
    <mergeCell ref="A1:G1"/>
    <mergeCell ref="B2:G2"/>
    <mergeCell ref="A7:G7"/>
    <mergeCell ref="A2:A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FF00"/>
  </sheetPr>
  <dimension ref="A1:M6"/>
  <sheetViews>
    <sheetView tabSelected="1" zoomScale="85" zoomScaleNormal="85" topLeftCell="C1" workbookViewId="0">
      <selection activeCell="K9" sqref="K9"/>
    </sheetView>
  </sheetViews>
  <sheetFormatPr defaultColWidth="8.88888888888889" defaultRowHeight="28.05" customHeight="1" outlineLevelRow="5"/>
  <cols>
    <col min="1" max="1" width="7.77777777777778" customWidth="1"/>
    <col min="2" max="2" width="9.55555555555556" customWidth="1"/>
    <col min="3" max="3" width="16.5555555555556" customWidth="1"/>
    <col min="4" max="4" width="15.6666666666667" customWidth="1"/>
    <col min="5" max="5" width="11.3333333333333" customWidth="1"/>
    <col min="6" max="6" width="12.7777777777778" customWidth="1"/>
    <col min="7" max="7" width="21.7777777777778" customWidth="1"/>
    <col min="8" max="8" width="21.8888888888889" customWidth="1"/>
    <col min="9" max="9" width="28.6666666666667" customWidth="1"/>
    <col min="10" max="10" width="13.7777777777778" customWidth="1"/>
    <col min="11" max="11" width="29" customWidth="1"/>
    <col min="12" max="12" width="23.2222222222222" customWidth="1"/>
    <col min="13" max="13" width="26" customWidth="1"/>
    <col min="15" max="15" width="18.8888888888889" customWidth="1"/>
  </cols>
  <sheetData>
    <row r="1" s="50" customFormat="1" customHeight="1" spans="1:13">
      <c r="A1" s="59" t="s">
        <v>70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="50" customFormat="1" ht="40.05" customHeight="1" spans="1:13">
      <c r="A2" s="2" t="s">
        <v>1</v>
      </c>
      <c r="B2" s="2" t="s">
        <v>71</v>
      </c>
      <c r="C2" s="2" t="s">
        <v>72</v>
      </c>
      <c r="D2" s="19" t="s">
        <v>73</v>
      </c>
      <c r="E2" s="2" t="s">
        <v>74</v>
      </c>
      <c r="F2" s="2" t="s">
        <v>75</v>
      </c>
      <c r="G2" s="2" t="s">
        <v>76</v>
      </c>
      <c r="H2" s="2" t="s">
        <v>77</v>
      </c>
      <c r="I2" s="2" t="s">
        <v>78</v>
      </c>
      <c r="J2" s="2" t="s">
        <v>79</v>
      </c>
      <c r="K2" s="2" t="s">
        <v>80</v>
      </c>
      <c r="L2" s="19" t="s">
        <v>81</v>
      </c>
      <c r="M2" s="19" t="s">
        <v>82</v>
      </c>
    </row>
    <row r="3" s="50" customFormat="1" ht="82.05" customHeight="1" spans="1:13">
      <c r="A3" s="51"/>
      <c r="B3" s="51"/>
      <c r="C3" s="81" t="s">
        <v>83</v>
      </c>
      <c r="D3" s="51"/>
      <c r="E3" s="51"/>
      <c r="F3" s="51"/>
      <c r="G3" s="81" t="s">
        <v>84</v>
      </c>
      <c r="H3" s="81" t="s">
        <v>85</v>
      </c>
      <c r="I3" s="81" t="s">
        <v>86</v>
      </c>
      <c r="J3" s="51"/>
      <c r="K3" s="81" t="s">
        <v>87</v>
      </c>
      <c r="L3" s="81" t="s">
        <v>88</v>
      </c>
      <c r="M3" s="81" t="s">
        <v>89</v>
      </c>
    </row>
    <row r="4" s="50" customFormat="1" customHeight="1" spans="1:13">
      <c r="A4" s="7">
        <v>1</v>
      </c>
      <c r="B4" s="7" t="s">
        <v>90</v>
      </c>
      <c r="C4" s="7" t="s">
        <v>91</v>
      </c>
      <c r="D4" s="35">
        <v>200</v>
      </c>
      <c r="E4" s="121">
        <v>45901</v>
      </c>
      <c r="F4" s="121">
        <v>53175</v>
      </c>
      <c r="G4" s="20">
        <v>20</v>
      </c>
      <c r="H4" s="122">
        <f>2.69%*(1+A财务假设!$D$22)</f>
        <v>0.0269</v>
      </c>
      <c r="I4" s="77" t="s">
        <v>92</v>
      </c>
      <c r="J4" s="121">
        <v>46082</v>
      </c>
      <c r="K4" s="52">
        <f>IF(G4&gt;4,D4*A财务假设!$D$17,D4*A财务假设!$D$16)</f>
        <v>0.16</v>
      </c>
      <c r="L4" s="36">
        <f>D4*A财务假设!$D$18</f>
        <v>0.0128</v>
      </c>
      <c r="M4" s="37">
        <f>c借款还本付息计划表!C9</f>
        <v>0.012421</v>
      </c>
    </row>
    <row r="5" s="50" customFormat="1" customHeight="1" spans="1:13">
      <c r="A5" s="7">
        <v>2</v>
      </c>
      <c r="B5" s="7" t="s">
        <v>93</v>
      </c>
      <c r="C5" s="7" t="s">
        <v>91</v>
      </c>
      <c r="D5" s="35">
        <v>500</v>
      </c>
      <c r="E5" s="121">
        <v>46023</v>
      </c>
      <c r="F5" s="121">
        <v>47818</v>
      </c>
      <c r="G5" s="20">
        <v>5</v>
      </c>
      <c r="H5" s="122">
        <f>1.89%*(1+A财务假设!$D$22)</f>
        <v>0.0189</v>
      </c>
      <c r="I5" s="77" t="s">
        <v>94</v>
      </c>
      <c r="J5" s="121">
        <v>46419</v>
      </c>
      <c r="K5" s="52">
        <f>IF(G5&gt;4,D5*A财务假设!$D$17,D5*A财务假设!$D$16)</f>
        <v>0.4</v>
      </c>
      <c r="L5" s="36">
        <f>D5*A财务假设!$D$18</f>
        <v>0.032</v>
      </c>
      <c r="M5" s="37">
        <f>c借款还本付息计划表!C17</f>
        <v>0.0264175</v>
      </c>
    </row>
    <row r="6" s="50" customFormat="1" customHeight="1" spans="1:13">
      <c r="A6" s="7" t="s">
        <v>54</v>
      </c>
      <c r="B6" s="7" t="s">
        <v>95</v>
      </c>
      <c r="C6" s="7" t="s">
        <v>96</v>
      </c>
      <c r="D6" s="7"/>
      <c r="E6" s="7"/>
      <c r="F6" s="7"/>
      <c r="G6" s="7"/>
      <c r="H6" s="7"/>
      <c r="I6" s="7"/>
      <c r="J6" s="7"/>
      <c r="K6" s="7"/>
      <c r="L6" s="7"/>
      <c r="M6" s="7"/>
    </row>
  </sheetData>
  <mergeCells count="1">
    <mergeCell ref="A1:M1"/>
  </mergeCells>
  <dataValidations count="2">
    <dataValidation type="list" allowBlank="1" showInputMessage="1" showErrorMessage="1" sqref="I4 I5">
      <formula1>"贷款期内本期等额本金还款,贷款期内本期等额本息还款,后五年每年还本20%,后十年每年还本10%,后二十年每年还本5%,到期一次性还清,自定义还款"</formula1>
    </dataValidation>
    <dataValidation type="list" allowBlank="1" showInputMessage="1" showErrorMessage="1" sqref="I6">
      <formula1>"贷款期内等额本金还款,贷款期内等额本息还款,后五年每年还本20%,后十年每年还本10%,后二十年每年还本5%,到期一次性还款,自定义还款"</formula1>
    </dataValidation>
  </dataValidation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>
    <tabColor rgb="FFFFC000"/>
  </sheetPr>
  <dimension ref="A1:N23"/>
  <sheetViews>
    <sheetView workbookViewId="0">
      <selection activeCell="M9" sqref="M9"/>
    </sheetView>
  </sheetViews>
  <sheetFormatPr defaultColWidth="13.7777777777778" defaultRowHeight="28.05" customHeight="1"/>
  <cols>
    <col min="1" max="1" width="13.6666666666667" customWidth="1"/>
    <col min="2" max="2" width="11.2222222222222" customWidth="1"/>
    <col min="3" max="3" width="19.2222222222222" customWidth="1"/>
    <col min="4" max="4" width="18.7777777777778" customWidth="1"/>
    <col min="5" max="16382" width="13.7777777777778" customWidth="1"/>
  </cols>
  <sheetData>
    <row r="1" customHeight="1" spans="1:14">
      <c r="A1" s="21" t="s">
        <v>510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customHeight="1" spans="1:14">
      <c r="A2" s="22" t="s">
        <v>206</v>
      </c>
      <c r="B2" s="22" t="s">
        <v>1</v>
      </c>
      <c r="C2" s="22" t="s">
        <v>134</v>
      </c>
      <c r="D2" s="22" t="s">
        <v>207</v>
      </c>
      <c r="E2" s="22" t="s">
        <v>208</v>
      </c>
      <c r="F2" s="23" t="s">
        <v>209</v>
      </c>
      <c r="G2" s="2" t="s">
        <v>210</v>
      </c>
      <c r="H2" s="24" t="s">
        <v>99</v>
      </c>
      <c r="I2" s="15" t="s">
        <v>100</v>
      </c>
      <c r="J2" s="15" t="s">
        <v>101</v>
      </c>
      <c r="K2" s="15" t="s">
        <v>211</v>
      </c>
      <c r="L2" s="15" t="s">
        <v>212</v>
      </c>
      <c r="M2" s="15" t="s">
        <v>213</v>
      </c>
      <c r="N2" s="15" t="s">
        <v>103</v>
      </c>
    </row>
    <row r="3" customHeight="1" spans="1:14">
      <c r="A3" s="15"/>
      <c r="B3" s="15"/>
      <c r="C3" s="15"/>
      <c r="D3" s="15"/>
      <c r="E3" s="15"/>
      <c r="F3" s="15"/>
      <c r="G3" s="2"/>
      <c r="H3" s="25" t="s">
        <v>214</v>
      </c>
      <c r="I3" s="25"/>
      <c r="J3" s="26"/>
      <c r="K3" s="27">
        <f>E.1项目运营费用!K3</f>
        <v>0.8</v>
      </c>
      <c r="L3" s="27">
        <f>E.1项目运营费用!L3</f>
        <v>1</v>
      </c>
      <c r="M3" s="27">
        <f>E.1项目运营费用!M3</f>
        <v>1</v>
      </c>
      <c r="N3" s="7" t="s">
        <v>102</v>
      </c>
    </row>
    <row r="4" customHeight="1" spans="1:14">
      <c r="A4" s="7" t="str">
        <f>E.1项目运营费用!A4</f>
        <v>场地维护成本</v>
      </c>
      <c r="B4" s="7">
        <f>E.1项目运营费用!B4</f>
        <v>1</v>
      </c>
      <c r="C4" s="7" t="str">
        <f>E.1项目运营费用!C4</f>
        <v>场地租金</v>
      </c>
      <c r="D4" s="7" t="str">
        <f>E.1项目运营费用!D4</f>
        <v>按面积×租金单价</v>
      </c>
      <c r="E4" s="7">
        <f>E.1项目运营费用!E4</f>
        <v>1</v>
      </c>
      <c r="F4" s="7">
        <f>E.1项目运营费用!F4</f>
        <v>2</v>
      </c>
      <c r="G4" s="7">
        <f>E.1项目运营费用!G4</f>
        <v>2</v>
      </c>
      <c r="H4" s="7">
        <f>E.1项目运营费用!H4</f>
        <v>0</v>
      </c>
      <c r="I4" s="7">
        <f>E.1项目运营费用!I4</f>
        <v>0</v>
      </c>
      <c r="J4" s="7">
        <f>E.1项目运营费用!J4</f>
        <v>0</v>
      </c>
      <c r="K4" s="7">
        <f>E.1项目运营费用!K4</f>
        <v>1.6</v>
      </c>
      <c r="L4" s="7">
        <f>E.1项目运营费用!L4</f>
        <v>2</v>
      </c>
      <c r="M4" s="7">
        <f>E.1项目运营费用!M4</f>
        <v>2</v>
      </c>
      <c r="N4" s="7">
        <f>E.1项目运营费用!N4</f>
        <v>5.6</v>
      </c>
    </row>
    <row r="5" customHeight="1" spans="1:14">
      <c r="A5" s="7"/>
      <c r="B5" s="7">
        <f>E.1项目运营费用!B5</f>
        <v>2</v>
      </c>
      <c r="C5" s="7" t="str">
        <f>E.1项目运营费用!C5</f>
        <v>场地日常维护（停机坪/起降场/交通枢纽/飞行营地/指挥中心等）</v>
      </c>
      <c r="D5" s="7" t="str">
        <f>E.1项目运营费用!D5</f>
        <v>按面积 × 单位维护单价（元 / ㎡・年）</v>
      </c>
      <c r="E5" s="7">
        <f>E.1项目运营费用!E5</f>
        <v>1</v>
      </c>
      <c r="F5" s="7">
        <f>E.1项目运营费用!F5</f>
        <v>2</v>
      </c>
      <c r="G5" s="7">
        <f>E.1项目运营费用!G5</f>
        <v>2</v>
      </c>
      <c r="H5" s="7">
        <f>E.1项目运营费用!H5</f>
        <v>0</v>
      </c>
      <c r="I5" s="7">
        <f>E.1项目运营费用!I5</f>
        <v>0</v>
      </c>
      <c r="J5" s="7">
        <f>E.1项目运营费用!J5</f>
        <v>0</v>
      </c>
      <c r="K5" s="7">
        <f>E.1项目运营费用!K5</f>
        <v>1.6</v>
      </c>
      <c r="L5" s="7">
        <f>E.1项目运营费用!L5</f>
        <v>2</v>
      </c>
      <c r="M5" s="7">
        <f>E.1项目运营费用!M5</f>
        <v>2</v>
      </c>
      <c r="N5" s="7">
        <f>E.1项目运营费用!N5</f>
        <v>5.6</v>
      </c>
    </row>
    <row r="6" customHeight="1" spans="1:14">
      <c r="A6" s="7"/>
      <c r="B6" s="7">
        <f>E.1项目运营费用!B6</f>
        <v>3</v>
      </c>
      <c r="C6" s="7" t="str">
        <f>E.1项目运营费用!C6</f>
        <v>消防设施年检</v>
      </c>
      <c r="D6" s="7" t="str">
        <f>E.1项目运营费用!D6</f>
        <v>按设备数量 × 单台年检费（元 / 台・次）</v>
      </c>
      <c r="E6" s="7">
        <f>E.1项目运营费用!E6</f>
        <v>1</v>
      </c>
      <c r="F6" s="7">
        <f>E.1项目运营费用!F6</f>
        <v>2</v>
      </c>
      <c r="G6" s="7">
        <f>E.1项目运营费用!G6</f>
        <v>2</v>
      </c>
      <c r="H6" s="7">
        <f>E.1项目运营费用!H6</f>
        <v>0</v>
      </c>
      <c r="I6" s="7">
        <f>E.1项目运营费用!I6</f>
        <v>0</v>
      </c>
      <c r="J6" s="7">
        <f>E.1项目运营费用!J6</f>
        <v>0</v>
      </c>
      <c r="K6" s="7">
        <f>E.1项目运营费用!K6</f>
        <v>1.6</v>
      </c>
      <c r="L6" s="7">
        <f>E.1项目运营费用!L6</f>
        <v>2</v>
      </c>
      <c r="M6" s="7">
        <f>E.1项目运营费用!M6</f>
        <v>2</v>
      </c>
      <c r="N6" s="7">
        <f>E.1项目运营费用!N6</f>
        <v>5.6</v>
      </c>
    </row>
    <row r="7" customHeight="1" spans="1:14">
      <c r="A7" s="7"/>
      <c r="B7" s="7">
        <f>E.1项目运营费用!B7</f>
        <v>4</v>
      </c>
      <c r="C7" s="7" t="str">
        <f>E.1项目运营费用!C7</f>
        <v>防鸟措施（驱鸟器维护）</v>
      </c>
      <c r="D7" s="7" t="str">
        <f>E.1项目运营费用!D7</f>
        <v>按套数 × 年费（元 / 套・年）+ 耗材费（如驱鸟剂）</v>
      </c>
      <c r="E7" s="7">
        <f>E.1项目运营费用!E7</f>
        <v>1</v>
      </c>
      <c r="F7" s="7">
        <f>E.1项目运营费用!F7</f>
        <v>2</v>
      </c>
      <c r="G7" s="7">
        <f>E.1项目运营费用!G7</f>
        <v>2</v>
      </c>
      <c r="H7" s="7">
        <f>E.1项目运营费用!H7</f>
        <v>0</v>
      </c>
      <c r="I7" s="7">
        <f>E.1项目运营费用!I7</f>
        <v>0</v>
      </c>
      <c r="J7" s="7">
        <f>E.1项目运营费用!J7</f>
        <v>0</v>
      </c>
      <c r="K7" s="7">
        <f>E.1项目运营费用!K7</f>
        <v>1.6</v>
      </c>
      <c r="L7" s="7">
        <f>E.1项目运营费用!L7</f>
        <v>2</v>
      </c>
      <c r="M7" s="7">
        <f>E.1项目运营费用!M7</f>
        <v>2</v>
      </c>
      <c r="N7" s="7">
        <f>E.1项目运营费用!N7</f>
        <v>5.6</v>
      </c>
    </row>
    <row r="8" customHeight="1" spans="1:14">
      <c r="A8" s="7" t="str">
        <f>E.1项目运营费用!A8</f>
        <v>燃料动力费</v>
      </c>
      <c r="B8" s="7">
        <f>E.1项目运营费用!B8</f>
        <v>5</v>
      </c>
      <c r="C8" s="7" t="str">
        <f>E.1项目运营费用!C8</f>
        <v>飞行器能耗</v>
      </c>
      <c r="D8" s="7" t="str">
        <f>E.1项目运营费用!D8</f>
        <v>按电耗或油耗计算</v>
      </c>
      <c r="E8" s="7">
        <f>E.1项目运营费用!E8</f>
        <v>1</v>
      </c>
      <c r="F8" s="7">
        <f>E.1项目运营费用!F8</f>
        <v>2</v>
      </c>
      <c r="G8" s="7">
        <f>E.1项目运营费用!G8</f>
        <v>2</v>
      </c>
      <c r="H8" s="7">
        <f>E.1项目运营费用!H8</f>
        <v>0</v>
      </c>
      <c r="I8" s="7">
        <f>E.1项目运营费用!I8</f>
        <v>0</v>
      </c>
      <c r="J8" s="7">
        <f>E.1项目运营费用!J8</f>
        <v>0</v>
      </c>
      <c r="K8" s="7">
        <f>E.1项目运营费用!K8</f>
        <v>1.6</v>
      </c>
      <c r="L8" s="7">
        <f>E.1项目运营费用!L8</f>
        <v>2</v>
      </c>
      <c r="M8" s="7">
        <f>E.1项目运营费用!M8</f>
        <v>2</v>
      </c>
      <c r="N8" s="7">
        <f>E.1项目运营费用!N8</f>
        <v>5.6</v>
      </c>
    </row>
    <row r="9" customHeight="1" spans="1:14">
      <c r="A9" s="7"/>
      <c r="B9" s="7">
        <f>E.1项目运营费用!B9</f>
        <v>6</v>
      </c>
      <c r="C9" s="7" t="str">
        <f>E.1项目运营费用!C9</f>
        <v>核心设备电力能耗</v>
      </c>
      <c r="D9" s="7" t="str">
        <f>E.1项目运营费用!D9</f>
        <v>按实际用电量 × 电价（元 / 千瓦 时）</v>
      </c>
      <c r="E9" s="7">
        <f>E.1项目运营费用!E9</f>
        <v>1</v>
      </c>
      <c r="F9" s="7">
        <f>E.1项目运营费用!F9</f>
        <v>2</v>
      </c>
      <c r="G9" s="7">
        <f>E.1项目运营费用!G9</f>
        <v>2</v>
      </c>
      <c r="H9" s="7">
        <f>E.1项目运营费用!H9</f>
        <v>0</v>
      </c>
      <c r="I9" s="7">
        <f>E.1项目运营费用!I9</f>
        <v>0</v>
      </c>
      <c r="J9" s="7">
        <f>E.1项目运营费用!J9</f>
        <v>0</v>
      </c>
      <c r="K9" s="7">
        <f>E.1项目运营费用!K9</f>
        <v>1.6</v>
      </c>
      <c r="L9" s="7">
        <f>E.1项目运营费用!L9</f>
        <v>2</v>
      </c>
      <c r="M9" s="7">
        <f>E.1项目运营费用!M9</f>
        <v>2</v>
      </c>
      <c r="N9" s="7">
        <f>E.1项目运营费用!N9</f>
        <v>5.6</v>
      </c>
    </row>
    <row r="10" customHeight="1" spans="1:14">
      <c r="A10" s="7"/>
      <c r="B10" s="7">
        <f>E.1项目运营费用!B10</f>
        <v>7</v>
      </c>
      <c r="C10" s="7" t="str">
        <f>E.1项目运营费用!C10</f>
        <v>水电能耗</v>
      </c>
      <c r="D10" s="7" t="str">
        <f>E.1项目运营费用!D10</f>
        <v>按面积估算</v>
      </c>
      <c r="E10" s="7">
        <f>E.1项目运营费用!E10</f>
        <v>1</v>
      </c>
      <c r="F10" s="7">
        <f>E.1项目运营费用!F10</f>
        <v>2</v>
      </c>
      <c r="G10" s="7">
        <f>E.1项目运营费用!G10</f>
        <v>2</v>
      </c>
      <c r="H10" s="7">
        <f>E.1项目运营费用!H10</f>
        <v>0</v>
      </c>
      <c r="I10" s="7">
        <f>E.1项目运营费用!I10</f>
        <v>0</v>
      </c>
      <c r="J10" s="7">
        <f>E.1项目运营费用!J10</f>
        <v>0</v>
      </c>
      <c r="K10" s="7">
        <f>E.1项目运营费用!K10</f>
        <v>1.6</v>
      </c>
      <c r="L10" s="7">
        <f>E.1项目运营费用!L10</f>
        <v>2</v>
      </c>
      <c r="M10" s="7">
        <f>E.1项目运营费用!M10</f>
        <v>2</v>
      </c>
      <c r="N10" s="7">
        <f>E.1项目运营费用!N10</f>
        <v>5.6</v>
      </c>
    </row>
    <row r="11" customHeight="1" spans="1:14">
      <c r="A11" s="7" t="str">
        <f>E.1项目运营费用!A11</f>
        <v>网络费</v>
      </c>
      <c r="B11" s="7">
        <f>E.1项目运营费用!B11</f>
        <v>8</v>
      </c>
      <c r="C11" s="7" t="str">
        <f>E.1项目运营费用!C11</f>
        <v>网络通信费用</v>
      </c>
      <c r="D11" s="7" t="str">
        <f>E.1项目运营费用!D11</f>
        <v>按年计算租金</v>
      </c>
      <c r="E11" s="7">
        <f>E.1项目运营费用!E11</f>
        <v>1</v>
      </c>
      <c r="F11" s="7">
        <f>E.1项目运营费用!F11</f>
        <v>2</v>
      </c>
      <c r="G11" s="7">
        <f>E.1项目运营费用!G11</f>
        <v>2</v>
      </c>
      <c r="H11" s="7">
        <f>E.1项目运营费用!H11</f>
        <v>0</v>
      </c>
      <c r="I11" s="7">
        <f>E.1项目运营费用!I11</f>
        <v>0</v>
      </c>
      <c r="J11" s="7">
        <f>E.1项目运营费用!J11</f>
        <v>0</v>
      </c>
      <c r="K11" s="7">
        <f>E.1项目运营费用!K11</f>
        <v>1.6</v>
      </c>
      <c r="L11" s="7">
        <f>E.1项目运营费用!L11</f>
        <v>2</v>
      </c>
      <c r="M11" s="7">
        <f>E.1项目运营费用!M11</f>
        <v>2</v>
      </c>
      <c r="N11" s="7">
        <f>E.1项目运营费用!N11</f>
        <v>5.6</v>
      </c>
    </row>
    <row r="12" customHeight="1" spans="1:14">
      <c r="A12" s="7" t="str">
        <f>E.1项目运营费用!A12</f>
        <v>硬件维护成本</v>
      </c>
      <c r="B12" s="7">
        <f>E.1项目运营费用!B12</f>
        <v>9</v>
      </c>
      <c r="C12" s="7" t="str">
        <f>E.1项目运营费用!C12</f>
        <v>硬件设备维护</v>
      </c>
      <c r="D12" s="7" t="str">
        <f>E.1项目运营费用!D12</f>
        <v>按照固定资产15%计算</v>
      </c>
      <c r="E12" s="7">
        <f>E.1项目运营费用!E12</f>
        <v>1</v>
      </c>
      <c r="F12" s="7">
        <f>E.1项目运营费用!F12</f>
        <v>2</v>
      </c>
      <c r="G12" s="7">
        <f>E.1项目运营费用!G12</f>
        <v>2</v>
      </c>
      <c r="H12" s="7">
        <f>E.1项目运营费用!H12</f>
        <v>0</v>
      </c>
      <c r="I12" s="7">
        <f>E.1项目运营费用!I12</f>
        <v>0</v>
      </c>
      <c r="J12" s="7">
        <f>E.1项目运营费用!J12</f>
        <v>0</v>
      </c>
      <c r="K12" s="7">
        <f>E.1项目运营费用!K12</f>
        <v>1.6</v>
      </c>
      <c r="L12" s="7">
        <f>E.1项目运营费用!L12</f>
        <v>2</v>
      </c>
      <c r="M12" s="7">
        <f>E.1项目运营费用!M12</f>
        <v>2</v>
      </c>
      <c r="N12" s="7">
        <f>E.1项目运营费用!N12</f>
        <v>5.6</v>
      </c>
    </row>
    <row r="13" customHeight="1" spans="1:14">
      <c r="A13" s="7"/>
      <c r="B13" s="7">
        <f>E.1项目运营费用!B13</f>
        <v>10</v>
      </c>
      <c r="C13" s="7" t="str">
        <f>E.1项目运营费用!C13</f>
        <v>备品备件储备</v>
      </c>
      <c r="D13" s="7" t="str">
        <f>E.1项目运营费用!D13</f>
        <v>按年度设备维护预算 × 储备比例 （10%-20%）</v>
      </c>
      <c r="E13" s="7">
        <f>E.1项目运营费用!E13</f>
        <v>1</v>
      </c>
      <c r="F13" s="7">
        <f>E.1项目运营费用!F13</f>
        <v>2</v>
      </c>
      <c r="G13" s="7">
        <f>E.1项目运营费用!G13</f>
        <v>2</v>
      </c>
      <c r="H13" s="7">
        <f>E.1项目运营费用!H13</f>
        <v>0</v>
      </c>
      <c r="I13" s="7">
        <f>E.1项目运营费用!I13</f>
        <v>0</v>
      </c>
      <c r="J13" s="7">
        <f>E.1项目运营费用!J13</f>
        <v>0</v>
      </c>
      <c r="K13" s="7">
        <f>E.1项目运营费用!K13</f>
        <v>1.6</v>
      </c>
      <c r="L13" s="7">
        <f>E.1项目运营费用!L13</f>
        <v>2</v>
      </c>
      <c r="M13" s="7">
        <f>E.1项目运营费用!M13</f>
        <v>2</v>
      </c>
      <c r="N13" s="7">
        <f>E.1项目运营费用!N13</f>
        <v>5.6</v>
      </c>
    </row>
    <row r="14" customHeight="1" spans="1:14">
      <c r="A14" s="7" t="str">
        <f>E.1项目运营费用!A14</f>
        <v>软件维护费</v>
      </c>
      <c r="B14" s="7">
        <f>E.1项目运营费用!B14</f>
        <v>11</v>
      </c>
      <c r="C14" s="7" t="str">
        <f>E.1项目运营费用!C14</f>
        <v>软件维护</v>
      </c>
      <c r="D14" s="7" t="str">
        <f>E.1项目运营费用!D14</f>
        <v>按无形资产造价的20%计算</v>
      </c>
      <c r="E14" s="7">
        <f>E.1项目运营费用!E14</f>
        <v>1</v>
      </c>
      <c r="F14" s="7">
        <f>E.1项目运营费用!F14</f>
        <v>2</v>
      </c>
      <c r="G14" s="7">
        <f>E.1项目运营费用!G14</f>
        <v>2</v>
      </c>
      <c r="H14" s="7">
        <f>E.1项目运营费用!H14</f>
        <v>0</v>
      </c>
      <c r="I14" s="7">
        <f>E.1项目运营费用!I14</f>
        <v>0</v>
      </c>
      <c r="J14" s="7">
        <f>E.1项目运营费用!J14</f>
        <v>0</v>
      </c>
      <c r="K14" s="7">
        <f>E.1项目运营费用!K14</f>
        <v>1.6</v>
      </c>
      <c r="L14" s="7">
        <f>E.1项目运营费用!L14</f>
        <v>2</v>
      </c>
      <c r="M14" s="7">
        <f>E.1项目运营费用!M14</f>
        <v>2</v>
      </c>
      <c r="N14" s="7">
        <f>E.1项目运营费用!N14</f>
        <v>5.6</v>
      </c>
    </row>
    <row r="15" customHeight="1" spans="1:14">
      <c r="A15" s="7" t="str">
        <f>E.1项目运营费用!A15</f>
        <v>营销费用</v>
      </c>
      <c r="B15" s="7">
        <f>E.1项目运营费用!B15</f>
        <v>12</v>
      </c>
      <c r="C15" s="7" t="str">
        <f>E.1项目运营费用!C15</f>
        <v>营销及活动</v>
      </c>
      <c r="D15" s="7" t="str">
        <f>E.1项目运营费用!D15</f>
        <v>按年平均营业收入的2%计算</v>
      </c>
      <c r="E15" s="7">
        <f>E.1项目运营费用!E15</f>
        <v>1</v>
      </c>
      <c r="F15" s="7">
        <f>E.1项目运营费用!F15</f>
        <v>2</v>
      </c>
      <c r="G15" s="7">
        <f>E.1项目运营费用!G15</f>
        <v>2</v>
      </c>
      <c r="H15" s="7">
        <f>E.1项目运营费用!H15</f>
        <v>0</v>
      </c>
      <c r="I15" s="7">
        <f>E.1项目运营费用!I15</f>
        <v>0</v>
      </c>
      <c r="J15" s="7">
        <f>E.1项目运营费用!J15</f>
        <v>0</v>
      </c>
      <c r="K15" s="7">
        <f>E.1项目运营费用!K15</f>
        <v>1.6</v>
      </c>
      <c r="L15" s="7">
        <f>E.1项目运营费用!L15</f>
        <v>2</v>
      </c>
      <c r="M15" s="7">
        <f>E.1项目运营费用!M15</f>
        <v>2</v>
      </c>
      <c r="N15" s="7">
        <f>E.1项目运营费用!N15</f>
        <v>5.6</v>
      </c>
    </row>
    <row r="16" customHeight="1" spans="1:14">
      <c r="A16" s="7" t="str">
        <f>E.1项目运营费用!A16</f>
        <v>工资及福利费</v>
      </c>
      <c r="B16" s="7">
        <f>E.1项目运营费用!B16</f>
        <v>13</v>
      </c>
      <c r="C16" s="7" t="str">
        <f>E.1项目运营费用!C16</f>
        <v>人员薪酬</v>
      </c>
      <c r="D16" s="7" t="str">
        <f>E.1项目运营费用!D16</f>
        <v>按岗位月薪 ×12 + 福利（月薪 ×20%-30%）</v>
      </c>
      <c r="E16" s="7">
        <f>E.1项目运营费用!E16</f>
        <v>1</v>
      </c>
      <c r="F16" s="7">
        <f>E.1项目运营费用!F16</f>
        <v>2</v>
      </c>
      <c r="G16" s="7">
        <f>E.1项目运营费用!G16</f>
        <v>2</v>
      </c>
      <c r="H16" s="7">
        <f>E.1项目运营费用!H16</f>
        <v>0</v>
      </c>
      <c r="I16" s="7">
        <f>E.1项目运营费用!I16</f>
        <v>0</v>
      </c>
      <c r="J16" s="7">
        <f>E.1项目运营费用!J16</f>
        <v>0</v>
      </c>
      <c r="K16" s="7">
        <f>E.1项目运营费用!K16</f>
        <v>1.6</v>
      </c>
      <c r="L16" s="7">
        <f>E.1项目运营费用!L16</f>
        <v>2</v>
      </c>
      <c r="M16" s="7">
        <f>E.1项目运营费用!M16</f>
        <v>2</v>
      </c>
      <c r="N16" s="7">
        <f>E.1项目运营费用!N16</f>
        <v>5.6</v>
      </c>
    </row>
    <row r="17" customHeight="1" spans="1:14">
      <c r="A17" s="7"/>
      <c r="B17" s="7">
        <f>E.1项目运营费用!B17</f>
        <v>14</v>
      </c>
      <c r="C17" s="7" t="str">
        <f>E.1项目运营费用!C17</f>
        <v>培训与资质认证</v>
      </c>
      <c r="D17" s="7" t="str">
        <f>E.1项目运营费用!D17</f>
        <v>按人次 × 人均培训费（元 / 人 次）</v>
      </c>
      <c r="E17" s="7">
        <f>E.1项目运营费用!E17</f>
        <v>1</v>
      </c>
      <c r="F17" s="7">
        <f>E.1项目运营费用!F17</f>
        <v>2</v>
      </c>
      <c r="G17" s="7">
        <f>E.1项目运营费用!G17</f>
        <v>2</v>
      </c>
      <c r="H17" s="7">
        <f>E.1项目运营费用!H17</f>
        <v>0</v>
      </c>
      <c r="I17" s="7">
        <f>E.1项目运营费用!I17</f>
        <v>0</v>
      </c>
      <c r="J17" s="7">
        <f>E.1项目运营费用!J17</f>
        <v>0</v>
      </c>
      <c r="K17" s="7">
        <f>E.1项目运营费用!K17</f>
        <v>1.6</v>
      </c>
      <c r="L17" s="7">
        <f>E.1项目运营费用!L17</f>
        <v>2</v>
      </c>
      <c r="M17" s="7">
        <f>E.1项目运营费用!M17</f>
        <v>2</v>
      </c>
      <c r="N17" s="7">
        <f>E.1项目运营费用!N17</f>
        <v>5.6</v>
      </c>
    </row>
    <row r="18" customHeight="1" spans="1:14">
      <c r="A18" s="7"/>
      <c r="B18" s="7">
        <f>E.1项目运营费用!B18</f>
        <v>15</v>
      </c>
      <c r="C18" s="7" t="str">
        <f>E.1项目运营费用!C18</f>
        <v>办公与行政支出</v>
      </c>
      <c r="D18" s="7" t="str">
        <f>E.1项目运营费用!D18</f>
        <v>按人员数量 × 人均办公费（元 / 人・月）</v>
      </c>
      <c r="E18" s="7">
        <f>E.1项目运营费用!E18</f>
        <v>1</v>
      </c>
      <c r="F18" s="7">
        <f>E.1项目运营费用!F18</f>
        <v>2</v>
      </c>
      <c r="G18" s="7">
        <f>E.1项目运营费用!G18</f>
        <v>2</v>
      </c>
      <c r="H18" s="7">
        <f>E.1项目运营费用!H18</f>
        <v>0</v>
      </c>
      <c r="I18" s="7">
        <f>E.1项目运营费用!I18</f>
        <v>0</v>
      </c>
      <c r="J18" s="7">
        <f>E.1项目运营费用!J18</f>
        <v>0</v>
      </c>
      <c r="K18" s="7">
        <f>E.1项目运营费用!K18</f>
        <v>1.6</v>
      </c>
      <c r="L18" s="7">
        <f>E.1项目运营费用!L18</f>
        <v>2</v>
      </c>
      <c r="M18" s="7">
        <f>E.1项目运营费用!M18</f>
        <v>2</v>
      </c>
      <c r="N18" s="7">
        <f>E.1项目运营费用!N18</f>
        <v>5.6</v>
      </c>
    </row>
    <row r="19" customHeight="1" spans="1:14">
      <c r="A19" s="7" t="str">
        <f>E.1项目运营费用!A19</f>
        <v>合规性与安全成本</v>
      </c>
      <c r="B19" s="7">
        <f>E.1项目运营费用!B19</f>
        <v>16</v>
      </c>
      <c r="C19" s="7" t="str">
        <f>E.1项目运营费用!C19</f>
        <v>空域使用审批费</v>
      </c>
      <c r="D19" s="7" t="str">
        <f>E.1项目运营费用!D19</f>
        <v>按空域面积 × 年费率（元 / 平方 公里・年）</v>
      </c>
      <c r="E19" s="7">
        <f>E.1项目运营费用!E19</f>
        <v>1</v>
      </c>
      <c r="F19" s="7">
        <f>E.1项目运营费用!F19</f>
        <v>2</v>
      </c>
      <c r="G19" s="7">
        <f>E.1项目运营费用!G19</f>
        <v>2</v>
      </c>
      <c r="H19" s="7">
        <f>E.1项目运营费用!H19</f>
        <v>0</v>
      </c>
      <c r="I19" s="7">
        <f>E.1项目运营费用!I19</f>
        <v>0</v>
      </c>
      <c r="J19" s="7">
        <f>E.1项目运营费用!J19</f>
        <v>0</v>
      </c>
      <c r="K19" s="7">
        <f>E.1项目运营费用!K19</f>
        <v>1.6</v>
      </c>
      <c r="L19" s="7">
        <f>E.1项目运营费用!L19</f>
        <v>2</v>
      </c>
      <c r="M19" s="7">
        <f>E.1项目运营费用!M19</f>
        <v>2</v>
      </c>
      <c r="N19" s="7">
        <f>E.1项目运营费用!N19</f>
        <v>5.6</v>
      </c>
    </row>
    <row r="20" customHeight="1" spans="1:14">
      <c r="A20" s="7"/>
      <c r="B20" s="7">
        <f>E.1项目运营费用!B20</f>
        <v>17</v>
      </c>
      <c r="C20" s="7" t="str">
        <f>E.1项目运营费用!C20</f>
        <v>场地责任险</v>
      </c>
      <c r="D20" s="7" t="str">
        <f>E.1项目运营费用!D20</f>
        <v>按保额 × 保险费率（年费率 0.1%-0.3%）</v>
      </c>
      <c r="E20" s="7">
        <f>E.1项目运营费用!E20</f>
        <v>1</v>
      </c>
      <c r="F20" s="7">
        <f>E.1项目运营费用!F20</f>
        <v>2</v>
      </c>
      <c r="G20" s="7">
        <f>E.1项目运营费用!G20</f>
        <v>2</v>
      </c>
      <c r="H20" s="7">
        <f>E.1项目运营费用!H20</f>
        <v>0</v>
      </c>
      <c r="I20" s="7">
        <f>E.1项目运营费用!I20</f>
        <v>0</v>
      </c>
      <c r="J20" s="7">
        <f>E.1项目运营费用!J20</f>
        <v>0</v>
      </c>
      <c r="K20" s="7">
        <f>E.1项目运营费用!K20</f>
        <v>1.6</v>
      </c>
      <c r="L20" s="7">
        <f>E.1项目运营费用!L20</f>
        <v>2</v>
      </c>
      <c r="M20" s="7">
        <f>E.1项目运营费用!M20</f>
        <v>2</v>
      </c>
      <c r="N20" s="7">
        <f>E.1项目运营费用!N20</f>
        <v>5.6</v>
      </c>
    </row>
    <row r="21" customHeight="1" spans="1:14">
      <c r="A21" s="7"/>
      <c r="B21" s="7">
        <f>E.1项目运营费用!B21</f>
        <v>18</v>
      </c>
      <c r="C21" s="7" t="str">
        <f>E.1项目运营费用!C21</f>
        <v>安全演练与应急处置</v>
      </c>
      <c r="D21" s="7" t="str">
        <f>E.1项目运营费用!D21</f>
        <v>按次数 × 单次演练成本（元 / 次）</v>
      </c>
      <c r="E21" s="7">
        <f>E.1项目运营费用!E21</f>
        <v>1</v>
      </c>
      <c r="F21" s="7">
        <f>E.1项目运营费用!F21</f>
        <v>2</v>
      </c>
      <c r="G21" s="7">
        <f>E.1项目运营费用!G21</f>
        <v>2</v>
      </c>
      <c r="H21" s="7">
        <f>E.1项目运营费用!H21</f>
        <v>0</v>
      </c>
      <c r="I21" s="7">
        <f>E.1项目运营费用!I21</f>
        <v>0</v>
      </c>
      <c r="J21" s="7">
        <f>E.1项目运营费用!J21</f>
        <v>0</v>
      </c>
      <c r="K21" s="7">
        <f>E.1项目运营费用!K21</f>
        <v>1.6</v>
      </c>
      <c r="L21" s="7">
        <f>E.1项目运营费用!L21</f>
        <v>2</v>
      </c>
      <c r="M21" s="7">
        <f>E.1项目运营费用!M21</f>
        <v>2</v>
      </c>
      <c r="N21" s="7">
        <f>E.1项目运营费用!N21</f>
        <v>5.6</v>
      </c>
    </row>
    <row r="22" customHeight="1" spans="1:14">
      <c r="A22" s="7" t="str">
        <f>E.1项目运营费用!A22</f>
        <v>其他费用</v>
      </c>
      <c r="B22" s="7">
        <f>E.1项目运营费用!B22</f>
        <v>19</v>
      </c>
      <c r="C22" s="7" t="str">
        <f>E.1项目运营费用!C22</f>
        <v>第三方安全评估</v>
      </c>
      <c r="D22" s="7" t="str">
        <f>E.1项目运营费用!D22</f>
        <v>按项目投资额 × 评估费率 （0.1%-0.3%）</v>
      </c>
      <c r="E22" s="7">
        <f>E.1项目运营费用!E22</f>
        <v>1</v>
      </c>
      <c r="F22" s="7">
        <f>E.1项目运营费用!F22</f>
        <v>2</v>
      </c>
      <c r="G22" s="7">
        <f>E.1项目运营费用!G22</f>
        <v>2</v>
      </c>
      <c r="H22" s="7">
        <f>E.1项目运营费用!H22</f>
        <v>0</v>
      </c>
      <c r="I22" s="7">
        <f>E.1项目运营费用!I22</f>
        <v>0</v>
      </c>
      <c r="J22" s="7">
        <f>E.1项目运营费用!J22</f>
        <v>0</v>
      </c>
      <c r="K22" s="7">
        <f>E.1项目运营费用!K22</f>
        <v>1.6</v>
      </c>
      <c r="L22" s="7">
        <f>E.1项目运营费用!L22</f>
        <v>2</v>
      </c>
      <c r="M22" s="7">
        <f>E.1项目运营费用!M22</f>
        <v>2</v>
      </c>
      <c r="N22" s="7">
        <f>E.1项目运营费用!N22</f>
        <v>5.6</v>
      </c>
    </row>
    <row r="23" customHeight="1" spans="1:14">
      <c r="A23" s="7"/>
      <c r="B23" s="7">
        <f>E.1项目运营费用!B23</f>
        <v>20</v>
      </c>
      <c r="C23" s="7" t="str">
        <f>E.1项目运营费用!C23</f>
        <v>不可预见支出</v>
      </c>
      <c r="D23" s="7" t="str">
        <f>E.1项目运营费用!D23</f>
        <v>按年度总成本 × 计提比例 （5%-10%）</v>
      </c>
      <c r="E23" s="7">
        <f>E.1项目运营费用!E23</f>
        <v>1</v>
      </c>
      <c r="F23" s="7">
        <f>E.1项目运营费用!F23</f>
        <v>2</v>
      </c>
      <c r="G23" s="7">
        <f>E.1项目运营费用!G23</f>
        <v>2</v>
      </c>
      <c r="H23" s="7">
        <f>E.1项目运营费用!H23</f>
        <v>0</v>
      </c>
      <c r="I23" s="7">
        <f>E.1项目运营费用!I23</f>
        <v>0</v>
      </c>
      <c r="J23" s="7">
        <f>E.1项目运营费用!J23</f>
        <v>0</v>
      </c>
      <c r="K23" s="7">
        <f>E.1项目运营费用!K23</f>
        <v>1.6</v>
      </c>
      <c r="L23" s="7">
        <f>E.1项目运营费用!L23</f>
        <v>2</v>
      </c>
      <c r="M23" s="7">
        <f>E.1项目运营费用!M23</f>
        <v>2</v>
      </c>
      <c r="N23" s="7">
        <f>E.1项目运营费用!N23</f>
        <v>5.6</v>
      </c>
    </row>
  </sheetData>
  <mergeCells count="15">
    <mergeCell ref="A1:N1"/>
    <mergeCell ref="H3:J3"/>
    <mergeCell ref="A2:A3"/>
    <mergeCell ref="A4:A7"/>
    <mergeCell ref="A8:A10"/>
    <mergeCell ref="A12:A13"/>
    <mergeCell ref="A16:A18"/>
    <mergeCell ref="A19:A21"/>
    <mergeCell ref="A22:A23"/>
    <mergeCell ref="B2:B3"/>
    <mergeCell ref="C2:C3"/>
    <mergeCell ref="D2:D3"/>
    <mergeCell ref="E2:E3"/>
    <mergeCell ref="F2:F3"/>
    <mergeCell ref="G2:G3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>
    <tabColor rgb="FFFFC000"/>
  </sheetPr>
  <dimension ref="A1:G6"/>
  <sheetViews>
    <sheetView workbookViewId="0">
      <selection activeCell="G6" sqref="G6"/>
    </sheetView>
  </sheetViews>
  <sheetFormatPr defaultColWidth="14.7777777777778" defaultRowHeight="28.05" customHeight="1" outlineLevelRow="5" outlineLevelCol="6"/>
  <cols>
    <col min="1" max="1" width="14.7777777777778" customWidth="1"/>
    <col min="2" max="2" width="16" customWidth="1"/>
    <col min="3" max="3" width="16.6666666666667" customWidth="1"/>
    <col min="4" max="4" width="16.5555555555556" customWidth="1"/>
    <col min="5" max="5" width="16.3333333333333" customWidth="1"/>
    <col min="6" max="6" width="14.7777777777778" customWidth="1"/>
    <col min="7" max="7" width="16.2222222222222" customWidth="1"/>
    <col min="8" max="8" width="14.7777777777778" customWidth="1"/>
  </cols>
  <sheetData>
    <row r="1" customHeight="1" spans="1:7">
      <c r="A1" s="9" t="s">
        <v>511</v>
      </c>
      <c r="B1" s="10"/>
      <c r="C1" s="10"/>
      <c r="D1" s="10"/>
      <c r="E1" s="10"/>
      <c r="F1" s="10"/>
      <c r="G1" s="17"/>
    </row>
    <row r="2" customHeight="1" spans="1:7">
      <c r="A2" s="11" t="s">
        <v>512</v>
      </c>
      <c r="B2" s="2" t="s">
        <v>503</v>
      </c>
      <c r="C2" s="2"/>
      <c r="D2" s="2"/>
      <c r="E2" s="2"/>
      <c r="F2" s="2"/>
      <c r="G2" s="2"/>
    </row>
    <row r="3" customHeight="1" spans="1:7">
      <c r="A3" s="15"/>
      <c r="B3" s="7" t="s">
        <v>489</v>
      </c>
      <c r="C3" s="7" t="s">
        <v>490</v>
      </c>
      <c r="D3" s="7" t="s">
        <v>491</v>
      </c>
      <c r="E3" s="7" t="s">
        <v>504</v>
      </c>
      <c r="F3" s="7" t="s">
        <v>505</v>
      </c>
      <c r="G3" s="7" t="s">
        <v>506</v>
      </c>
    </row>
    <row r="4" customHeight="1" spans="1:7">
      <c r="A4" s="7" t="s">
        <v>513</v>
      </c>
      <c r="B4" s="8">
        <f>Ⅲ项目分年度收入合计表!B6</f>
        <v>0</v>
      </c>
      <c r="C4" s="8">
        <f>Ⅲ项目分年度收入合计表!C6</f>
        <v>0</v>
      </c>
      <c r="D4" s="8">
        <f>Ⅲ项目分年度收入合计表!D6</f>
        <v>0</v>
      </c>
      <c r="E4" s="8">
        <f>Ⅲ项目分年度收入合计表!E6</f>
        <v>1665</v>
      </c>
      <c r="F4" s="8">
        <f>Ⅲ项目分年度收入合计表!F6</f>
        <v>2161.6</v>
      </c>
      <c r="G4" s="8">
        <f>Ⅲ项目分年度收入合计表!G6</f>
        <v>2192.812</v>
      </c>
    </row>
    <row r="5" customHeight="1" spans="1:7">
      <c r="A5" s="7" t="s">
        <v>514</v>
      </c>
      <c r="B5" s="8">
        <f>E总成本费用估算表!C15</f>
        <v>0</v>
      </c>
      <c r="C5" s="8">
        <f>E总成本费用估算表!D15</f>
        <v>0</v>
      </c>
      <c r="D5" s="8">
        <f>E总成本费用估算表!E15</f>
        <v>0</v>
      </c>
      <c r="E5" s="8">
        <f>E总成本费用估算表!F15</f>
        <v>131.346097465234</v>
      </c>
      <c r="F5" s="8">
        <f>E总成本费用估算表!G15</f>
        <v>133.092002965234</v>
      </c>
      <c r="G5" s="8">
        <f>E总成本费用估算表!H15</f>
        <v>133.091908465234</v>
      </c>
    </row>
    <row r="6" customHeight="1" spans="1:7">
      <c r="A6" s="7" t="s">
        <v>515</v>
      </c>
      <c r="B6" s="8">
        <f>B4-B5</f>
        <v>0</v>
      </c>
      <c r="C6" s="8">
        <f t="shared" ref="C6:G6" si="0">C4-C5</f>
        <v>0</v>
      </c>
      <c r="D6" s="8">
        <f t="shared" si="0"/>
        <v>0</v>
      </c>
      <c r="E6" s="8">
        <f t="shared" si="0"/>
        <v>1533.65390253477</v>
      </c>
      <c r="F6" s="8">
        <f t="shared" si="0"/>
        <v>2028.50799703477</v>
      </c>
      <c r="G6" s="8">
        <f t="shared" si="0"/>
        <v>2059.72009153477</v>
      </c>
    </row>
  </sheetData>
  <mergeCells count="3">
    <mergeCell ref="A1:G1"/>
    <mergeCell ref="B2:G2"/>
    <mergeCell ref="A2:A3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>
    <tabColor rgb="FFFFC000"/>
  </sheetPr>
  <dimension ref="A1:I8"/>
  <sheetViews>
    <sheetView topLeftCell="D1" workbookViewId="0">
      <selection activeCell="A1" sqref="A1:I1"/>
    </sheetView>
  </sheetViews>
  <sheetFormatPr defaultColWidth="14.7777777777778" defaultRowHeight="28.95" customHeight="1" outlineLevelRow="7"/>
  <cols>
    <col min="1" max="1" width="14.7777777777778" customWidth="1"/>
  </cols>
  <sheetData>
    <row r="1" customHeight="1" spans="1:9">
      <c r="A1" s="9" t="s">
        <v>516</v>
      </c>
      <c r="B1" s="10"/>
      <c r="C1" s="10"/>
      <c r="D1" s="10"/>
      <c r="E1" s="10"/>
      <c r="F1" s="10"/>
      <c r="G1" s="10"/>
      <c r="H1" s="10"/>
      <c r="I1" s="17"/>
    </row>
    <row r="2" customHeight="1" spans="1:9">
      <c r="A2" s="2" t="s">
        <v>1</v>
      </c>
      <c r="B2" s="2" t="s">
        <v>517</v>
      </c>
      <c r="C2" s="2" t="s">
        <v>518</v>
      </c>
      <c r="D2" s="2" t="s">
        <v>519</v>
      </c>
      <c r="E2" s="2" t="s">
        <v>520</v>
      </c>
      <c r="F2" s="2" t="s">
        <v>521</v>
      </c>
      <c r="G2" s="2" t="s">
        <v>522</v>
      </c>
      <c r="H2" s="2" t="s">
        <v>523</v>
      </c>
      <c r="I2" s="2" t="s">
        <v>524</v>
      </c>
    </row>
    <row r="3" customHeight="1" spans="1:9">
      <c r="A3" s="7">
        <v>1</v>
      </c>
      <c r="B3" s="7" t="s">
        <v>525</v>
      </c>
      <c r="C3" s="8">
        <f>c借款还本付息计划表!D21</f>
        <v>0</v>
      </c>
      <c r="D3" s="8">
        <f>F3+E3-C3</f>
        <v>200</v>
      </c>
      <c r="E3" s="8">
        <f>c借款还本付息计划表!D23</f>
        <v>0</v>
      </c>
      <c r="F3" s="8">
        <f>c借款还本付息计划表!D25</f>
        <v>200</v>
      </c>
      <c r="G3" s="20" t="s">
        <v>526</v>
      </c>
      <c r="H3" s="8">
        <f>c借款还本付息计划表!D24</f>
        <v>5.38</v>
      </c>
      <c r="I3" s="7">
        <f>c借款还本付息计划表!D22</f>
        <v>5.38</v>
      </c>
    </row>
    <row r="4" customHeight="1" spans="1:9">
      <c r="A4" s="7">
        <v>2</v>
      </c>
      <c r="B4" s="7" t="s">
        <v>527</v>
      </c>
      <c r="C4" s="8">
        <f>c借款还本付息计划表!E21</f>
        <v>200</v>
      </c>
      <c r="D4" s="8">
        <f t="shared" ref="D4:D8" si="0">F4+E4-C4</f>
        <v>500</v>
      </c>
      <c r="E4" s="8">
        <f>c借款还本付息计划表!E23</f>
        <v>100</v>
      </c>
      <c r="F4" s="8">
        <f>c借款还本付息计划表!E25</f>
        <v>600</v>
      </c>
      <c r="G4" s="20" t="s">
        <v>526</v>
      </c>
      <c r="H4" s="8">
        <f>c借款还本付息计划表!E24</f>
        <v>14.83</v>
      </c>
      <c r="I4" s="7">
        <f>c借款还本付息计划表!E22</f>
        <v>114.83</v>
      </c>
    </row>
    <row r="5" customHeight="1" spans="1:9">
      <c r="A5" s="7">
        <v>3</v>
      </c>
      <c r="B5" s="7" t="s">
        <v>528</v>
      </c>
      <c r="C5" s="8">
        <f>c借款还本付息计划表!F21</f>
        <v>600</v>
      </c>
      <c r="D5" s="8">
        <f t="shared" si="0"/>
        <v>0</v>
      </c>
      <c r="E5" s="8">
        <f>c借款还本付息计划表!F23</f>
        <v>100</v>
      </c>
      <c r="F5" s="8">
        <f>c借款还本付息计划表!F25</f>
        <v>500</v>
      </c>
      <c r="G5" s="20" t="s">
        <v>526</v>
      </c>
      <c r="H5" s="8">
        <f>c借款还本付息计划表!F24</f>
        <v>12.94</v>
      </c>
      <c r="I5" s="7">
        <f>c借款还本付息计划表!F22</f>
        <v>112.94</v>
      </c>
    </row>
    <row r="6" customHeight="1" spans="1:9">
      <c r="A6" s="7">
        <v>4</v>
      </c>
      <c r="B6" s="7" t="s">
        <v>529</v>
      </c>
      <c r="C6" s="8">
        <f>c借款还本付息计划表!G21</f>
        <v>500</v>
      </c>
      <c r="D6" s="8">
        <f t="shared" si="0"/>
        <v>0</v>
      </c>
      <c r="E6" s="8">
        <f>c借款还本付息计划表!G23</f>
        <v>100</v>
      </c>
      <c r="F6" s="8">
        <f>c借款还本付息计划表!G25</f>
        <v>400</v>
      </c>
      <c r="G6" s="20" t="s">
        <v>526</v>
      </c>
      <c r="H6" s="8">
        <f>c借款还本付息计划表!G24</f>
        <v>11.05</v>
      </c>
      <c r="I6" s="7">
        <f>c借款还本付息计划表!G22</f>
        <v>111.05</v>
      </c>
    </row>
    <row r="7" customHeight="1" spans="1:9">
      <c r="A7" s="7">
        <v>5</v>
      </c>
      <c r="B7" s="7" t="s">
        <v>135</v>
      </c>
      <c r="C7" s="8">
        <f>c借款还本付息计划表!K21</f>
        <v>200</v>
      </c>
      <c r="D7" s="8">
        <f t="shared" si="0"/>
        <v>0</v>
      </c>
      <c r="E7" s="8">
        <f>c借款还本付息计划表!K23</f>
        <v>0</v>
      </c>
      <c r="F7" s="8">
        <f>c借款还本付息计划表!K25</f>
        <v>200</v>
      </c>
      <c r="G7" s="20" t="s">
        <v>526</v>
      </c>
      <c r="H7" s="8">
        <f>c借款还本付息计划表!K24</f>
        <v>5.38</v>
      </c>
      <c r="I7" s="7">
        <f>c借款还本付息计划表!K22</f>
        <v>5.38</v>
      </c>
    </row>
    <row r="8" customHeight="1" spans="1:9">
      <c r="A8" s="7">
        <v>6</v>
      </c>
      <c r="B8" s="7" t="s">
        <v>530</v>
      </c>
      <c r="C8" s="8">
        <f>c借款还本付息计划表!L21</f>
        <v>200</v>
      </c>
      <c r="D8" s="8">
        <f t="shared" si="0"/>
        <v>0</v>
      </c>
      <c r="E8" s="8">
        <f>c借款还本付息计划表!L23</f>
        <v>200</v>
      </c>
      <c r="F8" s="8">
        <f>c借款还本付息计划表!L25</f>
        <v>0</v>
      </c>
      <c r="G8" s="20" t="s">
        <v>526</v>
      </c>
      <c r="H8" s="8">
        <f>c借款还本付息计划表!L24</f>
        <v>5.38</v>
      </c>
      <c r="I8" s="7">
        <f>c借款还本付息计划表!L22</f>
        <v>205.38</v>
      </c>
    </row>
  </sheetData>
  <mergeCells count="1">
    <mergeCell ref="A1:I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C000"/>
  </sheetPr>
  <dimension ref="A1:L10"/>
  <sheetViews>
    <sheetView workbookViewId="0">
      <selection activeCell="D14" sqref="D14"/>
    </sheetView>
  </sheetViews>
  <sheetFormatPr defaultColWidth="15.7777777777778" defaultRowHeight="28.05" customHeight="1"/>
  <cols>
    <col min="1" max="1" width="10.7777777777778" customWidth="1"/>
    <col min="2" max="2" width="15.7777777777778" customWidth="1"/>
  </cols>
  <sheetData>
    <row r="1" customHeight="1" spans="1:12">
      <c r="A1" s="9" t="s">
        <v>531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7"/>
    </row>
    <row r="2" customHeight="1" spans="1:12">
      <c r="A2" s="11" t="s">
        <v>1</v>
      </c>
      <c r="B2" s="11" t="s">
        <v>517</v>
      </c>
      <c r="C2" s="11" t="s">
        <v>532</v>
      </c>
      <c r="D2" s="11" t="s">
        <v>473</v>
      </c>
      <c r="E2" s="12" t="s">
        <v>533</v>
      </c>
      <c r="F2" s="13" t="s">
        <v>534</v>
      </c>
      <c r="G2" s="14"/>
      <c r="H2" s="14"/>
      <c r="I2" s="14"/>
      <c r="J2" s="14"/>
      <c r="K2" s="14"/>
      <c r="L2" s="18"/>
    </row>
    <row r="3" ht="40.95" customHeight="1" spans="1:12">
      <c r="A3" s="15"/>
      <c r="B3" s="15"/>
      <c r="C3" s="15"/>
      <c r="D3" s="15"/>
      <c r="E3" s="16"/>
      <c r="F3" s="2" t="s">
        <v>535</v>
      </c>
      <c r="G3" s="2" t="s">
        <v>536</v>
      </c>
      <c r="H3" s="2" t="s">
        <v>537</v>
      </c>
      <c r="I3" s="2" t="s">
        <v>538</v>
      </c>
      <c r="J3" s="2" t="s">
        <v>539</v>
      </c>
      <c r="K3" s="19" t="s">
        <v>540</v>
      </c>
      <c r="L3" s="2" t="s">
        <v>541</v>
      </c>
    </row>
    <row r="4" customHeight="1" spans="1:12">
      <c r="A4" s="7">
        <v>1</v>
      </c>
      <c r="B4" s="7" t="s">
        <v>489</v>
      </c>
      <c r="C4" s="8">
        <f>a.1财务现金流量表!D4+a.1财务现金流量表!D5-a.1财务现金流量表!D11-a.1财务现金流量表!D12</f>
        <v>0</v>
      </c>
      <c r="D4" s="8">
        <f t="shared" ref="D4:D9" si="0">K4</f>
        <v>5.553069</v>
      </c>
      <c r="E4" s="8">
        <f>C4-D4</f>
        <v>-5.553069</v>
      </c>
      <c r="F4" s="8">
        <f>Ⅵ专项债券应付本息情况表!E3</f>
        <v>0</v>
      </c>
      <c r="G4" s="8">
        <f>Ⅵ专项债券应付本息情况表!H3</f>
        <v>5.38</v>
      </c>
      <c r="H4" s="8">
        <f>Ⅵ专项债券应付本息情况表!I3</f>
        <v>5.38</v>
      </c>
      <c r="I4" s="8">
        <f>c借款还本付息计划表!D27</f>
        <v>0.1728</v>
      </c>
      <c r="J4" s="8">
        <f>c借款还本付息计划表!D26</f>
        <v>0.000269</v>
      </c>
      <c r="K4" s="8">
        <f t="shared" ref="K4:K9" si="1">SUM(H4:J4)</f>
        <v>5.553069</v>
      </c>
      <c r="L4" s="20" t="s">
        <v>542</v>
      </c>
    </row>
    <row r="5" customHeight="1" spans="1:12">
      <c r="A5" s="7">
        <v>2</v>
      </c>
      <c r="B5" s="7" t="s">
        <v>490</v>
      </c>
      <c r="C5" s="8">
        <f>a.1财务现金流量表!E4+a.1财务现金流量表!E5-a.1财务现金流量表!E11-a.1财务现金流量表!E12</f>
        <v>0</v>
      </c>
      <c r="D5" s="8">
        <f t="shared" si="0"/>
        <v>115.2677415</v>
      </c>
      <c r="E5" s="8">
        <f t="shared" ref="E5:E9" si="2">C5-D5+E4</f>
        <v>-120.8208105</v>
      </c>
      <c r="F5" s="8">
        <f>Ⅵ专项债券应付本息情况表!E4</f>
        <v>100</v>
      </c>
      <c r="G5" s="8">
        <f>Ⅵ专项债券应付本息情况表!H4</f>
        <v>14.83</v>
      </c>
      <c r="H5" s="8">
        <f>Ⅵ专项债券应付本息情况表!I4</f>
        <v>114.83</v>
      </c>
      <c r="I5" s="8">
        <f>c借款还本付息计划表!E27</f>
        <v>0.432</v>
      </c>
      <c r="J5" s="8">
        <f>c借款还本付息计划表!E26</f>
        <v>0.0057415</v>
      </c>
      <c r="K5" s="8">
        <f t="shared" si="1"/>
        <v>115.2677415</v>
      </c>
      <c r="L5" s="20" t="s">
        <v>542</v>
      </c>
    </row>
    <row r="6" customHeight="1" spans="1:12">
      <c r="A6" s="7">
        <v>3</v>
      </c>
      <c r="B6" s="7" t="s">
        <v>491</v>
      </c>
      <c r="C6" s="8">
        <f>a.1财务现金流量表!F4+a.1财务现金流量表!F5-a.1财务现金流量表!F11-a.1财务现金流量表!F12</f>
        <v>0</v>
      </c>
      <c r="D6" s="8">
        <f t="shared" si="0"/>
        <v>112.945647</v>
      </c>
      <c r="E6" s="8">
        <f t="shared" si="2"/>
        <v>-233.7664575</v>
      </c>
      <c r="F6" s="8">
        <f>Ⅵ专项债券应付本息情况表!E5</f>
        <v>100</v>
      </c>
      <c r="G6" s="8">
        <f>Ⅵ专项债券应付本息情况表!H5</f>
        <v>12.94</v>
      </c>
      <c r="H6" s="8">
        <f>Ⅵ专项债券应付本息情况表!I5</f>
        <v>112.94</v>
      </c>
      <c r="I6" s="8">
        <f>c借款还本付息计划表!F27</f>
        <v>0</v>
      </c>
      <c r="J6" s="8">
        <f>c借款还本付息计划表!F26</f>
        <v>0.005647</v>
      </c>
      <c r="K6" s="8">
        <f t="shared" si="1"/>
        <v>112.945647</v>
      </c>
      <c r="L6" s="20" t="s">
        <v>542</v>
      </c>
    </row>
    <row r="7" customHeight="1" spans="1:12">
      <c r="A7" s="7">
        <v>4</v>
      </c>
      <c r="B7" s="7" t="s">
        <v>504</v>
      </c>
      <c r="C7" s="8">
        <f>a.1财务现金流量表!G4+a.1财务现金流量表!G5-a.1财务现金流量表!G11-a.1财务现金流量表!G12</f>
        <v>1635.3304475</v>
      </c>
      <c r="D7" s="8">
        <f t="shared" si="0"/>
        <v>111.0555525</v>
      </c>
      <c r="E7" s="8">
        <f t="shared" si="2"/>
        <v>1290.5084375</v>
      </c>
      <c r="F7" s="8">
        <f>Ⅵ专项债券应付本息情况表!E6</f>
        <v>100</v>
      </c>
      <c r="G7" s="8">
        <f>Ⅵ专项债券应付本息情况表!H6</f>
        <v>11.05</v>
      </c>
      <c r="H7" s="8">
        <f>Ⅵ专项债券应付本息情况表!I6</f>
        <v>111.05</v>
      </c>
      <c r="I7" s="8">
        <f>c借款还本付息计划表!G27</f>
        <v>0</v>
      </c>
      <c r="J7" s="8">
        <f>c借款还本付息计划表!G26</f>
        <v>0.0055525</v>
      </c>
      <c r="K7" s="8">
        <f t="shared" si="1"/>
        <v>111.0555525</v>
      </c>
      <c r="L7" s="20" t="s">
        <v>542</v>
      </c>
    </row>
    <row r="8" customHeight="1" spans="1:12">
      <c r="A8" s="7">
        <v>5</v>
      </c>
      <c r="B8" s="7" t="s">
        <v>505</v>
      </c>
      <c r="C8" s="8">
        <f>a.1财务现金流量表!H4+a.1财务现金流量表!H5-a.1财务现金流量表!H11-a.1财务现金流量表!H12</f>
        <v>2118.63767091432</v>
      </c>
      <c r="D8" s="8">
        <f t="shared" si="0"/>
        <v>5.380269</v>
      </c>
      <c r="E8" s="8">
        <f t="shared" si="2"/>
        <v>3403.76583941432</v>
      </c>
      <c r="F8" s="8">
        <f>Ⅵ专项债券应付本息情况表!E7</f>
        <v>0</v>
      </c>
      <c r="G8" s="8">
        <f>Ⅵ专项债券应付本息情况表!H7</f>
        <v>5.38</v>
      </c>
      <c r="H8" s="8">
        <f>Ⅵ专项债券应付本息情况表!I7</f>
        <v>5.38</v>
      </c>
      <c r="I8" s="8">
        <f>c借款还本付息计划表!K27</f>
        <v>0</v>
      </c>
      <c r="J8" s="8">
        <f>c借款还本付息计划表!K26</f>
        <v>0.000269</v>
      </c>
      <c r="K8" s="8">
        <f t="shared" si="1"/>
        <v>5.380269</v>
      </c>
      <c r="L8" s="20" t="s">
        <v>542</v>
      </c>
    </row>
    <row r="9" customHeight="1" spans="1:12">
      <c r="A9" s="7">
        <v>6</v>
      </c>
      <c r="B9" s="7" t="s">
        <v>506</v>
      </c>
      <c r="C9" s="8">
        <f>a.1财务现金流量表!I4+a.1财务现金流量表!I5-a.1财务现金流量表!I11-a.1财务现金流量表!I12</f>
        <v>2139.2891412366</v>
      </c>
      <c r="D9" s="8">
        <f t="shared" si="0"/>
        <v>205.390269</v>
      </c>
      <c r="E9" s="8">
        <f t="shared" si="2"/>
        <v>5337.66471165093</v>
      </c>
      <c r="F9" s="8">
        <f>Ⅵ专项债券应付本息情况表!E8</f>
        <v>200</v>
      </c>
      <c r="G9" s="8">
        <f>Ⅵ专项债券应付本息情况表!H8</f>
        <v>5.38</v>
      </c>
      <c r="H9" s="8">
        <f>Ⅵ专项债券应付本息情况表!I8</f>
        <v>205.38</v>
      </c>
      <c r="I9" s="8">
        <f>c借款还本付息计划表!L27</f>
        <v>0</v>
      </c>
      <c r="J9" s="8">
        <f>c借款还本付息计划表!L26</f>
        <v>0.010269</v>
      </c>
      <c r="K9" s="8">
        <f t="shared" si="1"/>
        <v>205.390269</v>
      </c>
      <c r="L9" s="20" t="s">
        <v>542</v>
      </c>
    </row>
    <row r="10" customHeight="1" spans="1:12">
      <c r="A10" s="7">
        <v>7</v>
      </c>
      <c r="B10" s="7" t="s">
        <v>103</v>
      </c>
      <c r="C10" s="8">
        <f>SUM(C4:C9)</f>
        <v>5893.25725965093</v>
      </c>
      <c r="D10" s="8">
        <f>SUM(D4:D9)</f>
        <v>555.592548</v>
      </c>
      <c r="E10" s="8">
        <f>E9</f>
        <v>5337.66471165093</v>
      </c>
      <c r="F10" s="8">
        <f>c借款还本付息计划表!C23</f>
        <v>700</v>
      </c>
      <c r="G10" s="8">
        <f>c借款还本付息计划表!C24</f>
        <v>76.77</v>
      </c>
      <c r="H10" s="8">
        <f>c借款还本付息计划表!C22</f>
        <v>776.77</v>
      </c>
      <c r="I10" s="8">
        <f>c借款还本付息计划表!C27</f>
        <v>0.6048</v>
      </c>
      <c r="J10" s="8">
        <f>c借款还本付息计划表!C26</f>
        <v>0.0388385</v>
      </c>
      <c r="K10" s="8">
        <f>SUM(K4:K9)</f>
        <v>555.592548</v>
      </c>
      <c r="L10" s="20" t="s">
        <v>542</v>
      </c>
    </row>
  </sheetData>
  <mergeCells count="7">
    <mergeCell ref="A1:L1"/>
    <mergeCell ref="F2:L2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>
    <tabColor rgb="FFFFC000"/>
  </sheetPr>
  <dimension ref="A1:H11"/>
  <sheetViews>
    <sheetView zoomScale="85" zoomScaleNormal="85" workbookViewId="0">
      <selection activeCell="K8" sqref="K8"/>
    </sheetView>
  </sheetViews>
  <sheetFormatPr defaultColWidth="15.7777777777778" defaultRowHeight="28.05" customHeight="1" outlineLevelCol="7"/>
  <cols>
    <col min="1" max="1" width="29.6666666666667" customWidth="1"/>
    <col min="2" max="2" width="12.6666666666667" customWidth="1"/>
    <col min="3" max="3" width="15.7777777777778" customWidth="1"/>
  </cols>
  <sheetData>
    <row r="1" customHeight="1" spans="1:8">
      <c r="A1" s="1" t="s">
        <v>543</v>
      </c>
      <c r="B1" s="1"/>
      <c r="C1" s="1"/>
      <c r="D1" s="1"/>
      <c r="E1" s="1"/>
      <c r="F1" s="1"/>
      <c r="G1" s="1"/>
      <c r="H1" s="1"/>
    </row>
    <row r="2" customHeight="1" spans="1:8">
      <c r="A2" s="2" t="s">
        <v>544</v>
      </c>
      <c r="B2" s="3">
        <v>-0.15</v>
      </c>
      <c r="C2" s="3">
        <v>-0.1</v>
      </c>
      <c r="D2" s="3">
        <v>-0.05</v>
      </c>
      <c r="E2" s="3">
        <v>0</v>
      </c>
      <c r="F2" s="3">
        <v>0.05</v>
      </c>
      <c r="G2" s="3">
        <v>0.1</v>
      </c>
      <c r="H2" s="3">
        <v>0.15</v>
      </c>
    </row>
    <row r="3" customHeight="1" spans="1:8">
      <c r="A3" s="4" t="s">
        <v>545</v>
      </c>
      <c r="B3" s="5"/>
      <c r="C3" s="5"/>
      <c r="D3" s="5"/>
      <c r="E3" s="5"/>
      <c r="F3" s="5"/>
      <c r="G3" s="5"/>
      <c r="H3" s="6"/>
    </row>
    <row r="4" customHeight="1" spans="1:8">
      <c r="A4" s="7" t="s">
        <v>546</v>
      </c>
      <c r="B4" s="8"/>
      <c r="C4" s="8"/>
      <c r="D4" s="8"/>
      <c r="E4" s="8">
        <f>'b利润与利润分配表（损益和利润分配表）'!C27</f>
        <v>6.01980080540061</v>
      </c>
      <c r="F4" s="8"/>
      <c r="G4" s="8"/>
      <c r="H4" s="8"/>
    </row>
    <row r="5" customHeight="1" spans="1:8">
      <c r="A5" s="7" t="s">
        <v>547</v>
      </c>
      <c r="B5" s="8"/>
      <c r="C5" s="8"/>
      <c r="D5" s="8"/>
      <c r="E5" s="8">
        <f>'b利润与利润分配表（损益和利润分配表）'!C28</f>
        <v>5.42484978021863</v>
      </c>
      <c r="F5" s="8"/>
      <c r="G5" s="8"/>
      <c r="H5" s="8"/>
    </row>
    <row r="6" customHeight="1" spans="1:8">
      <c r="A6" s="4" t="s">
        <v>548</v>
      </c>
      <c r="B6" s="5"/>
      <c r="C6" s="5"/>
      <c r="D6" s="5"/>
      <c r="E6" s="5"/>
      <c r="F6" s="5"/>
      <c r="G6" s="5"/>
      <c r="H6" s="6"/>
    </row>
    <row r="7" customHeight="1" spans="1:8">
      <c r="A7" s="7" t="s">
        <v>546</v>
      </c>
      <c r="B7" s="8"/>
      <c r="C7" s="8"/>
      <c r="D7" s="8"/>
      <c r="E7" s="8">
        <f>'b利润与利润分配表（损益和利润分配表）'!C27</f>
        <v>6.01980080540061</v>
      </c>
      <c r="F7" s="8"/>
      <c r="G7" s="8"/>
      <c r="H7" s="8"/>
    </row>
    <row r="8" customHeight="1" spans="1:8">
      <c r="A8" s="7" t="s">
        <v>547</v>
      </c>
      <c r="B8" s="8"/>
      <c r="C8" s="8"/>
      <c r="D8" s="8"/>
      <c r="E8" s="8">
        <f>'b利润与利润分配表（损益和利润分配表）'!C28</f>
        <v>5.42484978021863</v>
      </c>
      <c r="F8" s="8"/>
      <c r="G8" s="8"/>
      <c r="H8" s="8"/>
    </row>
    <row r="9" customHeight="1" spans="1:8">
      <c r="A9" s="4" t="s">
        <v>549</v>
      </c>
      <c r="B9" s="5"/>
      <c r="C9" s="5"/>
      <c r="D9" s="5"/>
      <c r="E9" s="5"/>
      <c r="F9" s="5"/>
      <c r="G9" s="5"/>
      <c r="H9" s="6"/>
    </row>
    <row r="10" customHeight="1" spans="1:8">
      <c r="A10" s="7" t="s">
        <v>546</v>
      </c>
      <c r="B10" s="8"/>
      <c r="C10" s="8"/>
      <c r="D10" s="8"/>
      <c r="E10" s="8">
        <f>'b利润与利润分配表（损益和利润分配表）'!C27</f>
        <v>6.01980080540061</v>
      </c>
      <c r="F10" s="8"/>
      <c r="G10" s="8"/>
      <c r="H10" s="8"/>
    </row>
    <row r="11" customHeight="1" spans="1:8">
      <c r="A11" s="7" t="s">
        <v>547</v>
      </c>
      <c r="B11" s="8"/>
      <c r="C11" s="8"/>
      <c r="D11" s="8"/>
      <c r="E11" s="8">
        <f>'b利润与利润分配表（损益和利润分配表）'!C28</f>
        <v>5.42484978021863</v>
      </c>
      <c r="F11" s="8"/>
      <c r="G11" s="8"/>
      <c r="H11" s="8"/>
    </row>
  </sheetData>
  <mergeCells count="4">
    <mergeCell ref="A1:H1"/>
    <mergeCell ref="A3:H3"/>
    <mergeCell ref="A6:H6"/>
    <mergeCell ref="A9:H9"/>
  </mergeCell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FF00"/>
  </sheetPr>
  <dimension ref="A1:E7"/>
  <sheetViews>
    <sheetView zoomScale="115" zoomScaleNormal="115" workbookViewId="0">
      <selection activeCell="I8" sqref="I8"/>
    </sheetView>
  </sheetViews>
  <sheetFormatPr defaultColWidth="8.88888888888889" defaultRowHeight="28.05" customHeight="1" outlineLevelRow="6" outlineLevelCol="4"/>
  <cols>
    <col min="1" max="1" width="10.7777777777778" customWidth="1"/>
    <col min="2" max="2" width="13" customWidth="1"/>
    <col min="3" max="3" width="15.8888888888889" customWidth="1"/>
    <col min="4" max="4" width="16.2222222222222" customWidth="1"/>
    <col min="5" max="5" width="19" customWidth="1"/>
  </cols>
  <sheetData>
    <row r="1" customHeight="1" spans="1:5">
      <c r="A1" s="33" t="s">
        <v>97</v>
      </c>
      <c r="B1" s="33"/>
      <c r="C1" s="33"/>
      <c r="D1" s="33"/>
      <c r="E1" s="33"/>
    </row>
    <row r="2" s="117" customFormat="1" customHeight="1" spans="1:5">
      <c r="A2" s="2" t="s">
        <v>1</v>
      </c>
      <c r="B2" s="2" t="s">
        <v>98</v>
      </c>
      <c r="C2" s="2" t="s">
        <v>99</v>
      </c>
      <c r="D2" s="2" t="s">
        <v>100</v>
      </c>
      <c r="E2" s="2" t="s">
        <v>101</v>
      </c>
    </row>
    <row r="3" customHeight="1" spans="1:5">
      <c r="A3" s="7">
        <v>1</v>
      </c>
      <c r="B3" s="7" t="s">
        <v>90</v>
      </c>
      <c r="C3" s="35">
        <v>200</v>
      </c>
      <c r="D3" s="35">
        <v>0</v>
      </c>
      <c r="E3" s="35">
        <v>0</v>
      </c>
    </row>
    <row r="4" customHeight="1" spans="1:5">
      <c r="A4" s="7">
        <v>2</v>
      </c>
      <c r="B4" s="7" t="s">
        <v>93</v>
      </c>
      <c r="C4" s="35">
        <v>0</v>
      </c>
      <c r="D4" s="35">
        <v>500</v>
      </c>
      <c r="E4" s="35">
        <v>0</v>
      </c>
    </row>
    <row r="5" customHeight="1" spans="1:5">
      <c r="A5" s="7">
        <v>3</v>
      </c>
      <c r="B5" s="7" t="s">
        <v>95</v>
      </c>
      <c r="C5" s="35" t="s">
        <v>102</v>
      </c>
      <c r="D5" s="35"/>
      <c r="E5" s="35"/>
    </row>
    <row r="6" customHeight="1" spans="1:5">
      <c r="A6" s="118">
        <v>4</v>
      </c>
      <c r="B6" s="118" t="s">
        <v>103</v>
      </c>
      <c r="C6" s="119">
        <f>SUM(C3:C5)</f>
        <v>200</v>
      </c>
      <c r="D6" s="119">
        <f>SUM(D3:D5)</f>
        <v>500</v>
      </c>
      <c r="E6" s="119">
        <f>SUM(E3:E5)</f>
        <v>0</v>
      </c>
    </row>
    <row r="7" customHeight="1" spans="1:5">
      <c r="A7" s="120" t="s">
        <v>104</v>
      </c>
      <c r="B7" s="118"/>
      <c r="C7" s="118"/>
      <c r="D7" s="118"/>
      <c r="E7" s="118"/>
    </row>
  </sheetData>
  <mergeCells count="2">
    <mergeCell ref="A1:E1"/>
    <mergeCell ref="A7:E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FF00"/>
  </sheetPr>
  <dimension ref="A1:D22"/>
  <sheetViews>
    <sheetView zoomScale="70" zoomScaleNormal="70" topLeftCell="A5" workbookViewId="0">
      <selection activeCell="D15" sqref="D15"/>
    </sheetView>
  </sheetViews>
  <sheetFormatPr defaultColWidth="8.88888888888889" defaultRowHeight="28.05" customHeight="1" outlineLevelCol="3"/>
  <cols>
    <col min="2" max="2" width="20.6666666666667" customWidth="1"/>
    <col min="3" max="3" width="55.6666666666667" customWidth="1"/>
    <col min="4" max="4" width="18.8888888888889" customWidth="1"/>
  </cols>
  <sheetData>
    <row r="1" s="48" customFormat="1" customHeight="1" spans="1:4">
      <c r="A1" s="53" t="s">
        <v>105</v>
      </c>
      <c r="B1" s="54"/>
      <c r="C1" s="54"/>
      <c r="D1" s="57"/>
    </row>
    <row r="2" s="48" customFormat="1" customHeight="1" spans="1:4">
      <c r="A2" s="2" t="s">
        <v>1</v>
      </c>
      <c r="B2" s="2" t="s">
        <v>106</v>
      </c>
      <c r="C2" s="2" t="s">
        <v>107</v>
      </c>
      <c r="D2" s="2" t="s">
        <v>108</v>
      </c>
    </row>
    <row r="3" s="48" customFormat="1" customHeight="1" spans="1:4">
      <c r="A3" s="7" t="s">
        <v>109</v>
      </c>
      <c r="B3" s="7" t="s">
        <v>110</v>
      </c>
      <c r="C3" s="7"/>
      <c r="D3" s="111">
        <f>D4+D8</f>
        <v>1824</v>
      </c>
    </row>
    <row r="4" s="48" customFormat="1" customHeight="1" spans="1:4">
      <c r="A4" s="51">
        <v>1</v>
      </c>
      <c r="B4" s="51" t="s">
        <v>111</v>
      </c>
      <c r="C4" s="51"/>
      <c r="D4" s="115">
        <f>SUM(D5:D7)</f>
        <v>1800</v>
      </c>
    </row>
    <row r="5" s="48" customFormat="1" ht="87" customHeight="1" spans="1:4">
      <c r="A5" s="7">
        <v>1.1</v>
      </c>
      <c r="B5" s="7" t="s">
        <v>112</v>
      </c>
      <c r="C5" s="73" t="s">
        <v>113</v>
      </c>
      <c r="D5" s="111">
        <f>D.3建设投资计划分年计划表!D5</f>
        <v>600</v>
      </c>
    </row>
    <row r="6" s="48" customFormat="1" customHeight="1" spans="1:4">
      <c r="A6" s="7">
        <v>1.2</v>
      </c>
      <c r="B6" s="7" t="s">
        <v>114</v>
      </c>
      <c r="C6" s="7"/>
      <c r="D6" s="111">
        <f>D.3建设投资计划分年计划表!D6</f>
        <v>600</v>
      </c>
    </row>
    <row r="7" s="48" customFormat="1" ht="46.95" customHeight="1" spans="1:4">
      <c r="A7" s="7">
        <v>1.3</v>
      </c>
      <c r="B7" s="7" t="s">
        <v>115</v>
      </c>
      <c r="C7" s="73" t="s">
        <v>116</v>
      </c>
      <c r="D7" s="111">
        <f>D.3建设投资计划分年计划表!D7</f>
        <v>600</v>
      </c>
    </row>
    <row r="8" s="48" customFormat="1" customHeight="1" spans="1:4">
      <c r="A8" s="51">
        <v>2</v>
      </c>
      <c r="B8" s="51" t="s">
        <v>117</v>
      </c>
      <c r="C8" s="51"/>
      <c r="D8" s="115">
        <f>SUM(D9:D12)</f>
        <v>24</v>
      </c>
    </row>
    <row r="9" s="48" customFormat="1" ht="52.05" customHeight="1" spans="1:4">
      <c r="A9" s="7">
        <v>2.1</v>
      </c>
      <c r="B9" s="7" t="s">
        <v>118</v>
      </c>
      <c r="C9" s="73" t="s">
        <v>116</v>
      </c>
      <c r="D9" s="111">
        <f>D.3建设投资计划分年计划表!D9</f>
        <v>6</v>
      </c>
    </row>
    <row r="10" s="48" customFormat="1" customHeight="1" spans="1:4">
      <c r="A10" s="7">
        <v>2.2</v>
      </c>
      <c r="B10" s="7" t="s">
        <v>119</v>
      </c>
      <c r="C10" s="7"/>
      <c r="D10" s="111">
        <f>D.3建设投资计划分年计划表!D10</f>
        <v>6</v>
      </c>
    </row>
    <row r="11" s="48" customFormat="1" customHeight="1" spans="1:4">
      <c r="A11" s="7">
        <v>2.3</v>
      </c>
      <c r="B11" s="7" t="s">
        <v>120</v>
      </c>
      <c r="C11" s="7"/>
      <c r="D11" s="111">
        <f>D.3建设投资计划分年计划表!D11</f>
        <v>6</v>
      </c>
    </row>
    <row r="12" s="48" customFormat="1" customHeight="1" spans="1:4">
      <c r="A12" s="7">
        <v>2.4</v>
      </c>
      <c r="B12" s="7" t="s">
        <v>121</v>
      </c>
      <c r="C12" s="7"/>
      <c r="D12" s="111">
        <f>D.3建设投资计划分年计划表!D12</f>
        <v>6</v>
      </c>
    </row>
    <row r="13" s="48" customFormat="1" customHeight="1" spans="1:4">
      <c r="A13" s="51" t="s">
        <v>122</v>
      </c>
      <c r="B13" s="51" t="s">
        <v>123</v>
      </c>
      <c r="C13" s="51"/>
      <c r="D13" s="115">
        <f>SUM(D14:D19)</f>
        <v>24.6048</v>
      </c>
    </row>
    <row r="14" s="48" customFormat="1" customHeight="1" spans="1:4">
      <c r="A14" s="7">
        <v>1</v>
      </c>
      <c r="B14" s="7" t="s">
        <v>124</v>
      </c>
      <c r="C14" s="7"/>
      <c r="D14" s="111">
        <f>D.3建设投资计划分年计划表!D14</f>
        <v>6</v>
      </c>
    </row>
    <row r="15" s="48" customFormat="1" customHeight="1" spans="1:4">
      <c r="A15" s="7">
        <v>2</v>
      </c>
      <c r="B15" s="7" t="s">
        <v>125</v>
      </c>
      <c r="C15" s="7"/>
      <c r="D15" s="111">
        <f>D.3建设投资计划分年计划表!D15</f>
        <v>6</v>
      </c>
    </row>
    <row r="16" s="48" customFormat="1" customHeight="1" spans="1:4">
      <c r="A16" s="7">
        <v>3</v>
      </c>
      <c r="B16" s="7" t="s">
        <v>126</v>
      </c>
      <c r="C16" s="7"/>
      <c r="D16" s="111">
        <f>D.3建设投资计划分年计划表!D16</f>
        <v>6</v>
      </c>
    </row>
    <row r="17" s="48" customFormat="1" customHeight="1" spans="1:4">
      <c r="A17" s="7">
        <v>4</v>
      </c>
      <c r="B17" s="7" t="s">
        <v>127</v>
      </c>
      <c r="C17" s="7"/>
      <c r="D17" s="111">
        <f>D.3建设投资计划分年计划表!D17</f>
        <v>6</v>
      </c>
    </row>
    <row r="18" s="48" customFormat="1" customHeight="1" spans="1:4">
      <c r="A18" s="7">
        <v>5</v>
      </c>
      <c r="B18" s="36" t="s">
        <v>128</v>
      </c>
      <c r="C18" s="36"/>
      <c r="D18" s="52">
        <f>D.3建设投资计划分年计划表!D18</f>
        <v>0.6048</v>
      </c>
    </row>
    <row r="19" s="48" customFormat="1" customHeight="1" spans="1:4">
      <c r="A19" s="7">
        <v>6</v>
      </c>
      <c r="B19" s="7" t="s">
        <v>56</v>
      </c>
      <c r="C19" s="7"/>
      <c r="D19" s="111">
        <f>D.3建设投资计划分年计划表!D19</f>
        <v>0</v>
      </c>
    </row>
    <row r="20" s="48" customFormat="1" customHeight="1" spans="1:4">
      <c r="A20" s="51" t="s">
        <v>129</v>
      </c>
      <c r="B20" s="51" t="s">
        <v>130</v>
      </c>
      <c r="C20" s="51"/>
      <c r="D20" s="115">
        <f>D21</f>
        <v>6</v>
      </c>
    </row>
    <row r="21" s="48" customFormat="1" customHeight="1" spans="1:4">
      <c r="A21" s="7">
        <v>1</v>
      </c>
      <c r="B21" s="7" t="s">
        <v>131</v>
      </c>
      <c r="C21" s="7"/>
      <c r="D21" s="111">
        <f>D.3建设投资计划分年计划表!D21</f>
        <v>6</v>
      </c>
    </row>
    <row r="22" s="48" customFormat="1" customHeight="1" spans="1:4">
      <c r="A22" s="83" t="s">
        <v>132</v>
      </c>
      <c r="B22" s="116"/>
      <c r="C22" s="84"/>
      <c r="D22" s="111">
        <f>D3+D13+D20</f>
        <v>1854.6048</v>
      </c>
    </row>
  </sheetData>
  <mergeCells count="2">
    <mergeCell ref="A1:D1"/>
    <mergeCell ref="A22:C2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0070C0"/>
  </sheetPr>
  <dimension ref="A1:I22"/>
  <sheetViews>
    <sheetView zoomScale="70" zoomScaleNormal="70" workbookViewId="0">
      <selection activeCell="E9" sqref="E9"/>
    </sheetView>
  </sheetViews>
  <sheetFormatPr defaultColWidth="8.88888888888889" defaultRowHeight="28.05" customHeight="1"/>
  <cols>
    <col min="1" max="1" width="6.66666666666667" customWidth="1"/>
    <col min="2" max="2" width="19.6666666666667" customWidth="1"/>
    <col min="3" max="3" width="10.5555555555556" customWidth="1"/>
    <col min="4" max="4" width="9.33333333333333" customWidth="1"/>
    <col min="5" max="6" width="10.5555555555556" customWidth="1"/>
    <col min="7" max="7" width="9.22222222222222" customWidth="1"/>
    <col min="9" max="9" width="10.4444444444444" customWidth="1"/>
  </cols>
  <sheetData>
    <row r="1" s="50" customFormat="1" customHeight="1" spans="1:9">
      <c r="A1" s="108" t="s">
        <v>133</v>
      </c>
      <c r="B1" s="109"/>
      <c r="C1" s="109"/>
      <c r="D1" s="109"/>
      <c r="E1" s="109"/>
      <c r="F1" s="109"/>
      <c r="G1" s="109"/>
      <c r="H1" s="109"/>
      <c r="I1" s="109"/>
    </row>
    <row r="2" s="50" customFormat="1" customHeight="1" spans="1:9">
      <c r="A2" s="2" t="s">
        <v>1</v>
      </c>
      <c r="B2" s="2" t="s">
        <v>134</v>
      </c>
      <c r="C2" s="2" t="s">
        <v>103</v>
      </c>
      <c r="D2" s="2">
        <v>2025</v>
      </c>
      <c r="E2" s="2">
        <v>2026</v>
      </c>
      <c r="F2" s="2">
        <v>2027</v>
      </c>
      <c r="G2" s="2">
        <v>2028</v>
      </c>
      <c r="H2" s="2" t="s">
        <v>135</v>
      </c>
      <c r="I2" s="2">
        <v>2045</v>
      </c>
    </row>
    <row r="3" s="50" customFormat="1" customHeight="1" spans="1:9">
      <c r="A3" s="51">
        <v>1</v>
      </c>
      <c r="B3" s="51" t="s">
        <v>136</v>
      </c>
      <c r="C3" s="85">
        <f>SUM(D3:I3)</f>
        <v>1896.78372473611</v>
      </c>
      <c r="D3" s="85">
        <f t="shared" ref="D3:I3" si="0">SUM(D4:D6)</f>
        <v>323.5528</v>
      </c>
      <c r="E3" s="85">
        <f t="shared" si="0"/>
        <v>633.262</v>
      </c>
      <c r="F3" s="85">
        <f t="shared" si="0"/>
        <v>930.94</v>
      </c>
      <c r="G3" s="85">
        <f t="shared" si="0"/>
        <v>6.975329375</v>
      </c>
      <c r="H3" s="85">
        <f t="shared" si="0"/>
        <v>1.96690323611111</v>
      </c>
      <c r="I3" s="85">
        <f t="shared" si="0"/>
        <v>0.086692124999999</v>
      </c>
    </row>
    <row r="4" s="50" customFormat="1" customHeight="1" spans="1:9">
      <c r="A4" s="7">
        <v>1.1</v>
      </c>
      <c r="B4" s="7" t="s">
        <v>137</v>
      </c>
      <c r="C4" s="85">
        <f t="shared" ref="C4:C6" si="1">SUM(D4:I4)</f>
        <v>1854.6048</v>
      </c>
      <c r="D4" s="34">
        <f>D.3建设投资计划分年计划表!E22</f>
        <v>318.1728</v>
      </c>
      <c r="E4" s="34">
        <f>D.3建设投资计划分年计划表!F22</f>
        <v>618.432</v>
      </c>
      <c r="F4" s="34">
        <f>D.3建设投资计划分年计划表!G22</f>
        <v>918</v>
      </c>
      <c r="G4" s="34"/>
      <c r="H4" s="34"/>
      <c r="I4" s="34"/>
    </row>
    <row r="5" s="50" customFormat="1" customHeight="1" spans="1:9">
      <c r="A5" s="7">
        <v>1.2</v>
      </c>
      <c r="B5" s="7" t="s">
        <v>138</v>
      </c>
      <c r="C5" s="85">
        <f t="shared" si="1"/>
        <v>33.15</v>
      </c>
      <c r="D5" s="34">
        <f>c借款还本付息计划表!D24</f>
        <v>5.38</v>
      </c>
      <c r="E5" s="34">
        <f>c借款还本付息计划表!E24</f>
        <v>14.83</v>
      </c>
      <c r="F5" s="34">
        <f>c借款还本付息计划表!F24</f>
        <v>12.94</v>
      </c>
      <c r="G5" s="34"/>
      <c r="H5" s="34"/>
      <c r="I5" s="34"/>
    </row>
    <row r="6" s="50" customFormat="1" customHeight="1" spans="1:9">
      <c r="A6" s="7">
        <v>1.3</v>
      </c>
      <c r="B6" s="7" t="s">
        <v>139</v>
      </c>
      <c r="C6" s="85">
        <f t="shared" si="1"/>
        <v>9.02892473611111</v>
      </c>
      <c r="D6" s="34">
        <f>D.4流动资金估算表!E14</f>
        <v>0</v>
      </c>
      <c r="E6" s="34">
        <f>D.4流动资金估算表!F14</f>
        <v>0</v>
      </c>
      <c r="F6" s="34">
        <f>D.4流动资金估算表!G14</f>
        <v>0</v>
      </c>
      <c r="G6" s="34">
        <f>D.4流动资金估算表!H14</f>
        <v>6.975329375</v>
      </c>
      <c r="H6" s="34">
        <f>D.4流动资金估算表!I14</f>
        <v>1.96690323611111</v>
      </c>
      <c r="I6" s="34">
        <f>D.4流动资金估算表!J14</f>
        <v>0.086692124999999</v>
      </c>
    </row>
    <row r="7" s="50" customFormat="1" customHeight="1" spans="1:9">
      <c r="A7" s="51">
        <v>2</v>
      </c>
      <c r="B7" s="51" t="s">
        <v>140</v>
      </c>
      <c r="C7" s="85">
        <f>SUM(C8+C12+C16)</f>
        <v>1887.7548</v>
      </c>
      <c r="D7" s="85">
        <f>D8+D12+D16</f>
        <v>323.5528</v>
      </c>
      <c r="E7" s="85">
        <f>E8+E12+E16</f>
        <v>633.262</v>
      </c>
      <c r="F7" s="85">
        <f>F8+F12+F16</f>
        <v>930.94</v>
      </c>
      <c r="G7" s="85">
        <f t="shared" ref="G7:I7" si="2">G8+G12+G16</f>
        <v>6.975329375</v>
      </c>
      <c r="H7" s="85">
        <f t="shared" si="2"/>
        <v>1.96690323611111</v>
      </c>
      <c r="I7" s="85">
        <f t="shared" si="2"/>
        <v>0.086692124999999</v>
      </c>
    </row>
    <row r="8" s="50" customFormat="1" customHeight="1" spans="1:9">
      <c r="A8" s="7">
        <v>2.1</v>
      </c>
      <c r="B8" s="7" t="s">
        <v>141</v>
      </c>
      <c r="C8" s="34">
        <f>SUM(C9:C11)</f>
        <v>1187.7548</v>
      </c>
      <c r="D8" s="34">
        <f>SUM(D9:D11)</f>
        <v>123.5528</v>
      </c>
      <c r="E8" s="34">
        <f>SUM(E9:E11)</f>
        <v>133.262</v>
      </c>
      <c r="F8" s="34">
        <f>SUM(F9:F11)</f>
        <v>930.94</v>
      </c>
      <c r="G8" s="34">
        <f t="shared" ref="G8:I8" si="3">SUM(G9:G11)</f>
        <v>6.975329375</v>
      </c>
      <c r="H8" s="34">
        <f t="shared" si="3"/>
        <v>1.96690323611111</v>
      </c>
      <c r="I8" s="34">
        <f t="shared" si="3"/>
        <v>0.086692124999999</v>
      </c>
    </row>
    <row r="9" s="50" customFormat="1" customHeight="1" spans="1:9">
      <c r="A9" s="7" t="s">
        <v>142</v>
      </c>
      <c r="B9" s="7" t="s">
        <v>143</v>
      </c>
      <c r="C9" s="110">
        <f>SUM(D9:F9)</f>
        <v>1154.6048</v>
      </c>
      <c r="D9" s="37">
        <f>D4-D13</f>
        <v>118.1728</v>
      </c>
      <c r="E9" s="37">
        <f>E4-E13</f>
        <v>118.432</v>
      </c>
      <c r="F9" s="37">
        <f>F4-F13</f>
        <v>918</v>
      </c>
      <c r="G9" s="34"/>
      <c r="H9" s="34"/>
      <c r="I9" s="34"/>
    </row>
    <row r="10" s="50" customFormat="1" customHeight="1" spans="1:9">
      <c r="A10" s="7" t="s">
        <v>144</v>
      </c>
      <c r="B10" s="7" t="s">
        <v>145</v>
      </c>
      <c r="C10" s="34">
        <f>SUM(D10:F10)</f>
        <v>33.15</v>
      </c>
      <c r="D10" s="111">
        <f>D5</f>
        <v>5.38</v>
      </c>
      <c r="E10" s="111">
        <f>E5</f>
        <v>14.83</v>
      </c>
      <c r="F10" s="111">
        <f>F5</f>
        <v>12.94</v>
      </c>
      <c r="G10" s="34"/>
      <c r="H10" s="34"/>
      <c r="I10" s="34"/>
    </row>
    <row r="11" s="50" customFormat="1" customHeight="1" spans="1:9">
      <c r="A11" s="7" t="s">
        <v>146</v>
      </c>
      <c r="B11" s="7" t="s">
        <v>147</v>
      </c>
      <c r="C11" s="34">
        <v>0</v>
      </c>
      <c r="D11" s="34">
        <f>D6*A财务假设!$D$14</f>
        <v>0</v>
      </c>
      <c r="E11" s="34">
        <f>E6*A财务假设!$D$14</f>
        <v>0</v>
      </c>
      <c r="F11" s="34">
        <f>F6*A财务假设!$D$14</f>
        <v>0</v>
      </c>
      <c r="G11" s="34">
        <f>G6*A财务假设!$D$14</f>
        <v>6.975329375</v>
      </c>
      <c r="H11" s="34">
        <f>H6*A财务假设!$D$14</f>
        <v>1.96690323611111</v>
      </c>
      <c r="I11" s="34">
        <f>I6*A财务假设!$D$14</f>
        <v>0.086692124999999</v>
      </c>
    </row>
    <row r="12" s="50" customFormat="1" customHeight="1" spans="1:9">
      <c r="A12" s="7">
        <v>2.2</v>
      </c>
      <c r="B12" s="7" t="s">
        <v>148</v>
      </c>
      <c r="C12" s="34">
        <f>SUM(D12:I12)</f>
        <v>700</v>
      </c>
      <c r="D12" s="34">
        <f>C.2项目每年借款信息!C6</f>
        <v>200</v>
      </c>
      <c r="E12" s="34">
        <f>C.2项目每年借款信息!D6</f>
        <v>500</v>
      </c>
      <c r="F12" s="34">
        <f>C.2项目每年借款信息!E6</f>
        <v>0</v>
      </c>
      <c r="G12" s="34"/>
      <c r="H12" s="34"/>
      <c r="I12" s="34"/>
    </row>
    <row r="13" s="50" customFormat="1" customHeight="1" spans="1:9">
      <c r="A13" s="7" t="s">
        <v>149</v>
      </c>
      <c r="B13" s="7" t="s">
        <v>143</v>
      </c>
      <c r="C13" s="110">
        <f>SUM(D13:F13)</f>
        <v>700</v>
      </c>
      <c r="D13" s="37">
        <f>D12-D14-D15-D16</f>
        <v>200</v>
      </c>
      <c r="E13" s="37">
        <f>E12-E14-E15-E16</f>
        <v>500</v>
      </c>
      <c r="F13" s="37">
        <f>F12-F14-F15-F16</f>
        <v>0</v>
      </c>
      <c r="G13" s="34"/>
      <c r="H13" s="34"/>
      <c r="I13" s="34"/>
    </row>
    <row r="14" s="50" customFormat="1" customHeight="1" spans="1:9">
      <c r="A14" s="7" t="s">
        <v>150</v>
      </c>
      <c r="B14" s="7" t="s">
        <v>145</v>
      </c>
      <c r="C14" s="112">
        <f>SUM(D14:F14)</f>
        <v>0</v>
      </c>
      <c r="D14" s="113">
        <v>0</v>
      </c>
      <c r="E14" s="113">
        <v>0</v>
      </c>
      <c r="F14" s="113">
        <v>0</v>
      </c>
      <c r="G14" s="113"/>
      <c r="H14" s="113"/>
      <c r="I14" s="113"/>
    </row>
    <row r="15" s="50" customFormat="1" customHeight="1" spans="1:9">
      <c r="A15" s="7" t="s">
        <v>151</v>
      </c>
      <c r="B15" s="7" t="s">
        <v>147</v>
      </c>
      <c r="C15" s="34">
        <f>SUM(D15:I15)</f>
        <v>0</v>
      </c>
      <c r="D15" s="34">
        <f>D6-D11</f>
        <v>0</v>
      </c>
      <c r="E15" s="34">
        <f>E6-E11</f>
        <v>0</v>
      </c>
      <c r="F15" s="34">
        <f>F6-F11</f>
        <v>0</v>
      </c>
      <c r="G15" s="34">
        <f>G6-G11</f>
        <v>0</v>
      </c>
      <c r="H15" s="34">
        <f t="shared" ref="H15:I15" si="4">H6-H11</f>
        <v>0</v>
      </c>
      <c r="I15" s="34">
        <f t="shared" si="4"/>
        <v>0</v>
      </c>
    </row>
    <row r="16" s="50" customFormat="1" customHeight="1" spans="1:9">
      <c r="A16" s="7">
        <v>2.3</v>
      </c>
      <c r="B16" s="7" t="s">
        <v>152</v>
      </c>
      <c r="C16" s="34">
        <f>SUM(D16:I16)</f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</row>
    <row r="17" s="50" customFormat="1" customHeight="1" spans="1:9">
      <c r="A17" s="51">
        <v>3</v>
      </c>
      <c r="B17" s="51" t="s">
        <v>153</v>
      </c>
      <c r="C17" s="85">
        <f>SUM(C18:C20)</f>
        <v>1196.78372473611</v>
      </c>
      <c r="D17" s="85">
        <f>SUM(D18:D20)</f>
        <v>123.5528</v>
      </c>
      <c r="E17" s="85">
        <f>SUM(E18:E20)</f>
        <v>133.262</v>
      </c>
      <c r="F17" s="85">
        <f>SUM(F18:F20)</f>
        <v>930.94</v>
      </c>
      <c r="G17" s="85">
        <f t="shared" ref="G17:I17" si="5">SUM(G18:G20)</f>
        <v>6.975329375</v>
      </c>
      <c r="H17" s="85">
        <f t="shared" si="5"/>
        <v>1.96690323611111</v>
      </c>
      <c r="I17" s="85">
        <f t="shared" si="5"/>
        <v>0.086692124999999</v>
      </c>
    </row>
    <row r="18" s="50" customFormat="1" customHeight="1" spans="1:9">
      <c r="A18" s="7">
        <v>3.1</v>
      </c>
      <c r="B18" s="7" t="s">
        <v>137</v>
      </c>
      <c r="C18" s="34">
        <f>SUM(D18:F18)</f>
        <v>1154.6048</v>
      </c>
      <c r="D18" s="34">
        <f t="shared" ref="D18:F20" si="6">D9</f>
        <v>118.1728</v>
      </c>
      <c r="E18" s="34">
        <f t="shared" si="6"/>
        <v>118.432</v>
      </c>
      <c r="F18" s="34">
        <f t="shared" si="6"/>
        <v>918</v>
      </c>
      <c r="G18" s="34"/>
      <c r="H18" s="34"/>
      <c r="I18" s="34"/>
    </row>
    <row r="19" s="50" customFormat="1" customHeight="1" spans="1:9">
      <c r="A19" s="7">
        <v>3.2</v>
      </c>
      <c r="B19" s="7" t="s">
        <v>138</v>
      </c>
      <c r="C19" s="34">
        <f>SUM(D19:F19)</f>
        <v>33.15</v>
      </c>
      <c r="D19" s="34">
        <f t="shared" si="6"/>
        <v>5.38</v>
      </c>
      <c r="E19" s="34">
        <f t="shared" si="6"/>
        <v>14.83</v>
      </c>
      <c r="F19" s="34">
        <f t="shared" si="6"/>
        <v>12.94</v>
      </c>
      <c r="G19" s="34"/>
      <c r="H19" s="34"/>
      <c r="I19" s="34"/>
    </row>
    <row r="20" s="50" customFormat="1" customHeight="1" spans="1:9">
      <c r="A20" s="7">
        <v>3.3</v>
      </c>
      <c r="B20" s="7" t="s">
        <v>154</v>
      </c>
      <c r="C20" s="34">
        <f t="shared" ref="C20" si="7">SUM(D20:I20)</f>
        <v>9.02892473611111</v>
      </c>
      <c r="D20" s="34">
        <f t="shared" si="6"/>
        <v>0</v>
      </c>
      <c r="E20" s="34">
        <f t="shared" si="6"/>
        <v>0</v>
      </c>
      <c r="F20" s="34">
        <f t="shared" si="6"/>
        <v>0</v>
      </c>
      <c r="G20" s="34">
        <f>G11</f>
        <v>6.975329375</v>
      </c>
      <c r="H20" s="34">
        <f t="shared" ref="H20:I20" si="8">H11</f>
        <v>1.96690323611111</v>
      </c>
      <c r="I20" s="34">
        <f t="shared" si="8"/>
        <v>0.086692124999999</v>
      </c>
    </row>
    <row r="21" s="50" customFormat="1" ht="31.2" spans="1:9">
      <c r="A21" s="51">
        <v>4</v>
      </c>
      <c r="B21" s="81" t="s">
        <v>155</v>
      </c>
      <c r="C21" s="114">
        <f>C17/C3</f>
        <v>0.630954235387386</v>
      </c>
      <c r="D21" s="114"/>
      <c r="E21" s="114"/>
      <c r="F21" s="114"/>
      <c r="G21" s="114"/>
      <c r="H21" s="114"/>
      <c r="I21" s="114"/>
    </row>
    <row r="22" s="105" customFormat="1" customHeight="1"/>
  </sheetData>
  <mergeCells count="1">
    <mergeCell ref="A1:I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FFFF00"/>
  </sheetPr>
  <dimension ref="A1:G22"/>
  <sheetViews>
    <sheetView zoomScale="70" zoomScaleNormal="70" workbookViewId="0">
      <selection activeCell="E11" sqref="E11"/>
    </sheetView>
  </sheetViews>
  <sheetFormatPr defaultColWidth="8.88888888888889" defaultRowHeight="28.05" customHeight="1" outlineLevelCol="6"/>
  <cols>
    <col min="2" max="2" width="19.8888888888889" customWidth="1"/>
    <col min="3" max="3" width="55.6666666666667" customWidth="1"/>
    <col min="4" max="4" width="13.2222222222222" customWidth="1"/>
    <col min="5" max="6" width="9"/>
  </cols>
  <sheetData>
    <row r="1" s="50" customFormat="1" customHeight="1" spans="1:7">
      <c r="A1" s="59" t="s">
        <v>156</v>
      </c>
      <c r="B1" s="59"/>
      <c r="C1" s="59"/>
      <c r="D1" s="59"/>
      <c r="E1" s="59"/>
      <c r="F1" s="59"/>
      <c r="G1" s="59"/>
    </row>
    <row r="2" s="50" customFormat="1" customHeight="1" spans="1:7">
      <c r="A2" s="2" t="s">
        <v>1</v>
      </c>
      <c r="B2" s="2" t="s">
        <v>106</v>
      </c>
      <c r="C2" s="2" t="s">
        <v>107</v>
      </c>
      <c r="D2" s="2" t="s">
        <v>108</v>
      </c>
      <c r="E2" s="2">
        <v>2025</v>
      </c>
      <c r="F2" s="2">
        <v>2026</v>
      </c>
      <c r="G2" s="2">
        <v>2027</v>
      </c>
    </row>
    <row r="3" s="50" customFormat="1" customHeight="1" spans="1:7">
      <c r="A3" s="7" t="s">
        <v>109</v>
      </c>
      <c r="B3" s="7" t="s">
        <v>110</v>
      </c>
      <c r="C3" s="7"/>
      <c r="D3" s="34">
        <f>SUM(D4+D8)</f>
        <v>1824</v>
      </c>
      <c r="E3" s="34">
        <f>E4+E8</f>
        <v>308</v>
      </c>
      <c r="F3" s="34">
        <f>F4+F8</f>
        <v>608</v>
      </c>
      <c r="G3" s="34">
        <f>G4+G8</f>
        <v>908</v>
      </c>
    </row>
    <row r="4" s="50" customFormat="1" customHeight="1" spans="1:7">
      <c r="A4" s="51">
        <v>1</v>
      </c>
      <c r="B4" s="51" t="s">
        <v>111</v>
      </c>
      <c r="C4" s="51"/>
      <c r="D4" s="85">
        <f>SUM(D5:D7)</f>
        <v>1800</v>
      </c>
      <c r="E4" s="85">
        <f>E5+E6+E7</f>
        <v>300</v>
      </c>
      <c r="F4" s="85">
        <f>F5+F6+F7</f>
        <v>600</v>
      </c>
      <c r="G4" s="85">
        <f>G5+G6+G7</f>
        <v>900</v>
      </c>
    </row>
    <row r="5" s="50" customFormat="1" ht="88.05" customHeight="1" spans="1:7">
      <c r="A5" s="7">
        <v>1.1</v>
      </c>
      <c r="B5" s="20" t="s">
        <v>112</v>
      </c>
      <c r="C5" s="73" t="s">
        <v>113</v>
      </c>
      <c r="D5" s="34">
        <f>SUM(E5:G5)</f>
        <v>600</v>
      </c>
      <c r="E5" s="35">
        <v>100</v>
      </c>
      <c r="F5" s="35">
        <v>200</v>
      </c>
      <c r="G5" s="35">
        <v>300</v>
      </c>
    </row>
    <row r="6" s="50" customFormat="1" customHeight="1" spans="1:7">
      <c r="A6" s="7">
        <v>1.2</v>
      </c>
      <c r="B6" s="20" t="s">
        <v>114</v>
      </c>
      <c r="C6" s="7"/>
      <c r="D6" s="34">
        <f>SUM(E6:G6)</f>
        <v>600</v>
      </c>
      <c r="E6" s="35">
        <v>100</v>
      </c>
      <c r="F6" s="35">
        <v>200</v>
      </c>
      <c r="G6" s="35">
        <v>300</v>
      </c>
    </row>
    <row r="7" s="50" customFormat="1" ht="34.05" customHeight="1" spans="1:7">
      <c r="A7" s="7">
        <v>1.3</v>
      </c>
      <c r="B7" s="20" t="s">
        <v>115</v>
      </c>
      <c r="C7" s="73" t="s">
        <v>116</v>
      </c>
      <c r="D7" s="34">
        <f>SUM(E7:G7)</f>
        <v>600</v>
      </c>
      <c r="E7" s="35">
        <v>100</v>
      </c>
      <c r="F7" s="35">
        <v>200</v>
      </c>
      <c r="G7" s="35">
        <v>300</v>
      </c>
    </row>
    <row r="8" s="50" customFormat="1" customHeight="1" spans="1:7">
      <c r="A8" s="51">
        <v>2</v>
      </c>
      <c r="B8" s="51" t="s">
        <v>117</v>
      </c>
      <c r="C8" s="51"/>
      <c r="D8" s="85">
        <f>SUM(D9:D12)</f>
        <v>24</v>
      </c>
      <c r="E8" s="85">
        <f>SUM(E9:E12)</f>
        <v>8</v>
      </c>
      <c r="F8" s="85">
        <f>SUM(F9:F12)</f>
        <v>8</v>
      </c>
      <c r="G8" s="85">
        <f>SUM(G9:G12)</f>
        <v>8</v>
      </c>
    </row>
    <row r="9" s="50" customFormat="1" customHeight="1" spans="1:7">
      <c r="A9" s="7">
        <v>2.1</v>
      </c>
      <c r="B9" s="20" t="s">
        <v>118</v>
      </c>
      <c r="C9" s="7" t="s">
        <v>157</v>
      </c>
      <c r="D9" s="34">
        <f>SUM(E9:G9)</f>
        <v>6</v>
      </c>
      <c r="E9" s="35">
        <v>2</v>
      </c>
      <c r="F9" s="35">
        <v>2</v>
      </c>
      <c r="G9" s="35">
        <v>2</v>
      </c>
    </row>
    <row r="10" s="50" customFormat="1" customHeight="1" spans="1:7">
      <c r="A10" s="7">
        <v>2.2</v>
      </c>
      <c r="B10" s="20" t="s">
        <v>119</v>
      </c>
      <c r="C10" s="7"/>
      <c r="D10" s="34">
        <f>SUM(E10:G10)</f>
        <v>6</v>
      </c>
      <c r="E10" s="35">
        <v>2</v>
      </c>
      <c r="F10" s="35">
        <v>2</v>
      </c>
      <c r="G10" s="35">
        <v>2</v>
      </c>
    </row>
    <row r="11" s="50" customFormat="1" customHeight="1" spans="1:7">
      <c r="A11" s="7">
        <v>2.3</v>
      </c>
      <c r="B11" s="20" t="s">
        <v>120</v>
      </c>
      <c r="C11" s="7"/>
      <c r="D11" s="34">
        <f>SUM(E11:G11)</f>
        <v>6</v>
      </c>
      <c r="E11" s="35">
        <v>2</v>
      </c>
      <c r="F11" s="35">
        <v>2</v>
      </c>
      <c r="G11" s="35">
        <v>2</v>
      </c>
    </row>
    <row r="12" s="50" customFormat="1" customHeight="1" spans="1:7">
      <c r="A12" s="7">
        <v>2.4</v>
      </c>
      <c r="B12" s="20" t="s">
        <v>121</v>
      </c>
      <c r="C12" s="7"/>
      <c r="D12" s="34">
        <f>SUM(E12:G12)</f>
        <v>6</v>
      </c>
      <c r="E12" s="35">
        <v>2</v>
      </c>
      <c r="F12" s="35">
        <v>2</v>
      </c>
      <c r="G12" s="35">
        <v>2</v>
      </c>
    </row>
    <row r="13" s="50" customFormat="1" customHeight="1" spans="1:7">
      <c r="A13" s="51" t="s">
        <v>122</v>
      </c>
      <c r="B13" s="51" t="s">
        <v>123</v>
      </c>
      <c r="C13" s="51"/>
      <c r="D13" s="51">
        <f>SUM(D14:D19)</f>
        <v>24.6048</v>
      </c>
      <c r="E13" s="51">
        <f>SUM(E14:E19)</f>
        <v>8.1728</v>
      </c>
      <c r="F13" s="51">
        <f>SUM(F14:F19)</f>
        <v>8.432</v>
      </c>
      <c r="G13" s="51">
        <f>SUM(G14:G19)</f>
        <v>8</v>
      </c>
    </row>
    <row r="14" s="50" customFormat="1" customHeight="1" spans="1:7">
      <c r="A14" s="7">
        <v>1</v>
      </c>
      <c r="B14" s="20" t="s">
        <v>124</v>
      </c>
      <c r="C14" s="7"/>
      <c r="D14" s="34">
        <f>SUM(E14:G14)</f>
        <v>6</v>
      </c>
      <c r="E14" s="35">
        <v>2</v>
      </c>
      <c r="F14" s="35">
        <v>2</v>
      </c>
      <c r="G14" s="35">
        <v>2</v>
      </c>
    </row>
    <row r="15" s="50" customFormat="1" customHeight="1" spans="1:7">
      <c r="A15" s="7">
        <v>2</v>
      </c>
      <c r="B15" s="20" t="s">
        <v>125</v>
      </c>
      <c r="C15" s="7"/>
      <c r="D15" s="34">
        <f>SUM(E15:G15)</f>
        <v>6</v>
      </c>
      <c r="E15" s="35">
        <v>2</v>
      </c>
      <c r="F15" s="35">
        <v>2</v>
      </c>
      <c r="G15" s="35">
        <v>2</v>
      </c>
    </row>
    <row r="16" s="50" customFormat="1" customHeight="1" spans="1:7">
      <c r="A16" s="7">
        <v>3</v>
      </c>
      <c r="B16" s="20" t="s">
        <v>126</v>
      </c>
      <c r="C16" s="7"/>
      <c r="D16" s="34">
        <f>SUM(E16:G16)</f>
        <v>6</v>
      </c>
      <c r="E16" s="35">
        <v>2</v>
      </c>
      <c r="F16" s="35">
        <v>2</v>
      </c>
      <c r="G16" s="35">
        <v>2</v>
      </c>
    </row>
    <row r="17" s="50" customFormat="1" customHeight="1" spans="1:7">
      <c r="A17" s="7">
        <v>4</v>
      </c>
      <c r="B17" s="20" t="s">
        <v>127</v>
      </c>
      <c r="C17" s="7"/>
      <c r="D17" s="34">
        <f>SUM(E17:G17)</f>
        <v>6</v>
      </c>
      <c r="E17" s="35">
        <v>2</v>
      </c>
      <c r="F17" s="35">
        <v>2</v>
      </c>
      <c r="G17" s="35">
        <v>2</v>
      </c>
    </row>
    <row r="18" s="50" customFormat="1" customHeight="1" spans="1:7">
      <c r="A18" s="7">
        <v>5</v>
      </c>
      <c r="B18" s="107" t="s">
        <v>128</v>
      </c>
      <c r="C18" s="7"/>
      <c r="D18" s="34">
        <f>c借款还本付息计划表!C27</f>
        <v>0.6048</v>
      </c>
      <c r="E18" s="52">
        <f>c借款还本付息计划表!D27</f>
        <v>0.1728</v>
      </c>
      <c r="F18" s="52">
        <f>c借款还本付息计划表!E27</f>
        <v>0.432</v>
      </c>
      <c r="G18" s="52">
        <f>c借款还本付息计划表!F27</f>
        <v>0</v>
      </c>
    </row>
    <row r="19" s="50" customFormat="1" customHeight="1" spans="1:7">
      <c r="A19" s="7">
        <v>6</v>
      </c>
      <c r="B19" s="20" t="s">
        <v>56</v>
      </c>
      <c r="C19" s="7"/>
      <c r="D19" s="34">
        <f>SUM(E19:G19)</f>
        <v>0</v>
      </c>
      <c r="E19" s="35">
        <v>0</v>
      </c>
      <c r="F19" s="35">
        <v>0</v>
      </c>
      <c r="G19" s="35">
        <v>0</v>
      </c>
    </row>
    <row r="20" s="50" customFormat="1" customHeight="1" spans="1:7">
      <c r="A20" s="51" t="s">
        <v>129</v>
      </c>
      <c r="B20" s="51" t="s">
        <v>130</v>
      </c>
      <c r="C20" s="51"/>
      <c r="D20" s="85">
        <f>D21</f>
        <v>6</v>
      </c>
      <c r="E20" s="85">
        <f>E21</f>
        <v>2</v>
      </c>
      <c r="F20" s="85">
        <f>F21</f>
        <v>2</v>
      </c>
      <c r="G20" s="85">
        <f>G21</f>
        <v>2</v>
      </c>
    </row>
    <row r="21" s="50" customFormat="1" customHeight="1" spans="1:7">
      <c r="A21" s="7">
        <v>1</v>
      </c>
      <c r="B21" s="43" t="s">
        <v>131</v>
      </c>
      <c r="C21" s="43"/>
      <c r="D21" s="34">
        <f>SUM(E21:G21)</f>
        <v>6</v>
      </c>
      <c r="E21" s="35">
        <v>2</v>
      </c>
      <c r="F21" s="35">
        <v>2</v>
      </c>
      <c r="G21" s="35">
        <v>2</v>
      </c>
    </row>
    <row r="22" s="50" customFormat="1" customHeight="1" spans="1:7">
      <c r="A22" s="7"/>
      <c r="B22" s="7" t="s">
        <v>132</v>
      </c>
      <c r="C22" s="7"/>
      <c r="D22" s="34">
        <f>D3+D13+D20</f>
        <v>1854.6048</v>
      </c>
      <c r="E22" s="34">
        <f>E3+E13+E20</f>
        <v>318.1728</v>
      </c>
      <c r="F22" s="34">
        <f>F3+F13+F20</f>
        <v>618.432</v>
      </c>
      <c r="G22" s="34">
        <f>G3+G13+G20</f>
        <v>918</v>
      </c>
    </row>
  </sheetData>
  <mergeCells count="2">
    <mergeCell ref="A1:G1"/>
    <mergeCell ref="B22:C2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rgb="FFFFFF00"/>
  </sheetPr>
  <dimension ref="A1:J16"/>
  <sheetViews>
    <sheetView zoomScale="70" zoomScaleNormal="70" workbookViewId="0">
      <selection activeCell="H7" sqref="H7"/>
    </sheetView>
  </sheetViews>
  <sheetFormatPr defaultColWidth="8.88888888888889" defaultRowHeight="28.05" customHeight="1"/>
  <cols>
    <col min="2" max="2" width="22.5555555555556" customWidth="1"/>
    <col min="3" max="3" width="19.7777777777778" customWidth="1"/>
    <col min="4" max="4" width="11.4444444444444" customWidth="1"/>
    <col min="5" max="5" width="17" customWidth="1"/>
    <col min="6" max="6" width="20" customWidth="1"/>
    <col min="7" max="7" width="21" customWidth="1"/>
    <col min="8" max="8" width="19.7777777777778" customWidth="1"/>
    <col min="9" max="9" width="19.2222222222222" customWidth="1"/>
    <col min="10" max="10" width="20.4444444444444" customWidth="1"/>
  </cols>
  <sheetData>
    <row r="1" s="50" customFormat="1" customHeight="1" spans="1:10">
      <c r="A1" s="59" t="s">
        <v>158</v>
      </c>
      <c r="B1" s="59"/>
      <c r="C1" s="59"/>
      <c r="D1" s="59"/>
      <c r="E1" s="59"/>
      <c r="F1" s="59"/>
      <c r="G1" s="59"/>
      <c r="H1" s="59"/>
      <c r="I1" s="59"/>
      <c r="J1" s="59"/>
    </row>
    <row r="2" s="50" customFormat="1" ht="33" customHeight="1" spans="1:10">
      <c r="A2" s="2" t="s">
        <v>1</v>
      </c>
      <c r="B2" s="2" t="s">
        <v>159</v>
      </c>
      <c r="C2" s="2" t="s">
        <v>160</v>
      </c>
      <c r="D2" s="2" t="s">
        <v>161</v>
      </c>
      <c r="E2" s="2" t="s">
        <v>162</v>
      </c>
      <c r="F2" s="2" t="s">
        <v>163</v>
      </c>
      <c r="G2" s="2" t="s">
        <v>164</v>
      </c>
      <c r="H2" s="2">
        <v>2028</v>
      </c>
      <c r="I2" s="2" t="s">
        <v>56</v>
      </c>
      <c r="J2" s="2">
        <v>2045</v>
      </c>
    </row>
    <row r="3" s="50" customFormat="1" customHeight="1" spans="1:10">
      <c r="A3" s="7">
        <v>1</v>
      </c>
      <c r="B3" s="7" t="s">
        <v>165</v>
      </c>
      <c r="C3" s="20">
        <v>2</v>
      </c>
      <c r="D3" s="7">
        <f t="shared" ref="D3:D15" si="0">360/C3</f>
        <v>180</v>
      </c>
      <c r="E3" s="106"/>
      <c r="F3" s="106"/>
      <c r="G3" s="106"/>
      <c r="H3" s="34">
        <f>H4+H5+H10</f>
        <v>7.03479604166667</v>
      </c>
      <c r="I3" s="34">
        <f>I4+I5+I10</f>
        <v>9.01656594444444</v>
      </c>
      <c r="J3" s="34">
        <f>J4+J5+J10</f>
        <v>9.10325806944444</v>
      </c>
    </row>
    <row r="4" s="50" customFormat="1" customHeight="1" spans="1:10">
      <c r="A4" s="7">
        <v>1.1</v>
      </c>
      <c r="B4" s="7" t="s">
        <v>166</v>
      </c>
      <c r="C4" s="20">
        <v>1</v>
      </c>
      <c r="D4" s="7">
        <f t="shared" si="0"/>
        <v>360</v>
      </c>
      <c r="E4" s="106"/>
      <c r="F4" s="106"/>
      <c r="G4" s="106"/>
      <c r="H4" s="34">
        <f>F项目收入!G10/D4</f>
        <v>4.625</v>
      </c>
      <c r="I4" s="34">
        <f>F项目收入!H10/D4</f>
        <v>6.00444444444444</v>
      </c>
      <c r="J4" s="34">
        <f>F项目收入!I10/D4</f>
        <v>6.09114444444444</v>
      </c>
    </row>
    <row r="5" s="50" customFormat="1" customHeight="1" spans="1:10">
      <c r="A5" s="7">
        <v>1.2</v>
      </c>
      <c r="B5" s="7" t="s">
        <v>167</v>
      </c>
      <c r="C5" s="20">
        <v>3</v>
      </c>
      <c r="D5" s="7">
        <f t="shared" si="0"/>
        <v>120</v>
      </c>
      <c r="E5" s="106"/>
      <c r="F5" s="106"/>
      <c r="G5" s="106"/>
      <c r="H5" s="34">
        <f>SUM(H6:H9)</f>
        <v>1.5915646875</v>
      </c>
      <c r="I5" s="34">
        <f>SUM(I6:I9)</f>
        <v>1.98939408333333</v>
      </c>
      <c r="J5" s="34">
        <f>SUM(J6:J9)</f>
        <v>1.98939014583333</v>
      </c>
    </row>
    <row r="6" s="50" customFormat="1" customHeight="1" spans="1:10">
      <c r="A6" s="7" t="s">
        <v>168</v>
      </c>
      <c r="B6" s="7" t="s">
        <v>169</v>
      </c>
      <c r="C6" s="20">
        <v>30</v>
      </c>
      <c r="D6" s="7">
        <f t="shared" si="0"/>
        <v>12</v>
      </c>
      <c r="E6" s="106"/>
      <c r="F6" s="106"/>
      <c r="G6" s="106"/>
      <c r="H6" s="34">
        <f>E总成本费用估算表!F3/D6</f>
        <v>0.241333333333333</v>
      </c>
      <c r="I6" s="34">
        <f>E总成本费用估算表!G3/D6</f>
        <v>0.301666666666667</v>
      </c>
      <c r="J6" s="34">
        <f>E总成本费用估算表!H3/D6</f>
        <v>0.301666666666667</v>
      </c>
    </row>
    <row r="7" s="50" customFormat="1" customHeight="1" spans="1:10">
      <c r="A7" s="7" t="s">
        <v>170</v>
      </c>
      <c r="B7" s="7" t="s">
        <v>171</v>
      </c>
      <c r="C7" s="20">
        <v>15</v>
      </c>
      <c r="D7" s="7">
        <f t="shared" si="0"/>
        <v>24</v>
      </c>
      <c r="E7" s="106"/>
      <c r="F7" s="106"/>
      <c r="G7" s="106"/>
      <c r="H7" s="34">
        <f>E总成本费用估算表!F4/D7</f>
        <v>0.176666666666667</v>
      </c>
      <c r="I7" s="34">
        <f>E总成本费用估算表!G4/D7</f>
        <v>0.220833333333333</v>
      </c>
      <c r="J7" s="34">
        <f>E总成本费用估算表!H4/D7</f>
        <v>0.220833333333333</v>
      </c>
    </row>
    <row r="8" s="50" customFormat="1" customHeight="1" spans="1:10">
      <c r="A8" s="7" t="s">
        <v>172</v>
      </c>
      <c r="B8" s="7" t="s">
        <v>173</v>
      </c>
      <c r="C8" s="20">
        <v>3</v>
      </c>
      <c r="D8" s="7">
        <f t="shared" si="0"/>
        <v>120</v>
      </c>
      <c r="E8" s="106"/>
      <c r="F8" s="106"/>
      <c r="G8" s="106"/>
      <c r="H8" s="35">
        <v>0</v>
      </c>
      <c r="I8" s="35">
        <v>0</v>
      </c>
      <c r="J8" s="35">
        <v>0</v>
      </c>
    </row>
    <row r="9" s="50" customFormat="1" customHeight="1" spans="1:10">
      <c r="A9" s="7" t="s">
        <v>174</v>
      </c>
      <c r="B9" s="7" t="s">
        <v>175</v>
      </c>
      <c r="C9" s="20">
        <v>15</v>
      </c>
      <c r="D9" s="7">
        <f t="shared" si="0"/>
        <v>24</v>
      </c>
      <c r="E9" s="106"/>
      <c r="F9" s="106"/>
      <c r="G9" s="106"/>
      <c r="H9" s="34">
        <f>(E总成本费用估算表!F11-E总成本费用估算表!F10)/D9</f>
        <v>1.1735646875</v>
      </c>
      <c r="I9" s="34">
        <f>(E总成本费用估算表!G11-E总成本费用估算表!G10)/D9</f>
        <v>1.46689408333333</v>
      </c>
      <c r="J9" s="34">
        <f>(E总成本费用估算表!H11-E总成本费用估算表!H10)/D9</f>
        <v>1.46689014583333</v>
      </c>
    </row>
    <row r="10" s="50" customFormat="1" customHeight="1" spans="1:10">
      <c r="A10" s="7">
        <v>1.3</v>
      </c>
      <c r="B10" s="7" t="s">
        <v>176</v>
      </c>
      <c r="C10" s="20">
        <v>15</v>
      </c>
      <c r="D10" s="7">
        <f t="shared" si="0"/>
        <v>24</v>
      </c>
      <c r="E10" s="106"/>
      <c r="F10" s="106"/>
      <c r="G10" s="106"/>
      <c r="H10" s="34">
        <f>(E总成本费用估算表!F5+E总成本费用估算表!F7)/D10</f>
        <v>0.818231354166667</v>
      </c>
      <c r="I10" s="34">
        <f>(E总成本费用估算表!G5+E总成本费用估算表!G7)/D10</f>
        <v>1.02272741666667</v>
      </c>
      <c r="J10" s="34">
        <f>(E总成本费用估算表!H5+E总成本费用估算表!H7)/D10</f>
        <v>1.02272347916667</v>
      </c>
    </row>
    <row r="11" s="50" customFormat="1" customHeight="1" spans="1:10">
      <c r="A11" s="7">
        <v>2</v>
      </c>
      <c r="B11" s="7" t="s">
        <v>177</v>
      </c>
      <c r="C11" s="20">
        <v>3</v>
      </c>
      <c r="D11" s="7">
        <f t="shared" si="0"/>
        <v>120</v>
      </c>
      <c r="E11" s="106"/>
      <c r="F11" s="106"/>
      <c r="G11" s="106"/>
      <c r="H11" s="34">
        <f>H12</f>
        <v>0.0594666666666667</v>
      </c>
      <c r="I11" s="34">
        <f>I12</f>
        <v>0.0743333333333333</v>
      </c>
      <c r="J11" s="34">
        <f>J12</f>
        <v>0.0743333333333333</v>
      </c>
    </row>
    <row r="12" s="50" customFormat="1" customHeight="1" spans="1:10">
      <c r="A12" s="7">
        <v>2.1</v>
      </c>
      <c r="B12" s="7" t="s">
        <v>178</v>
      </c>
      <c r="C12" s="20">
        <v>3</v>
      </c>
      <c r="D12" s="7">
        <f t="shared" si="0"/>
        <v>120</v>
      </c>
      <c r="E12" s="106"/>
      <c r="F12" s="106"/>
      <c r="G12" s="106"/>
      <c r="H12" s="34">
        <f>(E总成本费用估算表!F3+E总成本费用估算表!F4)/D12</f>
        <v>0.0594666666666667</v>
      </c>
      <c r="I12" s="34">
        <f>(E总成本费用估算表!G3+E总成本费用估算表!G4)/D12</f>
        <v>0.0743333333333333</v>
      </c>
      <c r="J12" s="34">
        <f>(E总成本费用估算表!H3+E总成本费用估算表!H4)/D12</f>
        <v>0.0743333333333333</v>
      </c>
    </row>
    <row r="13" s="50" customFormat="1" customHeight="1" spans="1:10">
      <c r="A13" s="7">
        <v>3</v>
      </c>
      <c r="B13" s="7" t="s">
        <v>179</v>
      </c>
      <c r="C13" s="20">
        <v>3</v>
      </c>
      <c r="D13" s="7">
        <f t="shared" si="0"/>
        <v>120</v>
      </c>
      <c r="E13" s="106"/>
      <c r="F13" s="106"/>
      <c r="G13" s="106"/>
      <c r="H13" s="34">
        <f>H3-H11</f>
        <v>6.975329375</v>
      </c>
      <c r="I13" s="34">
        <f>I3-I11</f>
        <v>8.94223261111111</v>
      </c>
      <c r="J13" s="34">
        <f>J3-J11</f>
        <v>9.02892473611111</v>
      </c>
    </row>
    <row r="14" s="50" customFormat="1" customHeight="1" spans="1:10">
      <c r="A14" s="7">
        <v>4</v>
      </c>
      <c r="B14" s="7" t="s">
        <v>180</v>
      </c>
      <c r="C14" s="20">
        <v>3</v>
      </c>
      <c r="D14" s="7">
        <f t="shared" si="0"/>
        <v>120</v>
      </c>
      <c r="E14" s="106"/>
      <c r="F14" s="106"/>
      <c r="G14" s="106"/>
      <c r="H14" s="34">
        <f>H13</f>
        <v>6.975329375</v>
      </c>
      <c r="I14" s="34">
        <f>I13-H13</f>
        <v>1.96690323611111</v>
      </c>
      <c r="J14" s="34">
        <f>J13-I13</f>
        <v>0.086692124999999</v>
      </c>
    </row>
    <row r="15" s="50" customFormat="1" customHeight="1" spans="1:10">
      <c r="A15" s="7">
        <v>5</v>
      </c>
      <c r="B15" s="7" t="s">
        <v>181</v>
      </c>
      <c r="C15" s="20">
        <v>3</v>
      </c>
      <c r="D15" s="7">
        <f t="shared" si="0"/>
        <v>120</v>
      </c>
      <c r="E15" s="7"/>
      <c r="F15" s="34"/>
      <c r="G15" s="34"/>
      <c r="H15" s="34">
        <f>D.2项目总投资使用计划与资金筹措表!G15</f>
        <v>0</v>
      </c>
      <c r="I15" s="34">
        <f>D.2项目总投资使用计划与资金筹措表!H15</f>
        <v>0</v>
      </c>
      <c r="J15" s="34">
        <f>D.2项目总投资使用计划与资金筹措表!I15</f>
        <v>0</v>
      </c>
    </row>
    <row r="16" customHeight="1" spans="1:10">
      <c r="A16" s="28" t="s">
        <v>182</v>
      </c>
      <c r="B16" s="28"/>
      <c r="C16" s="28"/>
      <c r="D16" s="28"/>
      <c r="E16" s="28"/>
      <c r="F16" s="28"/>
      <c r="G16" s="28"/>
      <c r="H16" s="28"/>
      <c r="I16" s="28"/>
      <c r="J16" s="28"/>
    </row>
  </sheetData>
  <mergeCells count="2">
    <mergeCell ref="A1:J1"/>
    <mergeCell ref="A16:J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4" tint="-0.249977111117893"/>
  </sheetPr>
  <dimension ref="A1:H18"/>
  <sheetViews>
    <sheetView zoomScale="85" zoomScaleNormal="85" workbookViewId="0">
      <selection activeCell="G11" sqref="G11"/>
    </sheetView>
  </sheetViews>
  <sheetFormatPr defaultColWidth="8.88888888888889" defaultRowHeight="28.05" customHeight="1" outlineLevelCol="7"/>
  <cols>
    <col min="2" max="2" width="29.7777777777778" customWidth="1"/>
    <col min="3" max="3" width="14.1111111111111" customWidth="1"/>
    <col min="4" max="4" width="13.8888888888889" customWidth="1"/>
    <col min="5" max="5" width="13.5555555555556" customWidth="1"/>
    <col min="6" max="8" width="15.6666666666667"/>
  </cols>
  <sheetData>
    <row r="1" s="50" customFormat="1" customHeight="1" spans="1:8">
      <c r="A1" s="59" t="s">
        <v>183</v>
      </c>
      <c r="B1" s="59"/>
      <c r="C1" s="59"/>
      <c r="D1" s="59"/>
      <c r="E1" s="59"/>
      <c r="F1" s="59"/>
      <c r="G1" s="59"/>
      <c r="H1" s="59"/>
    </row>
    <row r="2" s="50" customFormat="1" ht="51" customHeight="1" spans="1:8">
      <c r="A2" s="2" t="s">
        <v>1</v>
      </c>
      <c r="B2" s="2" t="s">
        <v>134</v>
      </c>
      <c r="C2" s="19" t="s">
        <v>184</v>
      </c>
      <c r="D2" s="2" t="s">
        <v>185</v>
      </c>
      <c r="E2" s="2" t="s">
        <v>186</v>
      </c>
      <c r="F2" s="2" t="s">
        <v>187</v>
      </c>
      <c r="G2" s="2" t="s">
        <v>188</v>
      </c>
      <c r="H2" s="2" t="s">
        <v>189</v>
      </c>
    </row>
    <row r="3" s="50" customFormat="1" customHeight="1" spans="1:8">
      <c r="A3" s="7">
        <v>1</v>
      </c>
      <c r="B3" s="7" t="s">
        <v>190</v>
      </c>
      <c r="C3" s="100"/>
      <c r="D3" s="101"/>
      <c r="E3" s="101"/>
      <c r="F3" s="34">
        <f>'E.1.1项目运营费用(不含税）'!K7+'E.1.1项目运营费用(不含税）'!K13</f>
        <v>2.896</v>
      </c>
      <c r="G3" s="34">
        <f>'E.1.1项目运营费用(不含税）'!L7+'E.1.1项目运营费用(不含税）'!L13</f>
        <v>3.62</v>
      </c>
      <c r="H3" s="34">
        <f>'E.1.1项目运营费用(不含税）'!M7+'E.1.1项目运营费用(不含税）'!M13</f>
        <v>3.62</v>
      </c>
    </row>
    <row r="4" s="50" customFormat="1" customHeight="1" spans="1:8">
      <c r="A4" s="7">
        <v>2</v>
      </c>
      <c r="B4" s="7" t="s">
        <v>191</v>
      </c>
      <c r="C4" s="100"/>
      <c r="D4" s="101"/>
      <c r="E4" s="101"/>
      <c r="F4" s="34">
        <f>'E.1.1项目运营费用(不含税）'!K8+'E.1.1项目运营费用(不含税）'!K9+'E.1.1项目运营费用(不含税）'!K10</f>
        <v>4.24</v>
      </c>
      <c r="G4" s="34">
        <f>'E.1.1项目运营费用(不含税）'!L8+'E.1.1项目运营费用(不含税）'!L9+'E.1.1项目运营费用(不含税）'!L10</f>
        <v>5.3</v>
      </c>
      <c r="H4" s="34">
        <f>'E.1.1项目运营费用(不含税）'!M8+'E.1.1项目运营费用(不含税）'!M9+'E.1.1项目运营费用(不含税）'!M10</f>
        <v>5.3</v>
      </c>
    </row>
    <row r="5" s="50" customFormat="1" customHeight="1" spans="1:8">
      <c r="A5" s="7">
        <v>3</v>
      </c>
      <c r="B5" s="7" t="s">
        <v>192</v>
      </c>
      <c r="C5" s="100"/>
      <c r="D5" s="101"/>
      <c r="E5" s="101"/>
      <c r="F5" s="34">
        <f>'E.1.1项目运营费用(不含税）'!K16</f>
        <v>1.6</v>
      </c>
      <c r="G5" s="34">
        <f>'E.1.1项目运营费用(不含税）'!L16</f>
        <v>2</v>
      </c>
      <c r="H5" s="34">
        <f>'E.1.1项目运营费用(不含税）'!M16</f>
        <v>2</v>
      </c>
    </row>
    <row r="6" s="50" customFormat="1" customHeight="1" spans="1:8">
      <c r="A6" s="7">
        <v>4</v>
      </c>
      <c r="B6" s="7" t="s">
        <v>193</v>
      </c>
      <c r="C6" s="100"/>
      <c r="D6" s="101"/>
      <c r="E6" s="101"/>
      <c r="F6" s="34">
        <f>'E.1.1项目运营费用(不含税）'!K5+'E.1.1项目运营费用(不含税）'!K12</f>
        <v>2.896</v>
      </c>
      <c r="G6" s="34">
        <f>'E.1.1项目运营费用(不含税）'!L5+'E.1.1项目运营费用(不含税）'!L12</f>
        <v>3.62</v>
      </c>
      <c r="H6" s="34">
        <f>'E.1.1项目运营费用(不含税）'!M5+'E.1.1项目运营费用(不含税）'!M12</f>
        <v>3.62</v>
      </c>
    </row>
    <row r="7" s="50" customFormat="1" customHeight="1" spans="1:8">
      <c r="A7" s="7">
        <v>5</v>
      </c>
      <c r="B7" s="7" t="s">
        <v>194</v>
      </c>
      <c r="C7" s="100"/>
      <c r="D7" s="101"/>
      <c r="E7" s="101"/>
      <c r="F7" s="37">
        <f t="shared" ref="F7:H7" si="0">F8+F9+F10</f>
        <v>18.0375525</v>
      </c>
      <c r="G7" s="37">
        <f t="shared" si="0"/>
        <v>22.545458</v>
      </c>
      <c r="H7" s="37">
        <f t="shared" si="0"/>
        <v>22.5453635</v>
      </c>
    </row>
    <row r="8" s="50" customFormat="1" customHeight="1" spans="1:8">
      <c r="A8" s="7">
        <v>5.1</v>
      </c>
      <c r="B8" s="7" t="s">
        <v>195</v>
      </c>
      <c r="C8" s="100"/>
      <c r="D8" s="101"/>
      <c r="E8" s="101"/>
      <c r="F8" s="37">
        <f>'E.1.1项目运营费用(不含税）'!K4+'E.1.1项目运营费用(不含税）'!K14</f>
        <v>2.96</v>
      </c>
      <c r="G8" s="37">
        <f>'E.1.1项目运营费用(不含税）'!L4+'E.1.1项目运营费用(不含税）'!L14</f>
        <v>3.7</v>
      </c>
      <c r="H8" s="37">
        <f>'E.1.1项目运营费用(不含税）'!M4+'E.1.1项目运营费用(不含税）'!M14</f>
        <v>3.7</v>
      </c>
    </row>
    <row r="9" s="50" customFormat="1" customHeight="1" spans="1:8">
      <c r="A9" s="7">
        <v>5.2</v>
      </c>
      <c r="B9" s="7" t="s">
        <v>196</v>
      </c>
      <c r="C9" s="100"/>
      <c r="D9" s="101"/>
      <c r="E9" s="101"/>
      <c r="F9" s="34">
        <f>'E.1.1项目运营费用(不含税）'!K6+'E.1.1项目运营费用(不含税）'!K11+'E.1.1项目运营费用(不含税）'!K17+'E.1.1项目运营费用(不含税）'!K18+'E.1.1项目运营费用(不含税）'!K19+'E.1.1项目运营费用(不含税）'!K20+'E.1.1项目运营费用(不含税）'!K21+'E.1.1项目运营费用(不含税）'!K22+'E.1.1项目运营费用(不含税）'!K23+c借款还本付息计划表!G26+c借款还本付息计划表!G27</f>
        <v>13.5735525</v>
      </c>
      <c r="G9" s="34">
        <f>'E.1.1项目运营费用(不含税）'!L6+'E.1.1项目运营费用(不含税）'!L11+'E.1.1项目运营费用(不含税）'!L17+'E.1.1项目运营费用(不含税）'!L18+'E.1.1项目运营费用(不含税）'!L19+'E.1.1项目运营费用(不含税）'!L20+'E.1.1项目运营费用(不含税）'!L21+'E.1.1项目运营费用(不含税）'!L22+'E.1.1项目运营费用(不含税）'!L23+c借款还本付息计划表!H26+c借款还本付息计划表!H27</f>
        <v>16.965458</v>
      </c>
      <c r="H9" s="34">
        <f>'E.1.1项目运营费用(不含税）'!M6+'E.1.1项目运营费用(不含税）'!M11+'E.1.1项目运营费用(不含税）'!M17+'E.1.1项目运营费用(不含税）'!M18+'E.1.1项目运营费用(不含税）'!M19+'E.1.1项目运营费用(不含税）'!M20+'E.1.1项目运营费用(不含税）'!M21+'E.1.1项目运营费用(不含税）'!M22+'E.1.1项目运营费用(不含税）'!M23+c借款还本付息计划表!I26+c借款还本付息计划表!I27</f>
        <v>16.9653635</v>
      </c>
    </row>
    <row r="10" s="50" customFormat="1" customHeight="1" spans="1:8">
      <c r="A10" s="7">
        <v>5.3</v>
      </c>
      <c r="B10" s="7" t="s">
        <v>197</v>
      </c>
      <c r="C10" s="100"/>
      <c r="D10" s="101"/>
      <c r="E10" s="101"/>
      <c r="F10" s="34">
        <f>'E.1.1项目运营费用(不含税）'!K15</f>
        <v>1.504</v>
      </c>
      <c r="G10" s="34">
        <f>'E.1.1项目运营费用(不含税）'!L15</f>
        <v>1.88</v>
      </c>
      <c r="H10" s="34">
        <f>'E.1.1项目运营费用(不含税）'!M15</f>
        <v>1.88</v>
      </c>
    </row>
    <row r="11" s="50" customFormat="1" customHeight="1" spans="1:8">
      <c r="A11" s="7">
        <v>6</v>
      </c>
      <c r="B11" s="7" t="s">
        <v>198</v>
      </c>
      <c r="C11" s="100"/>
      <c r="D11" s="101"/>
      <c r="E11" s="101"/>
      <c r="F11" s="34">
        <f t="shared" ref="F11:H11" si="1">F3+F4+F5+F6+F7</f>
        <v>29.6695525</v>
      </c>
      <c r="G11" s="34">
        <f t="shared" si="1"/>
        <v>37.085458</v>
      </c>
      <c r="H11" s="34">
        <f t="shared" si="1"/>
        <v>37.0853635</v>
      </c>
    </row>
    <row r="12" s="50" customFormat="1" customHeight="1" spans="1:8">
      <c r="A12" s="7">
        <v>7</v>
      </c>
      <c r="B12" s="7" t="s">
        <v>199</v>
      </c>
      <c r="C12" s="102"/>
      <c r="D12" s="103"/>
      <c r="E12" s="103"/>
      <c r="F12" s="37">
        <f>E.2固定资产折旧费估算表!E4</f>
        <v>89.6690288968869</v>
      </c>
      <c r="G12" s="37">
        <f>E.2固定资产折旧费估算表!E4</f>
        <v>89.6690288968869</v>
      </c>
      <c r="H12" s="37">
        <f>E.2固定资产折旧费估算表!E4</f>
        <v>89.6690288968869</v>
      </c>
    </row>
    <row r="13" s="50" customFormat="1" customHeight="1" spans="1:8">
      <c r="A13" s="7">
        <v>8</v>
      </c>
      <c r="B13" s="7" t="s">
        <v>200</v>
      </c>
      <c r="C13" s="102"/>
      <c r="D13" s="103"/>
      <c r="E13" s="103"/>
      <c r="F13" s="37">
        <f>E.3无形资产和其他资产摊销费估算表!E11</f>
        <v>0.957516068347526</v>
      </c>
      <c r="G13" s="37">
        <f>E.3无形资产和其他资产摊销费估算表!E11</f>
        <v>0.957516068347526</v>
      </c>
      <c r="H13" s="37">
        <f>E.3无形资产和其他资产摊销费估算表!E11</f>
        <v>0.957516068347526</v>
      </c>
    </row>
    <row r="14" s="50" customFormat="1" customHeight="1" spans="1:8">
      <c r="A14" s="7">
        <v>9</v>
      </c>
      <c r="B14" s="7" t="s">
        <v>201</v>
      </c>
      <c r="C14" s="104"/>
      <c r="D14" s="101"/>
      <c r="E14" s="101"/>
      <c r="F14" s="34">
        <f>c借款还本付息计划表!G24</f>
        <v>11.05</v>
      </c>
      <c r="G14" s="34">
        <f>c借款还本付息计划表!K24</f>
        <v>5.38</v>
      </c>
      <c r="H14" s="34">
        <f>c借款还本付息计划表!L24</f>
        <v>5.38</v>
      </c>
    </row>
    <row r="15" s="50" customFormat="1" customHeight="1" spans="1:8">
      <c r="A15" s="7">
        <v>10</v>
      </c>
      <c r="B15" s="7" t="s">
        <v>202</v>
      </c>
      <c r="C15" s="100"/>
      <c r="D15" s="101"/>
      <c r="E15" s="101"/>
      <c r="F15" s="34">
        <f t="shared" ref="F15:H15" si="2">F11+F12+F13+F14</f>
        <v>131.346097465234</v>
      </c>
      <c r="G15" s="34">
        <f t="shared" si="2"/>
        <v>133.092002965234</v>
      </c>
      <c r="H15" s="34">
        <f t="shared" si="2"/>
        <v>133.091908465234</v>
      </c>
    </row>
    <row r="16" s="50" customFormat="1" customHeight="1" spans="1:8">
      <c r="A16" s="7">
        <v>10.1</v>
      </c>
      <c r="B16" s="7" t="s">
        <v>203</v>
      </c>
      <c r="C16" s="100"/>
      <c r="D16" s="101"/>
      <c r="E16" s="101"/>
      <c r="F16" s="34">
        <f t="shared" ref="F16:H16" si="3">F15-F17</f>
        <v>121.106097465234</v>
      </c>
      <c r="G16" s="34">
        <f t="shared" si="3"/>
        <v>120.292002965234</v>
      </c>
      <c r="H16" s="34">
        <f t="shared" si="3"/>
        <v>120.291908465234</v>
      </c>
    </row>
    <row r="17" s="50" customFormat="1" customHeight="1" spans="1:8">
      <c r="A17" s="7">
        <v>10.2</v>
      </c>
      <c r="B17" s="7" t="s">
        <v>204</v>
      </c>
      <c r="C17" s="100"/>
      <c r="D17" s="101"/>
      <c r="E17" s="101"/>
      <c r="F17" s="34">
        <f t="shared" ref="F17:H17" si="4">F3+F4+F5+F10</f>
        <v>10.24</v>
      </c>
      <c r="G17" s="34">
        <f t="shared" si="4"/>
        <v>12.8</v>
      </c>
      <c r="H17" s="34">
        <f t="shared" si="4"/>
        <v>12.8</v>
      </c>
    </row>
    <row r="18" customHeight="1" spans="3:3">
      <c r="C18" s="105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A财务假设</vt:lpstr>
      <vt:lpstr>B项目信息</vt:lpstr>
      <vt:lpstr>C.1项目融资信息</vt:lpstr>
      <vt:lpstr>C.2项目每年借款信息</vt:lpstr>
      <vt:lpstr>D.1建设投资</vt:lpstr>
      <vt:lpstr>D.2项目总投资使用计划与资金筹措表</vt:lpstr>
      <vt:lpstr>D.3建设投资计划分年计划表</vt:lpstr>
      <vt:lpstr>D.4流动资金估算表</vt:lpstr>
      <vt:lpstr>E总成本费用估算表</vt:lpstr>
      <vt:lpstr>E.1项目运营费用</vt:lpstr>
      <vt:lpstr>E.1.1项目运营费用(不含税）</vt:lpstr>
      <vt:lpstr>E.2固定资产折旧费估算表</vt:lpstr>
      <vt:lpstr>E.3无形资产和其他资产摊销费估算表</vt:lpstr>
      <vt:lpstr>E.4建设投资税后金额表</vt:lpstr>
      <vt:lpstr>F项目收入</vt:lpstr>
      <vt:lpstr>F.1项目单项收入信息</vt:lpstr>
      <vt:lpstr>G.税金及附加测算表</vt:lpstr>
      <vt:lpstr>G.1进项增值税率-建设投资</vt:lpstr>
      <vt:lpstr>G.2进项增值税率-运营成本</vt:lpstr>
      <vt:lpstr>G.3销项增值税率</vt:lpstr>
      <vt:lpstr>a.1财务现金流量表</vt:lpstr>
      <vt:lpstr>a.2项目资本金现金流量表</vt:lpstr>
      <vt:lpstr>b利润与利润分配表（损益和利润分配表）</vt:lpstr>
      <vt:lpstr>c借款还本付息计划表</vt:lpstr>
      <vt:lpstr>d财务计划现金流量表</vt:lpstr>
      <vt:lpstr>e资产负债表</vt:lpstr>
      <vt:lpstr>Ⅰ项目投资估算构成表</vt:lpstr>
      <vt:lpstr>Ⅱ项目分年度资金筹措计划表</vt:lpstr>
      <vt:lpstr>Ⅲ项目分年度收入合计表</vt:lpstr>
      <vt:lpstr>Ⅳ项目分年度成本明细表</vt:lpstr>
      <vt:lpstr>Ⅴ项目分年度收益表</vt:lpstr>
      <vt:lpstr>Ⅵ专项债券应付本息情况表</vt:lpstr>
      <vt:lpstr>Ⅶ专项债券资金收益与融资平衡情况表</vt:lpstr>
      <vt:lpstr>VIII债券资金覆盖率压力测试表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谢玉君</dc:creator>
  <cp:lastModifiedBy>Gen.</cp:lastModifiedBy>
  <dcterms:created xsi:type="dcterms:W3CDTF">2025-07-25T07:38:00Z</dcterms:created>
  <dcterms:modified xsi:type="dcterms:W3CDTF">2025-08-14T02:15:02Z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4C74E91C48904A7F96E0B7C4C218ED62</vt:lpwstr>
  </property>
  <property fmtid="{D5CDD505-2E9C-101B-9397-08002B2CF9AE}" pid="3" name="KSOProductBuildVer">
    <vt:lpwstr>2052-11.8.2.11978</vt:lpwstr>
  </property>
</Properties>
</file>