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MAKE YOUR COPY" sheetId="2" r:id="rId6"/>
    <sheet state="visible" name="P Test on Air Blower " sheetId="3" r:id="rId7"/>
    <sheet state="visible" name="3 CYL 4 STR P" sheetId="4" r:id="rId8"/>
    <sheet state="visible" name="HB of 3 CYL 4 STR P" sheetId="5" r:id="rId9"/>
    <sheet state="visible" name="1 CYL 4 STR D" sheetId="6" r:id="rId10"/>
    <sheet state="visible" name="HB of 1 CYL 4 STR D" sheetId="7" r:id="rId11"/>
    <sheet state="visible" name="4 CYL 4 STR D" sheetId="8" r:id="rId12"/>
    <sheet state="visible" name="HB of 4 CYL 4 STR D" sheetId="9" r:id="rId13"/>
    <sheet state="visible" name="P Test on SS Compr" sheetId="10" r:id="rId14"/>
    <sheet state="visible" name="P Test on MS Compr" sheetId="11" r:id="rId15"/>
    <sheet state="visible" name="MORSE TEST-3 CYL 4 STR P" sheetId="12" r:id="rId16"/>
  </sheets>
  <definedNames/>
  <calcPr/>
</workbook>
</file>

<file path=xl/sharedStrings.xml><?xml version="1.0" encoding="utf-8"?>
<sst xmlns="http://schemas.openxmlformats.org/spreadsheetml/2006/main" count="419" uniqueCount="196">
  <si>
    <t>SHEET IS READY NOW</t>
  </si>
  <si>
    <t>CLICK HERE &amp; FOLLOW INSTRUCTIONS TO MAKE YOUR OWN COPY</t>
  </si>
  <si>
    <t>CUSAT | B.TECH | MECHANICAL ENGINEERING | THERMAL ENGINEERING LABORATORY | EXPERIMENTS &amp; CALCULATIONS</t>
  </si>
  <si>
    <t>Note:</t>
  </si>
  <si>
    <t>Enter only the values (white boxes) of respective observation and rest of the calculations are done automatically based on the equations.</t>
  </si>
  <si>
    <t>Expt. No.:</t>
  </si>
  <si>
    <t>Experiment Name</t>
  </si>
  <si>
    <t>Sheet Link</t>
  </si>
  <si>
    <t>Peformance Study of Blower</t>
  </si>
  <si>
    <t>Click Here</t>
  </si>
  <si>
    <t>Load Test on 3 Cyl 4 Str Petrol Engine</t>
  </si>
  <si>
    <t>Heat Balance on 3 Cyl 4 Str P Engine</t>
  </si>
  <si>
    <t>Load Test on 1 Cyl 4 Str Diesel Engine</t>
  </si>
  <si>
    <t>Heat Balance on 1 Cyl 4 Str D Engine</t>
  </si>
  <si>
    <t>Load Test on 4 Cyl 4 Str Diesel Engine</t>
  </si>
  <si>
    <t>Heat Balance on 4 Cyl 4 Str D Engine</t>
  </si>
  <si>
    <t>Performance Study of Single Stage Compressor</t>
  </si>
  <si>
    <t>Performance Study of Multi Stage Compressor</t>
  </si>
  <si>
    <t>Morse Test on 3 Cyl 4 Str Petrol Engine</t>
  </si>
  <si>
    <t>Sheet created by MESAC COMMITTEE 2020-21</t>
  </si>
  <si>
    <t>Changes Log:</t>
  </si>
  <si>
    <t>Date</t>
  </si>
  <si>
    <t>Sheet Name</t>
  </si>
  <si>
    <t>Detail</t>
  </si>
  <si>
    <t>For Mobile Users</t>
  </si>
  <si>
    <t>&lt;-- Back to Index</t>
  </si>
  <si>
    <t xml:space="preserve">Performance Test on Air Blower </t>
  </si>
  <si>
    <t>OBSERVATIONS AND CALCULATIONS</t>
  </si>
  <si>
    <t>Sl. No.</t>
  </si>
  <si>
    <t>Valve
Position</t>
  </si>
  <si>
    <t xml:space="preserve">Pitot Tube 1 </t>
  </si>
  <si>
    <t>Venturi meter</t>
  </si>
  <si>
    <t>Time for 5 rev of Energy meter disc (s)</t>
  </si>
  <si>
    <t>Speed N (rpm)</t>
  </si>
  <si>
    <t>Hsta (m of air)</t>
  </si>
  <si>
    <t>Hf (m of air)</t>
  </si>
  <si>
    <t>Htot (m of air)</t>
  </si>
  <si>
    <t>h1              (cm)</t>
  </si>
  <si>
    <t>h2                  (cm)</t>
  </si>
  <si>
    <t>hstatic           (mm)</t>
  </si>
  <si>
    <t>hf            (mm)</t>
  </si>
  <si>
    <t>Blower Input Power IPb
(kW)</t>
  </si>
  <si>
    <t>Blower OUTPUT Power P
(kW)</t>
  </si>
  <si>
    <t>Volume Flow Rate Qa (m^3/s)</t>
  </si>
  <si>
    <t>Motor Input Power               IPm                   (kW)</t>
  </si>
  <si>
    <t>Overall efficiency ηo                                     (%)</t>
  </si>
  <si>
    <t>Blower Efficiency ηb         (%)</t>
  </si>
  <si>
    <t>K =</t>
  </si>
  <si>
    <t>x10^-3</t>
  </si>
  <si>
    <t xml:space="preserve">A1 = </t>
  </si>
  <si>
    <t>x10^-3 m2</t>
  </si>
  <si>
    <t>A2 =</t>
  </si>
  <si>
    <t>x10^-4 m3</t>
  </si>
  <si>
    <t>AVG</t>
  </si>
  <si>
    <t>CURVES</t>
  </si>
  <si>
    <t>LOAD TEST ON THREE CYLINDER 4 STROKE PETROL ENGINE</t>
  </si>
  <si>
    <t>OBSERVATIONS</t>
  </si>
  <si>
    <t>CALCULATIONS</t>
  </si>
  <si>
    <t>Load                 W                   (kg)</t>
  </si>
  <si>
    <t>Speed            N                 (rpm)</t>
  </si>
  <si>
    <t>Manometer Reading</t>
  </si>
  <si>
    <t>Head in m air          H          (m)</t>
  </si>
  <si>
    <t>Actual Volume           Va (m3/s)</t>
  </si>
  <si>
    <t>Swept Volume                Vs (m3/s)</t>
  </si>
  <si>
    <t>Time for 10 cc of fuel collected
t
(s)</t>
  </si>
  <si>
    <t>mfc (kg/hr)</t>
  </si>
  <si>
    <t>Brake Power               BP                   (kW)</t>
  </si>
  <si>
    <t>sfc (kg/kWhr)</t>
  </si>
  <si>
    <t>EFFICIENCY</t>
  </si>
  <si>
    <t>h1              (mm)</t>
  </si>
  <si>
    <t>h2                  (mm)</t>
  </si>
  <si>
    <t>h1-h2 (mm)</t>
  </si>
  <si>
    <t>Brake Thermal efficiency ηbth                                     (%)</t>
  </si>
  <si>
    <t>Volumetric Efficiency ηv         (%)</t>
  </si>
  <si>
    <t>Mechanical Efficiency ηmech  (%)</t>
  </si>
  <si>
    <t>Orifice dia</t>
  </si>
  <si>
    <t>mm</t>
  </si>
  <si>
    <t>Area of orifice</t>
  </si>
  <si>
    <t>HEAT BALANCE TEST ON THREE CYLINDER 4 STROKE PETROL ENGINE</t>
  </si>
  <si>
    <t>Load Applied</t>
  </si>
  <si>
    <t>Flow rate of cooling water to calorimeter (Rt2)      cc/s</t>
  </si>
  <si>
    <t>Flow rate of cooling water to engine jacket           (Rt1)      cc/s</t>
  </si>
  <si>
    <t>Thermocouple Reading</t>
  </si>
  <si>
    <t>Time for consuming 10cc fuel              ' t '                       sec</t>
  </si>
  <si>
    <t>W          (kg)</t>
  </si>
  <si>
    <t>S        (kg)</t>
  </si>
  <si>
    <t>W-S           (kg)</t>
  </si>
  <si>
    <t>T1              (deg C)</t>
  </si>
  <si>
    <t>T2              (deg C)</t>
  </si>
  <si>
    <t>T3              (deg C)</t>
  </si>
  <si>
    <t>T4              (deg C)</t>
  </si>
  <si>
    <t>T5              (deg C)</t>
  </si>
  <si>
    <t>Heat Input, Qin        KJ/min</t>
  </si>
  <si>
    <t>Heat Equivalent to Brake Power, Qbp</t>
  </si>
  <si>
    <t>Mass flow Rate, Mw1</t>
  </si>
  <si>
    <t>Heat Carried away by cooling water, Qw</t>
  </si>
  <si>
    <t>Mass flow Rate, Mw2</t>
  </si>
  <si>
    <t>Heat Carried away by exhaust gas, Qe</t>
  </si>
  <si>
    <t>Unaccounted heat / heat due to radiation,  Qun</t>
  </si>
  <si>
    <t>Ambient Temperature</t>
  </si>
  <si>
    <t>Ta</t>
  </si>
  <si>
    <t>As per reading 3</t>
  </si>
  <si>
    <t>Particulars</t>
  </si>
  <si>
    <t>Heat Content (KJ/min)</t>
  </si>
  <si>
    <t>%</t>
  </si>
  <si>
    <t>Set 1</t>
  </si>
  <si>
    <t>Set 2</t>
  </si>
  <si>
    <t>Set 3</t>
  </si>
  <si>
    <t>Set 4</t>
  </si>
  <si>
    <t>Set 5</t>
  </si>
  <si>
    <t>Set 6</t>
  </si>
  <si>
    <t>Heat Input, A</t>
  </si>
  <si>
    <t>Load (Kg)</t>
  </si>
  <si>
    <t>Heat of BP, B</t>
  </si>
  <si>
    <t>B/A</t>
  </si>
  <si>
    <t>Heat of cooling water, C</t>
  </si>
  <si>
    <t>C/A</t>
  </si>
  <si>
    <t>Heat of Exhaust gases, D</t>
  </si>
  <si>
    <t>D/A</t>
  </si>
  <si>
    <t>Heat Unaccounted, E</t>
  </si>
  <si>
    <t>E/A</t>
  </si>
  <si>
    <t>CURVE: Load v/s percent heat equivalent</t>
  </si>
  <si>
    <t>Qbp</t>
  </si>
  <si>
    <t>Qbp+Qw</t>
  </si>
  <si>
    <t>Qbp+Qw+Qe</t>
  </si>
  <si>
    <t>Qbp+Qw+Qe+Qun</t>
  </si>
  <si>
    <t>PERFORMANCE TEST ON SINGLE CYLINDER 4 STROKE DIESEL ENGINE</t>
  </si>
  <si>
    <t>Head of air H (m)</t>
  </si>
  <si>
    <t>Actual Volume Va (m3/s)</t>
  </si>
  <si>
    <t>Swept Volume Vs (m3/s)</t>
  </si>
  <si>
    <t>Time for 10 cc of fuel collected
t
(s)</t>
  </si>
  <si>
    <t>HEAT BALANCE TEST ON SINGLE CYLINDER 4 STROKE DIESEL ENGINE</t>
  </si>
  <si>
    <t>Flow rate of cooling water to engine jacket (Rt1)      cc/s</t>
  </si>
  <si>
    <t>Flow rate of cooling water to caloriemeter</t>
  </si>
  <si>
    <t>Time for 100 ml            sec</t>
  </si>
  <si>
    <t>(Rt2)      cc/s</t>
  </si>
  <si>
    <t>PERFORMANCE TEST ON FOUR CYLINDER 4 STROKE DIESEL ENGINE</t>
  </si>
  <si>
    <t>Load (kW)</t>
  </si>
  <si>
    <t>Voltage     V             (V)</t>
  </si>
  <si>
    <t>Current              I                  (A)</t>
  </si>
  <si>
    <t>Speed (rpm)</t>
  </si>
  <si>
    <t>HEAT BALANCE TEST ON FOUR CYLINDER 4 STROKE DIESEL ENGINE</t>
  </si>
  <si>
    <t>V                                           (V)</t>
  </si>
  <si>
    <t>I                                     (A)</t>
  </si>
  <si>
    <t>Load                                          R                                       (ohm)</t>
  </si>
  <si>
    <t xml:space="preserve">Flow rate of cooling water to engine jacket </t>
  </si>
  <si>
    <t>Time for 1000 ml            sec</t>
  </si>
  <si>
    <t>(Rt1)      cc/s</t>
  </si>
  <si>
    <t>PERFORMANCE TEST ON MULTI-STAGE AIR COMPRESSOR</t>
  </si>
  <si>
    <t>Compressor Speed                 Nc                   (rpm)</t>
  </si>
  <si>
    <t>Inlet Pressure of Compressor            P1                  (bar)</t>
  </si>
  <si>
    <t>Outlet Pressure of Compressor, P2</t>
  </si>
  <si>
    <t>Delivery Pressure</t>
  </si>
  <si>
    <t>Time for 5 pulses of Energy meter disc (s)</t>
  </si>
  <si>
    <t>T1          (K)</t>
  </si>
  <si>
    <t>T2          (K)</t>
  </si>
  <si>
    <t>Motor Speed                (rpm)</t>
  </si>
  <si>
    <t>Load Cell Reading                (kg)</t>
  </si>
  <si>
    <t xml:space="preserve">Compression Ratio              (R)  </t>
  </si>
  <si>
    <t>Actual Volume of Air Compressed
Qa
(x10^(-3) m3/s)</t>
  </si>
  <si>
    <t>Theoretical Volume of Air Compressed
Qth
(x10^(-3) m3/s)</t>
  </si>
  <si>
    <t>Isothermal Workdone               WD                   (kW)</t>
  </si>
  <si>
    <t>Input Power</t>
  </si>
  <si>
    <t>Output Power Motor               BPm                   (kW)</t>
  </si>
  <si>
    <t>Gauge           (kg/cm2)</t>
  </si>
  <si>
    <t>Absolute         (bar)</t>
  </si>
  <si>
    <t>ha       (m of air)</t>
  </si>
  <si>
    <t>Motor                IPm                   (kW)</t>
  </si>
  <si>
    <t>Compressor                IPc                   (kW)</t>
  </si>
  <si>
    <t>Iso-thermal efficiency ηiso                                     (%)</t>
  </si>
  <si>
    <t>Volumetric Efficiency ηv                     (%)</t>
  </si>
  <si>
    <t>Overall Efficiency                     ηo                     (%)</t>
  </si>
  <si>
    <t>MAX</t>
  </si>
  <si>
    <t>Compressor Speed                 W                   (rom)</t>
  </si>
  <si>
    <t>Time for 1 rev of Energy meter disc (s)</t>
  </si>
  <si>
    <t>MORSE TEST ON THREE CYLINDER 4 STROKE PETROL ENGINE</t>
  </si>
  <si>
    <t>Running cylinder nos.</t>
  </si>
  <si>
    <t>Cut-off cylinder number</t>
  </si>
  <si>
    <t>Load                       W              (kg)</t>
  </si>
  <si>
    <t>Engine speed                   N                         (rpm)</t>
  </si>
  <si>
    <t>Brake Power of running cylinder                   (kW)</t>
  </si>
  <si>
    <t>Indicated power of Cut-off cylinder                  (kW)</t>
  </si>
  <si>
    <t>1, 2 &amp; 3</t>
  </si>
  <si>
    <t>2 &amp; 3</t>
  </si>
  <si>
    <t>1 &amp; 3</t>
  </si>
  <si>
    <t>1 &amp; 2</t>
  </si>
  <si>
    <t>TOT</t>
  </si>
  <si>
    <t>IP1</t>
  </si>
  <si>
    <t>IP2</t>
  </si>
  <si>
    <t>IP3</t>
  </si>
  <si>
    <t>IPtot</t>
  </si>
  <si>
    <t>mfc</t>
  </si>
  <si>
    <t>BPtot</t>
  </si>
  <si>
    <t>ηbth</t>
  </si>
  <si>
    <t>FP</t>
  </si>
  <si>
    <t>ηmech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</si>
</sst>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"/>
    <numFmt numFmtId="165" formatCode="0.0"/>
    <numFmt numFmtId="166" formatCode="0.000"/>
    <numFmt numFmtId="167" formatCode="0.000000"/>
    <numFmt numFmtId="168" formatCode="0.00000"/>
  </numFmts>
  <fonts count="25">
    <font>
      <sz val="10.0"/>
      <color rgb="FF000000"/>
      <name val="Arial"/>
      <scheme val="minor"/>
    </font>
    <font>
      <sz val="11.0"/>
      <color theme="1"/>
      <name val="Calibri"/>
    </font>
    <font>
      <b/>
      <sz val="24.0"/>
      <color rgb="FFFFFFFF"/>
      <name val="Calibri"/>
    </font>
    <font/>
    <font>
      <b/>
      <u/>
      <sz val="16.0"/>
      <color rgb="FF1155CC"/>
      <name val="Calibri"/>
    </font>
    <font>
      <b/>
      <sz val="16.0"/>
      <color theme="1"/>
      <name val="Calibri"/>
    </font>
    <font>
      <sz val="12.0"/>
      <color theme="1"/>
      <name val="Calibri"/>
    </font>
    <font>
      <b/>
      <sz val="12.0"/>
      <color rgb="FFFF0000"/>
      <name val="Calibri"/>
    </font>
    <font>
      <color theme="1"/>
      <name val="Arial"/>
      <scheme val="minor"/>
    </font>
    <font>
      <b/>
      <sz val="12.0"/>
      <color theme="1"/>
      <name val="Comfortaa"/>
    </font>
    <font>
      <sz val="11.0"/>
      <color theme="1"/>
      <name val="Comfortaa"/>
    </font>
    <font>
      <u/>
      <sz val="11.0"/>
      <color rgb="FF1155CC"/>
      <name val="Comfortaa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8.0"/>
      <color rgb="FFFFFFFF"/>
      <name val="Arial"/>
      <scheme val="minor"/>
    </font>
    <font>
      <u/>
      <color rgb="FF1155CC"/>
    </font>
    <font>
      <sz val="14.0"/>
      <color rgb="FFFFFFFF"/>
      <name val="Arial"/>
    </font>
    <font>
      <sz val="11.0"/>
      <color rgb="FF000000"/>
      <name val="Calibri"/>
    </font>
    <font>
      <sz val="11.0"/>
      <color rgb="FF000000"/>
      <name val="Arial"/>
    </font>
    <font>
      <sz val="11.0"/>
      <color rgb="FF000000"/>
      <name val="Inconsolata"/>
    </font>
    <font>
      <sz val="8.0"/>
      <color rgb="FF000000"/>
      <name val="Arial"/>
    </font>
    <font>
      <color rgb="FFEFEFEF"/>
      <name val="Arial"/>
      <scheme val="minor"/>
    </font>
    <font>
      <sz val="9.0"/>
      <color rgb="FF000000"/>
      <name val="Arial"/>
    </font>
    <font>
      <sz val="14.0"/>
      <color rgb="FFFFFFFF"/>
      <name val="&quot;Google Sans&quot;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8EEE8"/>
        <bgColor rgb="FFE8EEE8"/>
      </patternFill>
    </fill>
    <fill>
      <patternFill patternType="solid">
        <fgColor rgb="FF274E13"/>
        <bgColor rgb="FF274E1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</fills>
  <borders count="2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4" fontId="4" numFmtId="0" xfId="0" applyAlignment="1" applyBorder="1" applyFill="1" applyFont="1">
      <alignment horizontal="center" readingOrder="0"/>
    </xf>
    <xf borderId="1" fillId="2" fontId="1" numFmtId="0" xfId="0" applyBorder="1" applyFont="1"/>
    <xf borderId="1" fillId="0" fontId="1" numFmtId="0" xfId="0" applyAlignment="1" applyBorder="1" applyFont="1">
      <alignment vertical="bottom"/>
    </xf>
    <xf borderId="5" fillId="5" fontId="5" numFmtId="0" xfId="0" applyAlignment="1" applyBorder="1" applyFill="1" applyFont="1">
      <alignment horizontal="center" readingOrder="0" shrinkToFit="0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" fillId="0" fontId="6" numFmtId="0" xfId="0" applyAlignment="1" applyBorder="1" applyFont="1">
      <alignment horizontal="right" shrinkToFit="0" vertical="top" wrapText="1"/>
    </xf>
    <xf borderId="2" fillId="0" fontId="7" numFmtId="0" xfId="0" applyAlignment="1" applyBorder="1" applyFont="1">
      <alignment readingOrder="0" shrinkToFit="0" vertical="top" wrapText="1"/>
    </xf>
    <xf borderId="1" fillId="0" fontId="8" numFmtId="0" xfId="0" applyBorder="1" applyFont="1"/>
    <xf borderId="1" fillId="0" fontId="8" numFmtId="0" xfId="0" applyAlignment="1" applyBorder="1" applyFont="1">
      <alignment horizontal="center"/>
    </xf>
    <xf borderId="1" fillId="0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1" fillId="0" fontId="10" numFmtId="0" xfId="0" applyAlignment="1" applyBorder="1" applyFont="1">
      <alignment readingOrder="0"/>
    </xf>
    <xf borderId="2" fillId="0" fontId="10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2" fillId="0" fontId="8" numFmtId="0" xfId="0" applyAlignment="1" applyBorder="1" applyFont="1">
      <alignment horizontal="left" readingOrder="0"/>
    </xf>
    <xf borderId="0" fillId="6" fontId="14" numFmtId="0" xfId="0" applyAlignment="1" applyFill="1" applyFont="1">
      <alignment readingOrder="0"/>
    </xf>
    <xf borderId="0" fillId="0" fontId="15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center" shrinkToFit="0" vertical="center" wrapText="1"/>
    </xf>
    <xf borderId="0" fillId="7" fontId="16" numFmtId="0" xfId="0" applyAlignment="1" applyFill="1" applyFont="1">
      <alignment horizontal="center" readingOrder="0" shrinkToFit="0" wrapText="0"/>
    </xf>
    <xf borderId="11" fillId="0" fontId="17" numFmtId="0" xfId="0" applyAlignment="1" applyBorder="1" applyFont="1">
      <alignment horizontal="center" readingOrder="0" shrinkToFit="0" vertical="center" wrapText="1"/>
    </xf>
    <xf borderId="12" fillId="0" fontId="17" numFmtId="0" xfId="0" applyAlignment="1" applyBorder="1" applyFont="1">
      <alignment horizontal="center" readingOrder="0" shrinkToFit="0" vertical="center" wrapText="1"/>
    </xf>
    <xf borderId="13" fillId="0" fontId="3" numFmtId="0" xfId="0" applyBorder="1" applyFont="1"/>
    <xf borderId="14" fillId="0" fontId="3" numFmtId="0" xfId="0" applyBorder="1" applyFont="1"/>
    <xf borderId="11" fillId="0" fontId="18" numFmtId="0" xfId="0" applyAlignment="1" applyBorder="1" applyFont="1">
      <alignment horizontal="center" readingOrder="0" shrinkToFit="0" vertical="center" wrapText="1"/>
    </xf>
    <xf borderId="11" fillId="8" fontId="18" numFmtId="0" xfId="0" applyAlignment="1" applyBorder="1" applyFill="1" applyFont="1">
      <alignment horizontal="center" readingOrder="0" shrinkToFit="0" vertical="center" wrapText="1"/>
    </xf>
    <xf borderId="15" fillId="0" fontId="3" numFmtId="0" xfId="0" applyBorder="1" applyFont="1"/>
    <xf borderId="16" fillId="0" fontId="1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horizontal="center" readingOrder="0" shrinkToFit="0" vertical="center" wrapText="1"/>
    </xf>
    <xf borderId="16" fillId="0" fontId="8" numFmtId="164" xfId="0" applyAlignment="1" applyBorder="1" applyFont="1" applyNumberFormat="1">
      <alignment horizontal="center" readingOrder="0" shrinkToFit="0" vertical="center" wrapText="1"/>
    </xf>
    <xf borderId="16" fillId="0" fontId="8" numFmtId="165" xfId="0" applyAlignment="1" applyBorder="1" applyFont="1" applyNumberFormat="1">
      <alignment horizontal="center" readingOrder="0" shrinkToFit="0" vertical="center" wrapText="1"/>
    </xf>
    <xf borderId="16" fillId="8" fontId="8" numFmtId="165" xfId="0" applyAlignment="1" applyBorder="1" applyFont="1" applyNumberFormat="1">
      <alignment horizontal="center" shrinkToFit="0" vertical="center" wrapText="1"/>
    </xf>
    <xf borderId="16" fillId="0" fontId="8" numFmtId="2" xfId="0" applyAlignment="1" applyBorder="1" applyFont="1" applyNumberFormat="1">
      <alignment horizontal="center" readingOrder="0" shrinkToFit="0" vertical="center" wrapText="1"/>
    </xf>
    <xf borderId="16" fillId="0" fontId="8" numFmtId="1" xfId="0" applyAlignment="1" applyBorder="1" applyFont="1" applyNumberFormat="1">
      <alignment horizontal="center" readingOrder="0" shrinkToFit="0" vertical="center" wrapText="1"/>
    </xf>
    <xf borderId="16" fillId="8" fontId="8" numFmtId="166" xfId="0" applyAlignment="1" applyBorder="1" applyFont="1" applyNumberFormat="1">
      <alignment horizontal="center" shrinkToFit="0" vertical="center" wrapText="1"/>
    </xf>
    <xf borderId="0" fillId="0" fontId="8" numFmtId="165" xfId="0" applyAlignment="1" applyFont="1" applyNumberFormat="1">
      <alignment horizontal="center" shrinkToFit="0" vertical="center" wrapText="1"/>
    </xf>
    <xf borderId="16" fillId="0" fontId="17" numFmtId="0" xfId="0" applyAlignment="1" applyBorder="1" applyFont="1">
      <alignment horizontal="center" readingOrder="0" shrinkToFit="0" vertical="center" wrapText="1"/>
    </xf>
    <xf borderId="12" fillId="0" fontId="8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horizontal="center" readingOrder="0" shrinkToFit="0" vertical="center" wrapText="1"/>
    </xf>
    <xf borderId="16" fillId="8" fontId="8" numFmtId="166" xfId="0" applyAlignment="1" applyBorder="1" applyFont="1" applyNumberFormat="1">
      <alignment horizontal="center" readingOrder="0" shrinkToFit="0" vertical="center" wrapText="1"/>
    </xf>
    <xf borderId="12" fillId="8" fontId="8" numFmtId="166" xfId="0" applyAlignment="1" applyBorder="1" applyFont="1" applyNumberFormat="1">
      <alignment horizontal="center" shrinkToFit="0" vertical="center" wrapText="1"/>
    </xf>
    <xf borderId="17" fillId="0" fontId="8" numFmtId="166" xfId="0" applyAlignment="1" applyBorder="1" applyFont="1" applyNumberFormat="1">
      <alignment horizontal="center" shrinkToFit="0" vertical="center" wrapText="1"/>
    </xf>
    <xf borderId="0" fillId="8" fontId="8" numFmtId="0" xfId="0" applyAlignment="1" applyFont="1">
      <alignment horizontal="right" readingOrder="0" shrinkToFit="0" vertical="center" wrapText="1"/>
    </xf>
    <xf borderId="0" fillId="8" fontId="8" numFmtId="167" xfId="0" applyAlignment="1" applyFont="1" applyNumberFormat="1">
      <alignment horizontal="center" shrinkToFit="0" vertical="center" wrapText="1"/>
    </xf>
    <xf borderId="0" fillId="8" fontId="8" numFmtId="166" xfId="0" applyAlignment="1" applyFont="1" applyNumberFormat="1">
      <alignment horizontal="right" shrinkToFit="0" vertical="center" wrapText="1"/>
    </xf>
    <xf borderId="0" fillId="8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right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166" xfId="0" applyAlignment="1" applyFont="1" applyNumberFormat="1">
      <alignment horizontal="center" shrinkToFit="0" vertical="center" wrapText="1"/>
    </xf>
    <xf borderId="0" fillId="2" fontId="19" numFmtId="0" xfId="0" applyAlignment="1" applyFont="1">
      <alignment readingOrder="0"/>
    </xf>
    <xf borderId="18" fillId="8" fontId="18" numFmtId="0" xfId="0" applyAlignment="1" applyBorder="1" applyFont="1">
      <alignment horizontal="center" readingOrder="0" shrinkToFit="0" vertical="center" wrapText="1"/>
    </xf>
    <xf borderId="19" fillId="0" fontId="8" numFmtId="0" xfId="0" applyAlignment="1" applyBorder="1" applyFont="1">
      <alignment horizontal="center" readingOrder="0" shrinkToFit="0" vertical="center" wrapText="1"/>
    </xf>
    <xf borderId="20" fillId="0" fontId="8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0" fontId="3" numFmtId="0" xfId="0" applyBorder="1" applyFont="1"/>
    <xf borderId="16" fillId="8" fontId="8" numFmtId="0" xfId="0" applyAlignment="1" applyBorder="1" applyFont="1">
      <alignment horizontal="center" shrinkToFit="0" vertical="center" wrapText="1"/>
    </xf>
    <xf borderId="14" fillId="0" fontId="8" numFmtId="2" xfId="0" applyAlignment="1" applyBorder="1" applyFont="1" applyNumberFormat="1">
      <alignment horizontal="center" readingOrder="0" shrinkToFit="0" vertical="center" wrapText="1"/>
    </xf>
    <xf borderId="16" fillId="8" fontId="8" numFmtId="2" xfId="0" applyAlignment="1" applyBorder="1" applyFont="1" applyNumberFormat="1">
      <alignment horizontal="center" shrinkToFit="0" vertical="center" wrapText="1"/>
    </xf>
    <xf borderId="0" fillId="0" fontId="8" numFmtId="168" xfId="0" applyAlignment="1" applyFont="1" applyNumberFormat="1">
      <alignment horizontal="center" shrinkToFit="0" vertical="center" wrapText="1"/>
    </xf>
    <xf borderId="0" fillId="8" fontId="8" numFmtId="2" xfId="0" applyAlignment="1" applyFont="1" applyNumberFormat="1">
      <alignment horizontal="center" shrinkToFit="0" vertical="center" wrapText="1"/>
    </xf>
    <xf borderId="11" fillId="0" fontId="20" numFmtId="0" xfId="0" applyAlignment="1" applyBorder="1" applyFont="1">
      <alignment horizontal="center" readingOrder="0" shrinkToFit="0" vertical="center" wrapText="1"/>
    </xf>
    <xf borderId="16" fillId="0" fontId="8" numFmtId="166" xfId="0" applyAlignment="1" applyBorder="1" applyFont="1" applyNumberFormat="1">
      <alignment horizontal="center" readingOrder="0" shrinkToFit="0" vertical="center" wrapText="1"/>
    </xf>
    <xf borderId="16" fillId="2" fontId="8" numFmtId="166" xfId="0" applyAlignment="1" applyBorder="1" applyFont="1" applyNumberFormat="1">
      <alignment horizontal="center" readingOrder="0" shrinkToFit="0" vertical="center" wrapText="1"/>
    </xf>
    <xf borderId="0" fillId="8" fontId="8" numFmtId="0" xfId="0" applyAlignment="1" applyFont="1">
      <alignment horizontal="center" shrinkToFit="0" vertical="center" wrapText="1"/>
    </xf>
    <xf borderId="16" fillId="8" fontId="17" numFmtId="0" xfId="0" applyAlignment="1" applyBorder="1" applyFont="1">
      <alignment horizontal="center" readingOrder="0" shrinkToFit="0" vertical="center" wrapText="1"/>
    </xf>
    <xf borderId="16" fillId="8" fontId="8" numFmtId="0" xfId="0" applyAlignment="1" applyBorder="1" applyFont="1">
      <alignment horizontal="center" readingOrder="0" shrinkToFit="0" vertical="center" wrapText="1"/>
    </xf>
    <xf borderId="16" fillId="8" fontId="8" numFmtId="2" xfId="0" applyBorder="1" applyFont="1" applyNumberFormat="1"/>
    <xf borderId="0" fillId="8" fontId="8" numFmtId="0" xfId="0" applyAlignment="1" applyFont="1">
      <alignment horizontal="left" readingOrder="0" shrinkToFit="0" vertical="center" wrapText="0"/>
    </xf>
    <xf borderId="0" fillId="8" fontId="8" numFmtId="0" xfId="0" applyAlignment="1" applyFont="1">
      <alignment horizontal="center" readingOrder="0" shrinkToFit="0" vertical="center" wrapText="1"/>
    </xf>
    <xf borderId="11" fillId="8" fontId="8" numFmtId="166" xfId="0" applyAlignment="1" applyBorder="1" applyFont="1" applyNumberFormat="1">
      <alignment horizontal="center" shrinkToFit="0" vertical="center" wrapText="1"/>
    </xf>
    <xf borderId="23" fillId="0" fontId="8" numFmtId="166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readingOrder="0"/>
    </xf>
    <xf borderId="16" fillId="0" fontId="8" numFmtId="10" xfId="0" applyAlignment="1" applyBorder="1" applyFont="1" applyNumberFormat="1">
      <alignment horizontal="center" readingOrder="0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right" readingOrder="0" shrinkToFit="0" vertical="center" wrapText="1"/>
    </xf>
    <xf borderId="12" fillId="0" fontId="8" numFmtId="166" xfId="0" applyAlignment="1" applyBorder="1" applyFont="1" applyNumberFormat="1">
      <alignment horizontal="center" shrinkToFit="0" vertical="center" wrapText="1"/>
    </xf>
    <xf borderId="16" fillId="0" fontId="8" numFmtId="10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18" fillId="0" fontId="8" numFmtId="0" xfId="0" applyAlignment="1" applyBorder="1" applyFont="1">
      <alignment horizontal="left" shrinkToFit="0" vertical="center" wrapText="1"/>
    </xf>
    <xf borderId="20" fillId="0" fontId="3" numFmtId="0" xfId="0" applyBorder="1" applyFont="1"/>
    <xf borderId="16" fillId="0" fontId="8" numFmtId="2" xfId="0" applyAlignment="1" applyBorder="1" applyFont="1" applyNumberFormat="1">
      <alignment horizontal="center" shrinkToFit="0" vertical="center" wrapText="1"/>
    </xf>
    <xf borderId="16" fillId="0" fontId="8" numFmtId="166" xfId="0" applyAlignment="1" applyBorder="1" applyFont="1" applyNumberFormat="1">
      <alignment horizontal="center" shrinkToFit="0" vertical="center" wrapText="1"/>
    </xf>
    <xf borderId="0" fillId="9" fontId="8" numFmtId="10" xfId="0" applyAlignment="1" applyFill="1" applyFont="1" applyNumberFormat="1">
      <alignment horizontal="center" shrinkToFit="0" vertical="center" wrapText="1"/>
    </xf>
    <xf borderId="0" fillId="10" fontId="8" numFmtId="10" xfId="0" applyFill="1" applyFont="1" applyNumberFormat="1"/>
    <xf borderId="0" fillId="11" fontId="8" numFmtId="10" xfId="0" applyFill="1" applyFont="1" applyNumberFormat="1"/>
    <xf borderId="0" fillId="12" fontId="8" numFmtId="10" xfId="0" applyFill="1" applyFont="1" applyNumberFormat="1"/>
    <xf borderId="0" fillId="0" fontId="21" numFmtId="10" xfId="0" applyAlignment="1" applyFont="1" applyNumberFormat="1">
      <alignment horizontal="center"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borderId="0" fillId="8" fontId="8" numFmtId="166" xfId="0" applyAlignment="1" applyFont="1" applyNumberFormat="1">
      <alignment horizontal="center" shrinkToFit="0" vertical="center" wrapText="1"/>
    </xf>
    <xf borderId="12" fillId="0" fontId="22" numFmtId="0" xfId="0" applyAlignment="1" applyBorder="1" applyFont="1">
      <alignment horizontal="center" readingOrder="0" shrinkToFit="0" vertical="center" wrapText="1"/>
    </xf>
    <xf borderId="15" fillId="0" fontId="18" numFmtId="0" xfId="0" applyAlignment="1" applyBorder="1" applyFont="1">
      <alignment horizontal="center" readingOrder="0" shrinkToFit="0" vertical="center" wrapText="1"/>
    </xf>
    <xf borderId="0" fillId="7" fontId="23" numFmtId="0" xfId="0" applyAlignment="1" applyFont="1">
      <alignment horizontal="center" readingOrder="0" shrinkToFit="0" wrapText="0"/>
    </xf>
    <xf borderId="11" fillId="0" fontId="22" numFmtId="0" xfId="0" applyAlignment="1" applyBorder="1" applyFont="1">
      <alignment horizontal="center" readingOrder="0" shrinkToFit="0" vertical="center" wrapText="1"/>
    </xf>
    <xf borderId="12" fillId="0" fontId="18" numFmtId="0" xfId="0" applyAlignment="1" applyBorder="1" applyFont="1">
      <alignment horizontal="center" readingOrder="0" shrinkToFit="0" vertical="center" wrapText="1"/>
    </xf>
    <xf borderId="18" fillId="0" fontId="18" numFmtId="0" xfId="0" applyAlignment="1" applyBorder="1" applyFont="1">
      <alignment horizontal="center" readingOrder="0" shrinkToFit="0" vertical="center" wrapText="1"/>
    </xf>
    <xf borderId="15" fillId="0" fontId="17" numFmtId="0" xfId="0" applyAlignment="1" applyBorder="1" applyFont="1">
      <alignment horizontal="center" readingOrder="0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wrapText="1"/>
    </xf>
    <xf borderId="12" fillId="0" fontId="8" numFmtId="1" xfId="0" applyAlignment="1" applyBorder="1" applyFont="1" applyNumberFormat="1">
      <alignment horizontal="center" readingOrder="0" shrinkToFit="0" vertical="center" wrapText="1"/>
    </xf>
    <xf borderId="12" fillId="0" fontId="8" numFmtId="2" xfId="0" applyAlignment="1" applyBorder="1" applyFont="1" applyNumberFormat="1">
      <alignment horizontal="center" readingOrder="0" shrinkToFit="0" vertical="center" wrapText="1"/>
    </xf>
    <xf borderId="12" fillId="8" fontId="8" numFmtId="2" xfId="0" applyAlignment="1" applyBorder="1" applyFont="1" applyNumberFormat="1">
      <alignment horizontal="center" readingOrder="0" shrinkToFit="0" vertical="center" wrapText="1"/>
    </xf>
    <xf borderId="14" fillId="8" fontId="8" numFmtId="166" xfId="0" applyAlignment="1" applyBorder="1" applyFont="1" applyNumberFormat="1">
      <alignment horizontal="center" readingOrder="0" shrinkToFit="0" vertical="center" wrapText="1"/>
    </xf>
    <xf borderId="16" fillId="0" fontId="24" numFmtId="0" xfId="0" applyAlignment="1" applyBorder="1" applyFont="1">
      <alignment horizontal="center" readingOrder="0" shrinkToFit="0" wrapText="1"/>
    </xf>
    <xf borderId="0" fillId="0" fontId="24" numFmtId="0" xfId="0" applyAlignment="1" applyFont="1">
      <alignment horizontal="center" shrinkToFit="0" wrapText="1"/>
    </xf>
    <xf borderId="16" fillId="0" fontId="24" numFmtId="0" xfId="0" applyAlignment="1" applyBorder="1" applyFont="1">
      <alignment horizontal="center" shrinkToFit="0" wrapText="1"/>
    </xf>
    <xf borderId="12" fillId="8" fontId="8" numFmtId="0" xfId="0" applyAlignment="1" applyBorder="1" applyFont="1">
      <alignment horizontal="center" readingOrder="0" shrinkToFit="0" vertical="center" wrapText="1"/>
    </xf>
    <xf borderId="16" fillId="8" fontId="8" numFmtId="1" xfId="0" applyAlignment="1" applyBorder="1" applyFont="1" applyNumberFormat="1">
      <alignment horizontal="center" shrinkToFit="0" vertical="center" wrapText="1"/>
    </xf>
    <xf borderId="14" fillId="0" fontId="8" numFmtId="165" xfId="0" applyAlignment="1" applyBorder="1" applyFont="1" applyNumberFormat="1">
      <alignment horizontal="center" readingOrder="0" shrinkToFit="0" vertical="center" wrapText="1"/>
    </xf>
    <xf borderId="11" fillId="8" fontId="8" numFmtId="2" xfId="0" applyAlignment="1" applyBorder="1" applyFont="1" applyNumberFormat="1">
      <alignment horizontal="center" shrinkToFit="0" vertical="center" wrapText="1"/>
    </xf>
    <xf borderId="16" fillId="8" fontId="8" numFmtId="1" xfId="0" applyAlignment="1" applyBorder="1" applyFont="1" applyNumberFormat="1">
      <alignment horizontal="center" readingOrder="0" shrinkToFit="0" vertical="center" wrapText="1"/>
    </xf>
    <xf borderId="19" fillId="0" fontId="3" numFmtId="0" xfId="0" applyBorder="1" applyFont="1"/>
    <xf borderId="0" fillId="0" fontId="8" numFmtId="166" xfId="0" applyAlignment="1" applyFont="1" applyNumberFormat="1">
      <alignment horizontal="center" readingOrder="0" shrinkToFit="0" vertical="center" wrapText="1"/>
    </xf>
    <xf borderId="0" fillId="0" fontId="8" numFmtId="10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Valve Position vs Volume Flow Rate Qa (m^3/s)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 Test on Air Blower '!$A$11:$A$18</c:f>
            </c:strRef>
          </c:cat>
          <c:val>
            <c:numRef>
              <c:f>'P Test on Air Blower '!$E$24:$E$31</c:f>
              <c:numCache/>
            </c:numRef>
          </c:val>
          <c:smooth val="1"/>
        </c:ser>
        <c:axId val="469054867"/>
        <c:axId val="1976475121"/>
      </c:lineChart>
      <c:catAx>
        <c:axId val="469054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Valve Position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475121"/>
      </c:catAx>
      <c:valAx>
        <c:axId val="1976475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 Flow Rate Qa (m^3/s)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0548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Valve Position vs Speed N (rpm)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'P Test on Air Blower '!$A$11:$A$18</c:f>
            </c:strRef>
          </c:cat>
          <c:val>
            <c:numRef>
              <c:f>'P Test on Air Blower '!$K$11:$K$18</c:f>
              <c:numCache/>
            </c:numRef>
          </c:val>
          <c:smooth val="1"/>
        </c:ser>
        <c:axId val="662264994"/>
        <c:axId val="1456667974"/>
      </c:lineChart>
      <c:catAx>
        <c:axId val="662264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Valve Position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6667974"/>
      </c:catAx>
      <c:valAx>
        <c:axId val="1456667974"/>
        <c:scaling>
          <c:orientation val="minMax"/>
          <c:max val="26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N (rpm)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2649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Valve Position vs Overall efficiency ηo (%)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'P Test on Air Blower '!$A$11:$A$18</c:f>
            </c:strRef>
          </c:cat>
          <c:val>
            <c:numRef>
              <c:f>'P Test on Air Blower '!$G$24:$G$31</c:f>
              <c:numCache/>
            </c:numRef>
          </c:val>
          <c:smooth val="1"/>
        </c:ser>
        <c:axId val="1693340461"/>
        <c:axId val="410194266"/>
      </c:lineChart>
      <c:catAx>
        <c:axId val="1693340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Valve Position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194266"/>
      </c:catAx>
      <c:valAx>
        <c:axId val="41019426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Overall efficiency ηo                                    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3404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SFC vs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 CYL 4 STR P'!$Q$9:$Q$14</c:f>
            </c:strRef>
          </c:cat>
          <c:val>
            <c:numRef>
              <c:f>'3 CYL 4 STR P'!$R$9:$R$14</c:f>
              <c:numCache/>
            </c:numRef>
          </c:val>
          <c:smooth val="1"/>
        </c:ser>
        <c:axId val="1188370720"/>
        <c:axId val="703561979"/>
      </c:lineChart>
      <c:catAx>
        <c:axId val="1188370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561979"/>
      </c:catAx>
      <c:valAx>
        <c:axId val="703561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Specific Fuel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370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MFC vs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series 1</c:name>
            <c:spPr>
              <a:ln w="9525">
                <a:solidFill>
                  <a:srgbClr val="4285F4"/>
                </a:solidFill>
              </a:ln>
            </c:spPr>
            <c:trendlineType val="linear"/>
            <c:dispRSqr val="0"/>
            <c:dispEq val="0"/>
          </c:trendline>
          <c:cat>
            <c:strRef>
              <c:f>'3 CYL 4 STR P'!$Q$9:$Q$14</c:f>
            </c:strRef>
          </c:cat>
          <c:val>
            <c:numRef>
              <c:f>'3 CYL 4 STR P'!$P$9:$P$14</c:f>
              <c:numCache/>
            </c:numRef>
          </c:val>
          <c:smooth val="1"/>
        </c:ser>
        <c:axId val="2024947577"/>
        <c:axId val="764332160"/>
      </c:lineChart>
      <c:catAx>
        <c:axId val="2024947577"/>
        <c:scaling>
          <c:orientation val="minMax"/>
          <c:min val="-6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332160"/>
      </c:catAx>
      <c:valAx>
        <c:axId val="764332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Mass of Fuel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947577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ηmech v/s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'3 CYL 4 STR P'!$Q$9:$Q$14</c:f>
            </c:strRef>
          </c:cat>
          <c:val>
            <c:numRef>
              <c:f>'3 CYL 4 STR P'!$U$9:$U$14</c:f>
              <c:numCache/>
            </c:numRef>
          </c:val>
          <c:smooth val="1"/>
        </c:ser>
        <c:axId val="170107873"/>
        <c:axId val="599847265"/>
      </c:lineChart>
      <c:catAx>
        <c:axId val="170107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9847265"/>
      </c:catAx>
      <c:valAx>
        <c:axId val="599847265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Mechanical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07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ηvol v/s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'3 CYL 4 STR P'!$Q$9:$Q$14</c:f>
            </c:strRef>
          </c:cat>
          <c:val>
            <c:numRef>
              <c:f>'3 CYL 4 STR P'!$T$9:$T$14</c:f>
              <c:numCache/>
            </c:numRef>
          </c:val>
          <c:smooth val="1"/>
        </c:ser>
        <c:axId val="214462472"/>
        <c:axId val="750651962"/>
      </c:lineChart>
      <c:catAx>
        <c:axId val="214462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651962"/>
      </c:catAx>
      <c:valAx>
        <c:axId val="750651962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Volumetric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624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ηbth v/s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'3 CYL 4 STR P'!$Q$9:$Q$14</c:f>
            </c:strRef>
          </c:cat>
          <c:val>
            <c:numRef>
              <c:f>'3 CYL 4 STR P'!$S$9:$S$14</c:f>
              <c:numCache/>
            </c:numRef>
          </c:val>
          <c:smooth val="1"/>
        </c:ser>
        <c:axId val="596373163"/>
        <c:axId val="1624678838"/>
      </c:lineChart>
      <c:catAx>
        <c:axId val="596373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678838"/>
      </c:catAx>
      <c:valAx>
        <c:axId val="1624678838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Thermal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373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 v/s Percent Heat Equivalent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'HB of 3 CYL 4 STR P'!$E$47:$E$52</c:f>
            </c:strRef>
          </c:cat>
          <c:val>
            <c:numRef>
              <c:f>'HB of 3 CYL 4 STR P'!$E$47:$E$52</c:f>
              <c:numCache/>
            </c:numRef>
          </c:val>
          <c:smooth val="0"/>
        </c:ser>
        <c:axId val="1045918617"/>
        <c:axId val="133628738"/>
      </c:lineChart>
      <c:catAx>
        <c:axId val="1045918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 (kg) ----&gt;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28738"/>
      </c:catAx>
      <c:valAx>
        <c:axId val="133628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----&gt;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918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SFC vs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 CYL 4 STR D'!$F$22:$F$28</c:f>
            </c:strRef>
          </c:cat>
          <c:val>
            <c:numRef>
              <c:f>'1 CYL 4 STR D'!$E$22:$E$28</c:f>
              <c:numCache/>
            </c:numRef>
          </c:val>
          <c:smooth val="1"/>
        </c:ser>
        <c:axId val="566778021"/>
        <c:axId val="144752220"/>
      </c:lineChart>
      <c:catAx>
        <c:axId val="566778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52220"/>
      </c:catAx>
      <c:valAx>
        <c:axId val="144752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Specific Fuel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778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MFC vs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series 1</c:name>
            <c:spPr>
              <a:ln w="9525">
                <a:solidFill>
                  <a:srgbClr val="4285F4"/>
                </a:solidFill>
              </a:ln>
            </c:spPr>
            <c:trendlineType val="linear"/>
            <c:dispRSqr val="0"/>
            <c:dispEq val="0"/>
          </c:trendline>
          <c:cat>
            <c:strRef>
              <c:f>'1 CYL 4 STR D'!$F$22:$F$28</c:f>
            </c:strRef>
          </c:cat>
          <c:val>
            <c:numRef>
              <c:f>'1 CYL 4 STR D'!$D$22:$D$27</c:f>
              <c:numCache/>
            </c:numRef>
          </c:val>
          <c:smooth val="1"/>
        </c:ser>
        <c:axId val="1238272867"/>
        <c:axId val="1856641870"/>
      </c:lineChart>
      <c:catAx>
        <c:axId val="1238272867"/>
        <c:scaling>
          <c:orientation val="minMax"/>
          <c:min val="-2.5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641870"/>
      </c:catAx>
      <c:valAx>
        <c:axId val="1856641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Mass of Fuel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8272867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ηbth v/s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'1 CYL 4 STR D'!$F$22:$F$28</c:f>
            </c:strRef>
          </c:cat>
          <c:val>
            <c:numRef>
              <c:f>'1 CYL 4 STR D'!$G$22:$G$28</c:f>
              <c:numCache/>
            </c:numRef>
          </c:val>
          <c:smooth val="1"/>
        </c:ser>
        <c:axId val="2015191039"/>
        <c:axId val="1701221804"/>
      </c:lineChart>
      <c:catAx>
        <c:axId val="2015191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221804"/>
      </c:catAx>
      <c:valAx>
        <c:axId val="1701221804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Thermal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51910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ηvol v/s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'1 CYL 4 STR D'!$F$22:$F$28</c:f>
            </c:strRef>
          </c:cat>
          <c:val>
            <c:numRef>
              <c:f>'1 CYL 4 STR D'!$H$22:$H$27</c:f>
              <c:numCache/>
            </c:numRef>
          </c:val>
          <c:smooth val="1"/>
        </c:ser>
        <c:axId val="1405656421"/>
        <c:axId val="2146802457"/>
      </c:lineChart>
      <c:catAx>
        <c:axId val="1405656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6802457"/>
      </c:catAx>
      <c:valAx>
        <c:axId val="2146802457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Volumetric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5656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ηmech v/s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'1 CYL 4 STR D'!$F$22:$F$28</c:f>
            </c:strRef>
          </c:cat>
          <c:val>
            <c:numRef>
              <c:f>'1 CYL 4 STR D'!$I$22:$I$27</c:f>
              <c:numCache/>
            </c:numRef>
          </c:val>
          <c:smooth val="1"/>
        </c:ser>
        <c:axId val="1370158679"/>
        <c:axId val="1571295705"/>
      </c:lineChart>
      <c:catAx>
        <c:axId val="1370158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295705"/>
      </c:catAx>
      <c:valAx>
        <c:axId val="1571295705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Mechanical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158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 v/s Percent Heat Equivalent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'HB of 1 CYL 4 STR D'!$E$47:$E$52</c:f>
            </c:strRef>
          </c:cat>
          <c:val>
            <c:numRef>
              <c:f>'HB of 1 CYL 4 STR D'!$E$47:$E$52</c:f>
              <c:numCache/>
            </c:numRef>
          </c:val>
          <c:smooth val="0"/>
        </c:ser>
        <c:axId val="1562688442"/>
        <c:axId val="32179746"/>
      </c:lineChart>
      <c:catAx>
        <c:axId val="1562688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 (kg) ----&gt;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179746"/>
      </c:catAx>
      <c:valAx>
        <c:axId val="32179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----&gt;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6884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SFC vs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 CYL 4 STR D'!$O$9:$O$14</c:f>
            </c:strRef>
          </c:cat>
          <c:val>
            <c:numRef>
              <c:f>'4 CYL 4 STR D'!$P$9:$P$14</c:f>
              <c:numCache/>
            </c:numRef>
          </c:val>
          <c:smooth val="1"/>
        </c:ser>
        <c:axId val="625710848"/>
        <c:axId val="225762891"/>
      </c:lineChart>
      <c:catAx>
        <c:axId val="62571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762891"/>
      </c:catAx>
      <c:valAx>
        <c:axId val="225762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Specific Fuel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710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MFC vs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series 1</c:name>
            <c:spPr>
              <a:ln w="9525">
                <a:solidFill>
                  <a:srgbClr val="4285F4"/>
                </a:solidFill>
              </a:ln>
            </c:spPr>
            <c:trendlineType val="linear"/>
            <c:dispRSqr val="0"/>
            <c:dispEq val="0"/>
          </c:trendline>
          <c:cat>
            <c:strRef>
              <c:f>'4 CYL 4 STR D'!$O$9:$O$14</c:f>
            </c:strRef>
          </c:cat>
          <c:val>
            <c:numRef>
              <c:f>'4 CYL 4 STR D'!$N$9:$N$14</c:f>
              <c:numCache/>
            </c:numRef>
          </c:val>
          <c:smooth val="1"/>
        </c:ser>
        <c:axId val="206803518"/>
        <c:axId val="1666586837"/>
      </c:lineChart>
      <c:catAx>
        <c:axId val="206803518"/>
        <c:scaling>
          <c:orientation val="minMax"/>
          <c:min val="-2.5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586837"/>
      </c:catAx>
      <c:valAx>
        <c:axId val="1666586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Mass of Fuel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03518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ηmech v/s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'4 CYL 4 STR D'!$O$9:$O$14</c:f>
            </c:strRef>
          </c:cat>
          <c:val>
            <c:numRef>
              <c:f>'4 CYL 4 STR D'!$S$9:$S$14</c:f>
              <c:numCache/>
            </c:numRef>
          </c:val>
          <c:smooth val="1"/>
        </c:ser>
        <c:axId val="575188396"/>
        <c:axId val="1837389566"/>
      </c:lineChart>
      <c:catAx>
        <c:axId val="575188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389566"/>
      </c:catAx>
      <c:valAx>
        <c:axId val="183738956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Mechanical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5188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ηvol v/s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'4 CYL 4 STR D'!$O$9:$O$14</c:f>
            </c:strRef>
          </c:cat>
          <c:val>
            <c:numRef>
              <c:f>'4 CYL 4 STR D'!$R$9:$R$14</c:f>
              <c:numCache/>
            </c:numRef>
          </c:val>
          <c:smooth val="1"/>
        </c:ser>
        <c:axId val="864409305"/>
        <c:axId val="500927831"/>
      </c:lineChart>
      <c:catAx>
        <c:axId val="864409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927831"/>
      </c:catAx>
      <c:valAx>
        <c:axId val="50092783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Volumetric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4093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ηbth v/s BP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'4 CYL 4 STR D'!$O$9:$O$14</c:f>
            </c:strRef>
          </c:cat>
          <c:val>
            <c:numRef>
              <c:f>'4 CYL 4 STR D'!$Q$9:$Q$14</c:f>
              <c:numCache/>
            </c:numRef>
          </c:val>
          <c:smooth val="1"/>
        </c:ser>
        <c:axId val="1361480937"/>
        <c:axId val="996245026"/>
      </c:lineChart>
      <c:catAx>
        <c:axId val="1361480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Power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245026"/>
      </c:catAx>
      <c:valAx>
        <c:axId val="99624502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Brake Thermal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4809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 v/s Percent Heat Equivalent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'HB of 4 CYL 4 STR D'!$E$47:$E$52</c:f>
            </c:strRef>
          </c:cat>
          <c:val>
            <c:numRef>
              <c:f>'HB of 4 CYL 4 STR D'!$E$47:$E$52</c:f>
              <c:numCache/>
            </c:numRef>
          </c:val>
          <c:smooth val="0"/>
        </c:ser>
        <c:axId val="211958315"/>
        <c:axId val="1407756323"/>
      </c:lineChart>
      <c:catAx>
        <c:axId val="211958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 (kg) ----&gt;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756323"/>
      </c:catAx>
      <c:valAx>
        <c:axId val="1407756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----&gt;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583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DP vs ηvol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 Test on SS Compr'!$G$9:$G$12</c:f>
            </c:strRef>
          </c:cat>
          <c:val>
            <c:numRef>
              <c:f>'P Test on SS Compr'!$AA$9:$AA$12</c:f>
              <c:numCache/>
            </c:numRef>
          </c:val>
          <c:smooth val="1"/>
        </c:ser>
        <c:axId val="1540344694"/>
        <c:axId val="1532372726"/>
      </c:lineChart>
      <c:catAx>
        <c:axId val="1540344694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Delivery Pressure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372726"/>
      </c:catAx>
      <c:valAx>
        <c:axId val="153237272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Volumetric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03446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DP vs ηiso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 Test on SS Compr'!$G$9:$G$12</c:f>
            </c:strRef>
          </c:cat>
          <c:val>
            <c:numRef>
              <c:f>'P Test on SS Compr'!$Z$9:$Z$12</c:f>
              <c:numCache/>
            </c:numRef>
          </c:val>
          <c:smooth val="1"/>
        </c:ser>
        <c:axId val="1164198342"/>
        <c:axId val="466024240"/>
      </c:lineChart>
      <c:catAx>
        <c:axId val="1164198342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Delivery Pressure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024240"/>
      </c:catAx>
      <c:valAx>
        <c:axId val="466024240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Iso-thermal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198342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DP vs ηvol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 Test on MS Compr'!$D$9:$D$14</c:f>
            </c:strRef>
          </c:cat>
          <c:val>
            <c:numRef>
              <c:f>'P Test on MS Compr'!$W$9:$W$14</c:f>
              <c:numCache/>
            </c:numRef>
          </c:val>
          <c:smooth val="1"/>
        </c:ser>
        <c:axId val="1326983242"/>
        <c:axId val="1256831228"/>
      </c:lineChart>
      <c:catAx>
        <c:axId val="1326983242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Delivery Pressure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831228"/>
      </c:catAx>
      <c:valAx>
        <c:axId val="1256831228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Volumetric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9832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DP vs ηiso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 Test on MS Compr'!$D$9:$D$14</c:f>
            </c:strRef>
          </c:cat>
          <c:val>
            <c:numRef>
              <c:f>'P Test on MS Compr'!$V$9:$V$14</c:f>
              <c:numCache/>
            </c:numRef>
          </c:val>
          <c:smooth val="1"/>
        </c:ser>
        <c:axId val="1781135366"/>
        <c:axId val="1421940902"/>
      </c:lineChart>
      <c:catAx>
        <c:axId val="1781135366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Delivery Pressure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940902"/>
      </c:catAx>
      <c:valAx>
        <c:axId val="1421940902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Iso-thermal 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113536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5.jpg"/><Relationship Id="rId4" Type="http://schemas.openxmlformats.org/officeDocument/2006/relationships/image" Target="../media/image6.jpg"/><Relationship Id="rId5" Type="http://schemas.openxmlformats.org/officeDocument/2006/relationships/image" Target="../media/image4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Relationship Id="rId5" Type="http://schemas.openxmlformats.org/officeDocument/2006/relationships/chart" Target="../charts/chart20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21</xdr:row>
      <xdr:rowOff>47625</xdr:rowOff>
    </xdr:from>
    <xdr:ext cx="847725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11</xdr:row>
      <xdr:rowOff>114300</xdr:rowOff>
    </xdr:from>
    <xdr:ext cx="1466850" cy="333375"/>
    <xdr:sp>
      <xdr:nvSpPr>
        <xdr:cNvPr id="3" name="Shape 3"/>
        <xdr:cNvSpPr/>
      </xdr:nvSpPr>
      <xdr:spPr>
        <a:xfrm>
          <a:off x="1539025" y="1588050"/>
          <a:ext cx="1970400" cy="441000"/>
        </a:xfrm>
        <a:prstGeom prst="ellipse">
          <a:avLst/>
        </a:prstGeom>
        <a:noFill/>
        <a:ln cap="flat" cmpd="sng" w="38100">
          <a:solidFill>
            <a:srgbClr val="00FF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828675</xdr:colOff>
      <xdr:row>15</xdr:row>
      <xdr:rowOff>133350</xdr:rowOff>
    </xdr:from>
    <xdr:ext cx="666750" cy="542925"/>
    <xdr:sp>
      <xdr:nvSpPr>
        <xdr:cNvPr id="4" name="Shape 4"/>
        <xdr:cNvSpPr/>
      </xdr:nvSpPr>
      <xdr:spPr>
        <a:xfrm>
          <a:off x="2842800" y="1146925"/>
          <a:ext cx="1029300" cy="843000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1266825</xdr:colOff>
      <xdr:row>11</xdr:row>
      <xdr:rowOff>114300</xdr:rowOff>
    </xdr:from>
    <xdr:ext cx="952500" cy="247650"/>
    <xdr:grpSp>
      <xdr:nvGrpSpPr>
        <xdr:cNvPr id="2" name="Shape 2" title="Drawing"/>
        <xdr:cNvGrpSpPr/>
      </xdr:nvGrpSpPr>
      <xdr:grpSpPr>
        <a:xfrm>
          <a:off x="686200" y="2744825"/>
          <a:ext cx="2891700" cy="205800"/>
          <a:chOff x="686200" y="2744825"/>
          <a:chExt cx="2891700" cy="205800"/>
        </a:xfrm>
      </xdr:grpSpPr>
      <xdr:cxnSp>
        <xdr:nvCxnSpPr>
          <xdr:cNvPr id="5" name="Shape 5"/>
          <xdr:cNvCxnSpPr/>
        </xdr:nvCxnSpPr>
        <xdr:spPr>
          <a:xfrm flipH="1" rot="10800000">
            <a:off x="686200" y="2744825"/>
            <a:ext cx="2891700" cy="205800"/>
          </a:xfrm>
          <a:prstGeom prst="straightConnector1">
            <a:avLst/>
          </a:prstGeom>
          <a:noFill/>
          <a:ln cap="flat" cmpd="sng" w="114300">
            <a:solidFill>
              <a:srgbClr val="00FF00"/>
            </a:solidFill>
            <a:prstDash val="solid"/>
            <a:round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0</xdr:col>
      <xdr:colOff>0</xdr:colOff>
      <xdr:row>1</xdr:row>
      <xdr:rowOff>171450</xdr:rowOff>
    </xdr:from>
    <xdr:ext cx="7115175" cy="36195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828675</xdr:colOff>
      <xdr:row>2</xdr:row>
      <xdr:rowOff>28575</xdr:rowOff>
    </xdr:from>
    <xdr:ext cx="4162425" cy="35242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28575</xdr:rowOff>
    </xdr:from>
    <xdr:ext cx="3009900" cy="62198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23</xdr:row>
      <xdr:rowOff>19050</xdr:rowOff>
    </xdr:from>
    <xdr:ext cx="3019425" cy="62293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23</xdr:row>
      <xdr:rowOff>9525</xdr:rowOff>
    </xdr:from>
    <xdr:ext cx="3028950" cy="6248400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638175</xdr:colOff>
      <xdr:row>48</xdr:row>
      <xdr:rowOff>95250</xdr:rowOff>
    </xdr:from>
    <xdr:ext cx="4448175" cy="2971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628650</xdr:colOff>
      <xdr:row>79</xdr:row>
      <xdr:rowOff>85725</xdr:rowOff>
    </xdr:from>
    <xdr:ext cx="4448175" cy="29718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628650</xdr:colOff>
      <xdr:row>64</xdr:row>
      <xdr:rowOff>95250</xdr:rowOff>
    </xdr:from>
    <xdr:ext cx="4448175" cy="29718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638175</xdr:colOff>
      <xdr:row>18</xdr:row>
      <xdr:rowOff>95250</xdr:rowOff>
    </xdr:from>
    <xdr:ext cx="4448175" cy="29718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581025</xdr:colOff>
      <xdr:row>34</xdr:row>
      <xdr:rowOff>19050</xdr:rowOff>
    </xdr:from>
    <xdr:ext cx="4448175" cy="29718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638175</xdr:colOff>
      <xdr:row>57</xdr:row>
      <xdr:rowOff>0</xdr:rowOff>
    </xdr:from>
    <xdr:ext cx="4448175" cy="29718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628650</xdr:colOff>
      <xdr:row>72</xdr:row>
      <xdr:rowOff>85725</xdr:rowOff>
    </xdr:from>
    <xdr:ext cx="4448175" cy="29718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638175</xdr:colOff>
      <xdr:row>87</xdr:row>
      <xdr:rowOff>152400</xdr:rowOff>
    </xdr:from>
    <xdr:ext cx="4448175" cy="29718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52</xdr:row>
      <xdr:rowOff>19050</xdr:rowOff>
    </xdr:from>
    <xdr:ext cx="4505325" cy="5114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638175</xdr:colOff>
      <xdr:row>44</xdr:row>
      <xdr:rowOff>95250</xdr:rowOff>
    </xdr:from>
    <xdr:ext cx="4448175" cy="29718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628650</xdr:colOff>
      <xdr:row>59</xdr:row>
      <xdr:rowOff>200025</xdr:rowOff>
    </xdr:from>
    <xdr:ext cx="4448175" cy="29718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638175</xdr:colOff>
      <xdr:row>111</xdr:row>
      <xdr:rowOff>104775</xdr:rowOff>
    </xdr:from>
    <xdr:ext cx="4448175" cy="29718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638175</xdr:colOff>
      <xdr:row>96</xdr:row>
      <xdr:rowOff>104775</xdr:rowOff>
    </xdr:from>
    <xdr:ext cx="4448175" cy="29718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638175</xdr:colOff>
      <xdr:row>81</xdr:row>
      <xdr:rowOff>104775</xdr:rowOff>
    </xdr:from>
    <xdr:ext cx="4448175" cy="29718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52</xdr:row>
      <xdr:rowOff>19050</xdr:rowOff>
    </xdr:from>
    <xdr:ext cx="4600575" cy="51149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638175</xdr:colOff>
      <xdr:row>18</xdr:row>
      <xdr:rowOff>95250</xdr:rowOff>
    </xdr:from>
    <xdr:ext cx="4448175" cy="29718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19050</xdr:colOff>
      <xdr:row>36</xdr:row>
      <xdr:rowOff>0</xdr:rowOff>
    </xdr:from>
    <xdr:ext cx="4448175" cy="297180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638175</xdr:colOff>
      <xdr:row>57</xdr:row>
      <xdr:rowOff>0</xdr:rowOff>
    </xdr:from>
    <xdr:ext cx="4448175" cy="297180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628650</xdr:colOff>
      <xdr:row>72</xdr:row>
      <xdr:rowOff>85725</xdr:rowOff>
    </xdr:from>
    <xdr:ext cx="4448175" cy="29718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638175</xdr:colOff>
      <xdr:row>87</xdr:row>
      <xdr:rowOff>152400</xdr:rowOff>
    </xdr:from>
    <xdr:ext cx="4448175" cy="29718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52</xdr:row>
      <xdr:rowOff>19050</xdr:rowOff>
    </xdr:from>
    <xdr:ext cx="4505325" cy="511492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638175</xdr:colOff>
      <xdr:row>16</xdr:row>
      <xdr:rowOff>95250</xdr:rowOff>
    </xdr:from>
    <xdr:ext cx="4448175" cy="297180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28575</xdr:colOff>
      <xdr:row>31</xdr:row>
      <xdr:rowOff>95250</xdr:rowOff>
    </xdr:from>
    <xdr:ext cx="4448175" cy="297180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638175</xdr:colOff>
      <xdr:row>18</xdr:row>
      <xdr:rowOff>95250</xdr:rowOff>
    </xdr:from>
    <xdr:ext cx="4448175" cy="297180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28575</xdr:colOff>
      <xdr:row>33</xdr:row>
      <xdr:rowOff>95250</xdr:rowOff>
    </xdr:from>
    <xdr:ext cx="4448175" cy="297180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0.75"/>
    <col customWidth="1" min="5" max="5" width="21.38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5" t="s">
        <v>1</v>
      </c>
      <c r="C2" s="3"/>
      <c r="D2" s="3"/>
      <c r="E2" s="3"/>
      <c r="F2" s="3"/>
      <c r="G2" s="3"/>
      <c r="H2" s="3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6"/>
      <c r="D3" s="6"/>
      <c r="E3" s="6"/>
      <c r="F3" s="6"/>
      <c r="G3" s="6"/>
      <c r="H3" s="6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8.75" customHeight="1">
      <c r="A4" s="7"/>
      <c r="B4" s="8" t="s">
        <v>2</v>
      </c>
      <c r="C4" s="9"/>
      <c r="D4" s="9"/>
      <c r="E4" s="9"/>
      <c r="F4" s="9"/>
      <c r="G4" s="9"/>
      <c r="H4" s="9"/>
      <c r="I4" s="10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8.75" customHeight="1">
      <c r="A5" s="7"/>
      <c r="B5" s="11"/>
      <c r="C5" s="12"/>
      <c r="D5" s="12"/>
      <c r="E5" s="12"/>
      <c r="F5" s="12"/>
      <c r="G5" s="12"/>
      <c r="H5" s="12"/>
      <c r="I5" s="13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/>
      <c r="B6" s="14" t="s">
        <v>3</v>
      </c>
      <c r="C6" s="15" t="s">
        <v>4</v>
      </c>
      <c r="D6" s="3"/>
      <c r="E6" s="3"/>
      <c r="F6" s="3"/>
      <c r="G6" s="3"/>
      <c r="H6" s="3"/>
      <c r="I6" s="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6"/>
      <c r="B7" s="16"/>
      <c r="C7" s="16"/>
      <c r="D7" s="16"/>
      <c r="E7" s="16"/>
      <c r="F7" s="17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7"/>
      <c r="B8" s="18" t="s">
        <v>5</v>
      </c>
      <c r="C8" s="19" t="s">
        <v>6</v>
      </c>
      <c r="D8" s="3"/>
      <c r="E8" s="4"/>
      <c r="F8" s="18" t="s">
        <v>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>
      <c r="A9" s="16"/>
      <c r="B9" s="20">
        <v>1.0</v>
      </c>
      <c r="C9" s="21" t="s">
        <v>8</v>
      </c>
      <c r="D9" s="3"/>
      <c r="E9" s="4"/>
      <c r="F9" s="22" t="s">
        <v>9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6"/>
      <c r="B10" s="20">
        <v>2.0</v>
      </c>
      <c r="C10" s="21" t="s">
        <v>10</v>
      </c>
      <c r="D10" s="3"/>
      <c r="E10" s="4"/>
      <c r="F10" s="22" t="s">
        <v>9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6"/>
      <c r="B11" s="20">
        <v>3.0</v>
      </c>
      <c r="C11" s="21" t="s">
        <v>11</v>
      </c>
      <c r="D11" s="3"/>
      <c r="E11" s="4"/>
      <c r="F11" s="22" t="s">
        <v>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6"/>
      <c r="B12" s="20">
        <v>4.0</v>
      </c>
      <c r="C12" s="21" t="s">
        <v>12</v>
      </c>
      <c r="D12" s="3"/>
      <c r="E12" s="4"/>
      <c r="F12" s="22" t="s">
        <v>9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6"/>
      <c r="B13" s="20">
        <v>5.0</v>
      </c>
      <c r="C13" s="21" t="s">
        <v>13</v>
      </c>
      <c r="D13" s="3"/>
      <c r="E13" s="4"/>
      <c r="F13" s="22" t="s">
        <v>9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6"/>
      <c r="B14" s="20">
        <v>6.0</v>
      </c>
      <c r="C14" s="21" t="s">
        <v>14</v>
      </c>
      <c r="D14" s="3"/>
      <c r="E14" s="4"/>
      <c r="F14" s="22" t="s">
        <v>9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6"/>
      <c r="B15" s="20">
        <v>7.0</v>
      </c>
      <c r="C15" s="21" t="s">
        <v>15</v>
      </c>
      <c r="D15" s="3"/>
      <c r="E15" s="4"/>
      <c r="F15" s="22" t="s">
        <v>9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6"/>
      <c r="B16" s="20">
        <v>8.0</v>
      </c>
      <c r="C16" s="21" t="s">
        <v>16</v>
      </c>
      <c r="D16" s="3"/>
      <c r="E16" s="4"/>
      <c r="F16" s="22" t="s">
        <v>9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6"/>
      <c r="B17" s="20">
        <v>9.0</v>
      </c>
      <c r="C17" s="21" t="s">
        <v>17</v>
      </c>
      <c r="D17" s="3"/>
      <c r="E17" s="4"/>
      <c r="F17" s="22" t="s">
        <v>9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6"/>
      <c r="B18" s="20">
        <v>10.0</v>
      </c>
      <c r="C18" s="21" t="s">
        <v>18</v>
      </c>
      <c r="D18" s="3"/>
      <c r="E18" s="4"/>
      <c r="F18" s="22" t="s">
        <v>9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6"/>
      <c r="B19" s="16"/>
      <c r="C19" s="16"/>
      <c r="D19" s="16"/>
      <c r="E19" s="16"/>
      <c r="F19" s="17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6"/>
      <c r="B20" s="16"/>
      <c r="C20" s="16"/>
      <c r="D20" s="16"/>
      <c r="E20" s="16"/>
      <c r="F20" s="17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6"/>
      <c r="B21" s="16"/>
      <c r="C21" s="16"/>
      <c r="D21" s="16"/>
      <c r="E21" s="16"/>
      <c r="F21" s="17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6"/>
      <c r="B22" s="16"/>
      <c r="C22" s="16"/>
      <c r="D22" s="16"/>
      <c r="E22" s="16"/>
      <c r="F22" s="17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6"/>
      <c r="B23" s="16"/>
      <c r="C23" s="16"/>
      <c r="D23" s="16"/>
      <c r="E23" s="16"/>
      <c r="F23" s="17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/>
      <c r="B24" s="16"/>
      <c r="C24" s="16"/>
      <c r="D24" s="23" t="s">
        <v>19</v>
      </c>
      <c r="E24" s="16"/>
      <c r="F24" s="17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/>
      <c r="B25" s="16"/>
      <c r="C25" s="16"/>
      <c r="D25" s="16"/>
      <c r="E25" s="16"/>
      <c r="F25" s="17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/>
      <c r="B26" s="16"/>
      <c r="C26" s="16"/>
      <c r="D26" s="16"/>
      <c r="E26" s="16"/>
      <c r="F26" s="17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24" t="s">
        <v>20</v>
      </c>
      <c r="C27" s="16"/>
      <c r="D27" s="16"/>
      <c r="E27" s="16"/>
      <c r="F27" s="17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25" t="s">
        <v>21</v>
      </c>
      <c r="C28" s="25" t="s">
        <v>22</v>
      </c>
      <c r="D28" s="26" t="s">
        <v>23</v>
      </c>
      <c r="E28" s="4"/>
      <c r="F28" s="17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16"/>
      <c r="C29" s="16"/>
      <c r="D29" s="16"/>
      <c r="E29" s="16"/>
      <c r="F29" s="17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6"/>
      <c r="D30" s="16"/>
      <c r="E30" s="16"/>
      <c r="F30" s="17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16"/>
      <c r="C31" s="16"/>
      <c r="D31" s="16"/>
      <c r="E31" s="16"/>
      <c r="F31" s="17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16"/>
      <c r="E32" s="16"/>
      <c r="F32" s="17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16"/>
      <c r="E33" s="16"/>
      <c r="F33" s="17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16"/>
      <c r="E34" s="16"/>
      <c r="F34" s="17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16"/>
      <c r="E35" s="16"/>
      <c r="F35" s="17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16"/>
      <c r="E36" s="16"/>
      <c r="F36" s="17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16"/>
      <c r="E37" s="16"/>
      <c r="F37" s="17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16"/>
      <c r="E38" s="16"/>
      <c r="F38" s="17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16"/>
      <c r="E39" s="16"/>
      <c r="F39" s="17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16"/>
      <c r="E40" s="16"/>
      <c r="F40" s="17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16"/>
      <c r="E41" s="16"/>
      <c r="F41" s="17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16"/>
      <c r="E42" s="16"/>
      <c r="F42" s="17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16"/>
      <c r="E43" s="16"/>
      <c r="F43" s="17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16"/>
      <c r="E44" s="16"/>
      <c r="F44" s="17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16"/>
      <c r="E45" s="16"/>
      <c r="F45" s="17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16"/>
      <c r="E46" s="16"/>
      <c r="F46" s="17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16"/>
      <c r="E47" s="16"/>
      <c r="F47" s="17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16"/>
      <c r="E48" s="16"/>
      <c r="F48" s="17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16"/>
      <c r="E49" s="16"/>
      <c r="F49" s="17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16"/>
      <c r="E50" s="16"/>
      <c r="F50" s="17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16"/>
      <c r="E51" s="16"/>
      <c r="F51" s="17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16"/>
      <c r="E52" s="16"/>
      <c r="F52" s="17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16"/>
      <c r="E53" s="16"/>
      <c r="F53" s="17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16"/>
      <c r="E54" s="16"/>
      <c r="F54" s="17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16"/>
      <c r="E55" s="16"/>
      <c r="F55" s="17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16"/>
      <c r="E56" s="16"/>
      <c r="F56" s="17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16"/>
      <c r="E57" s="16"/>
      <c r="F57" s="17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16"/>
      <c r="E58" s="16"/>
      <c r="F58" s="17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16"/>
      <c r="E59" s="16"/>
      <c r="F59" s="17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16"/>
      <c r="E60" s="16"/>
      <c r="F60" s="17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16"/>
      <c r="E61" s="16"/>
      <c r="F61" s="17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16"/>
      <c r="E62" s="16"/>
      <c r="F62" s="17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16"/>
      <c r="E63" s="16"/>
      <c r="F63" s="17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16"/>
      <c r="E64" s="16"/>
      <c r="F64" s="17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16"/>
      <c r="E65" s="16"/>
      <c r="F65" s="17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16"/>
      <c r="E66" s="16"/>
      <c r="F66" s="17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7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7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7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7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7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7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7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7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7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7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7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7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7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7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7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7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7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7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7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7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7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7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7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7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7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7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7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7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7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7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7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7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7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7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7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7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7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7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7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7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7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7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7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7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7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7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7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7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7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7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7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7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7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7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7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7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7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7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7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7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7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7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7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7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7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7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7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7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7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7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7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7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7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7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7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7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7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7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7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7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7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7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7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7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7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7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7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7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7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7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7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7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7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7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7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7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7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7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7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7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7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7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7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7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7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7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7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7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7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7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7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7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7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7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7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7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7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7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7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7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7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7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7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7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7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7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7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7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7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7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7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7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7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7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7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7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7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7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7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7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7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7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7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7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7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7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7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7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7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7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7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7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7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7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7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7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7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7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7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7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7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7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7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7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7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7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7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7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7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7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7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7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7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7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7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7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7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7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7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7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7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7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7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7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7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7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7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7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7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7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7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7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7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7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7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7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7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7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7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7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7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7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7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7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7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7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7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7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7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7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7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7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7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7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7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7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7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7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7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7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7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7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7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7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7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7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7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7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7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7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7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7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7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7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7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7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7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7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7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7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7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7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7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7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7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7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7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7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7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7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7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7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7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7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7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7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7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7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7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7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7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7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7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7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7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7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7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7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7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7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7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7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7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7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7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7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7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7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7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7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7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7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7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7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7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7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7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7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7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7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7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7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7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7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7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7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7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7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7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7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7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7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7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7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7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7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7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7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7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7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7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7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7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7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7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7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7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7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7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7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7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7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7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7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7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7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7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7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7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7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7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7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7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7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7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7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7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7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7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7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7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7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7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7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7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7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7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7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7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7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7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7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7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7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7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7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7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7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7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7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7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7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7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7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7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7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7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7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7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7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7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7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7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7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7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7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7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7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7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7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7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7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7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7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7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7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7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7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7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7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7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7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7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7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7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7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7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7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7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7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7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7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7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7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7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7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7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7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7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7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7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7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7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7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7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7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7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7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7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7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7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7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7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7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7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7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7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7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7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7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7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7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7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7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7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7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7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7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7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7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7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7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7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7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7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7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7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7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7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7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7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7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7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7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7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7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7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7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7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7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7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7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7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7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7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7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7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7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7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7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7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7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7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7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7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7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7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7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7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7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7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7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7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7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7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7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7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7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7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7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7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7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7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7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7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7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7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7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7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7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7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7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7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7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7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7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7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7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7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7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7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7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7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7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7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7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7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7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7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7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7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7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7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7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7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7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7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7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7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7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7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7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7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7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7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7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7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7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7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7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7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7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7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7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7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7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7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7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7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7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7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7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7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7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7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7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7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7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7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7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7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7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7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7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7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7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7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7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7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7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7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7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7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7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7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7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7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7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7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7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7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7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7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7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7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7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7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7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7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7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7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7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7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7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7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7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7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7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7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7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7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7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7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7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7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7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7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7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7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7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7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7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7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7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7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7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7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7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7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7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7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7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7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7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7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7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7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7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7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7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7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7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7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7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7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7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7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7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7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7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7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7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7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7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7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7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7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7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7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7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7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7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7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7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7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7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7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7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7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7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7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7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7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7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7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7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7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7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7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7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7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7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7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7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7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7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7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7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7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7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7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7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7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7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7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7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7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7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7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7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7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7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7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7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7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7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7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7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7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7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7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7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7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7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7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7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7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7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7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7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7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7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7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7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7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7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7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7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7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7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7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7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7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7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7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7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7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7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7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7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7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7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7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7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7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7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7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7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7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7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7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7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7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7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7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7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7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7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7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7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7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7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7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7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7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7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7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7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7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7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7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7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7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7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7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7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7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7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7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7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7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7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7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7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7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7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7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7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7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7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7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7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7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7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7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7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7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7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7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7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7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7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7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7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7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7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7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7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7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7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7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7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7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7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7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7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7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7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7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7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7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7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7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7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7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7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7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7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7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7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7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7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7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7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7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7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7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7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7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7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7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7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7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7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7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7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7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7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7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7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7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7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7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7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7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7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7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7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7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7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7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7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7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7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7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7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7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7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7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7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7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7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7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7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7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7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7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7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7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7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7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7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7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7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7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7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7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7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7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7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7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7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7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7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7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7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7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7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7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7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7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7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7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7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7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7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7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7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7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7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7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7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7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7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7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7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7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7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7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7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7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7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7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7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7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7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7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7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7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7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7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7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7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7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6"/>
      <c r="F991" s="17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16"/>
      <c r="E992" s="16"/>
      <c r="F992" s="17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16"/>
      <c r="E993" s="16"/>
      <c r="F993" s="17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16"/>
      <c r="E994" s="16"/>
      <c r="F994" s="17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16"/>
      <c r="E995" s="16"/>
      <c r="F995" s="17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16"/>
      <c r="E996" s="16"/>
      <c r="F996" s="17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16"/>
      <c r="E997" s="16"/>
      <c r="F997" s="17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16"/>
      <c r="E998" s="16"/>
      <c r="F998" s="17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16"/>
      <c r="E999" s="16"/>
      <c r="F999" s="17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16"/>
      <c r="E1000" s="16"/>
      <c r="F1000" s="17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16"/>
      <c r="B1001" s="16"/>
      <c r="C1001" s="16"/>
      <c r="D1001" s="16"/>
      <c r="E1001" s="16"/>
      <c r="F1001" s="17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>
      <c r="A1002" s="16"/>
      <c r="B1002" s="16"/>
      <c r="C1002" s="16"/>
      <c r="D1002" s="16"/>
      <c r="E1002" s="16"/>
      <c r="F1002" s="17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>
      <c r="A1003" s="16"/>
      <c r="B1003" s="16"/>
      <c r="C1003" s="16"/>
      <c r="D1003" s="16"/>
      <c r="E1003" s="16"/>
      <c r="F1003" s="17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>
      <c r="A1004" s="16"/>
      <c r="B1004" s="16"/>
      <c r="C1004" s="16"/>
      <c r="D1004" s="16"/>
      <c r="E1004" s="16"/>
      <c r="F1004" s="17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>
      <c r="A1005" s="16"/>
      <c r="B1005" s="16"/>
      <c r="C1005" s="16"/>
      <c r="D1005" s="16"/>
      <c r="E1005" s="16"/>
      <c r="F1005" s="17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>
      <c r="A1006" s="16"/>
      <c r="B1006" s="16"/>
      <c r="C1006" s="16"/>
      <c r="D1006" s="16"/>
      <c r="E1006" s="16"/>
      <c r="F1006" s="17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</sheetData>
  <mergeCells count="16">
    <mergeCell ref="B1:I1"/>
    <mergeCell ref="B2:I2"/>
    <mergeCell ref="B4:I5"/>
    <mergeCell ref="C6:I6"/>
    <mergeCell ref="C8:E8"/>
    <mergeCell ref="C9:E9"/>
    <mergeCell ref="C10:E10"/>
    <mergeCell ref="C18:E18"/>
    <mergeCell ref="D28:E28"/>
    <mergeCell ref="C11:E11"/>
    <mergeCell ref="C12:E12"/>
    <mergeCell ref="C13:E13"/>
    <mergeCell ref="C14:E14"/>
    <mergeCell ref="C15:E15"/>
    <mergeCell ref="C16:E16"/>
    <mergeCell ref="C17:E17"/>
  </mergeCells>
  <hyperlinks>
    <hyperlink display="CLICK HERE &amp; FOLLOW INSTRUCTIONS TO MAKE YOUR OWN COPY" location="'MAKE YOUR COPY'!A1" ref="B2"/>
    <hyperlink display="Click Here" location="'P Test on Air Blower '!A1" ref="F9"/>
    <hyperlink display="Click Here" location="'3 CYL 4 STR P'!A1" ref="F10"/>
    <hyperlink display="Click Here" location="'HB of 3 CYL 4 STR P'!A1" ref="F11"/>
    <hyperlink display="Click Here" location="'1 CYL 4 STR D'!A1" ref="F12"/>
    <hyperlink display="Click Here" location="'HB of 1 CYL 4 STR D'!A1" ref="F13"/>
    <hyperlink display="Click Here" location="'4 CYL 4 STR D'!A1" ref="F14"/>
    <hyperlink display="Click Here" location="'HB of 4 CYL 4 STR D'!A1" ref="F15"/>
    <hyperlink display="Click Here" location="'P Test on SS Compr'!A1" ref="F16"/>
    <hyperlink display="Click Here" location="'P Test on MS Compr'!A1" ref="F17"/>
    <hyperlink display="Click Here" location="'MORSE TEST-3 CYL 4 STR P'!A1" ref="F18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7" max="7" width="18.25"/>
  </cols>
  <sheetData>
    <row r="23">
      <c r="A23" s="27" t="s">
        <v>24</v>
      </c>
    </row>
  </sheetData>
  <mergeCells count="1">
    <mergeCell ref="A23:C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25"/>
    <col customWidth="1" min="3" max="3" width="8.25"/>
    <col customWidth="1" min="4" max="7" width="8.5"/>
    <col customWidth="1" min="8" max="9" width="9.25"/>
    <col customWidth="1" min="10" max="11" width="8.25"/>
    <col customWidth="1" min="12" max="14" width="9.13"/>
  </cols>
  <sheetData>
    <row r="1">
      <c r="A1" s="28" t="s">
        <v>25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0"/>
      <c r="B2" s="31" t="s">
        <v>26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0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.5" customHeight="1">
      <c r="A4" s="30"/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.5" customHeight="1">
      <c r="A5" s="30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0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0"/>
      <c r="B7" s="29" t="s">
        <v>27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26.25" customHeight="1">
      <c r="A9" s="30"/>
      <c r="B9" s="32" t="s">
        <v>28</v>
      </c>
      <c r="C9" s="32" t="s">
        <v>29</v>
      </c>
      <c r="D9" s="33" t="s">
        <v>30</v>
      </c>
      <c r="E9" s="34"/>
      <c r="F9" s="35"/>
      <c r="G9" s="33" t="s">
        <v>31</v>
      </c>
      <c r="H9" s="34"/>
      <c r="I9" s="35"/>
      <c r="J9" s="36" t="s">
        <v>32</v>
      </c>
      <c r="K9" s="36" t="s">
        <v>33</v>
      </c>
      <c r="L9" s="37" t="s">
        <v>34</v>
      </c>
      <c r="M9" s="37" t="s">
        <v>35</v>
      </c>
      <c r="N9" s="37" t="s">
        <v>36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50.25" customHeight="1">
      <c r="A10" s="30"/>
      <c r="B10" s="38"/>
      <c r="C10" s="38"/>
      <c r="D10" s="39" t="s">
        <v>37</v>
      </c>
      <c r="E10" s="39" t="s">
        <v>38</v>
      </c>
      <c r="F10" s="39" t="s">
        <v>39</v>
      </c>
      <c r="G10" s="39" t="s">
        <v>37</v>
      </c>
      <c r="H10" s="39" t="s">
        <v>38</v>
      </c>
      <c r="I10" s="39" t="s">
        <v>40</v>
      </c>
      <c r="J10" s="38"/>
      <c r="K10" s="38"/>
      <c r="L10" s="38"/>
      <c r="M10" s="38"/>
      <c r="N10" s="38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>
        <f>1/8</f>
        <v>0.125</v>
      </c>
      <c r="B11" s="40">
        <v>1.0</v>
      </c>
      <c r="C11" s="41">
        <v>43838.0</v>
      </c>
      <c r="D11" s="42">
        <v>38.3</v>
      </c>
      <c r="E11" s="42">
        <v>38.0</v>
      </c>
      <c r="F11" s="43">
        <f t="shared" ref="F11:F18" si="1">IF((D11-E11)&gt;0,(D11-E11)*10,(E11-D11)*10)</f>
        <v>3</v>
      </c>
      <c r="G11" s="42">
        <v>19.2</v>
      </c>
      <c r="H11" s="42">
        <v>19.1</v>
      </c>
      <c r="I11" s="43">
        <f t="shared" ref="I11:I18" si="2">IF((G11-H11)&gt;0,(G11-H11)*10,(H11-G11)*10)</f>
        <v>1</v>
      </c>
      <c r="J11" s="44">
        <v>131.16</v>
      </c>
      <c r="K11" s="45">
        <v>2620.0</v>
      </c>
      <c r="L11" s="46">
        <f t="shared" ref="L11:L18" si="3">(F11/1.225)</f>
        <v>2.448979592</v>
      </c>
      <c r="M11" s="46">
        <f t="shared" ref="M11:M18" si="4">(I11/1.225)</f>
        <v>0.8163265306</v>
      </c>
      <c r="N11" s="46">
        <f t="shared" ref="N11:N18" si="5">L11+M11</f>
        <v>3.265306122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>
        <f>2/8</f>
        <v>0.25</v>
      </c>
      <c r="B12" s="40">
        <v>2.0</v>
      </c>
      <c r="C12" s="41">
        <v>43869.0</v>
      </c>
      <c r="D12" s="42">
        <v>38.6</v>
      </c>
      <c r="E12" s="42">
        <v>38.4</v>
      </c>
      <c r="F12" s="43">
        <f t="shared" si="1"/>
        <v>2</v>
      </c>
      <c r="G12" s="42">
        <v>19.3</v>
      </c>
      <c r="H12" s="42">
        <v>18.2</v>
      </c>
      <c r="I12" s="43">
        <f t="shared" si="2"/>
        <v>11</v>
      </c>
      <c r="J12" s="44">
        <v>109.65</v>
      </c>
      <c r="K12" s="45">
        <v>2610.0</v>
      </c>
      <c r="L12" s="46">
        <f t="shared" si="3"/>
        <v>1.632653061</v>
      </c>
      <c r="M12" s="46">
        <f t="shared" si="4"/>
        <v>8.979591837</v>
      </c>
      <c r="N12" s="46">
        <f t="shared" si="5"/>
        <v>10.6122449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0">
        <f t="shared" ref="A13:A18" si="6">B13/8</f>
        <v>0.375</v>
      </c>
      <c r="B13" s="40">
        <v>3.0</v>
      </c>
      <c r="C13" s="41">
        <v>43898.0</v>
      </c>
      <c r="D13" s="42">
        <v>39.0</v>
      </c>
      <c r="E13" s="42">
        <v>39.5</v>
      </c>
      <c r="F13" s="43">
        <f t="shared" si="1"/>
        <v>5</v>
      </c>
      <c r="G13" s="42">
        <v>20.7</v>
      </c>
      <c r="H13" s="42">
        <v>17.5</v>
      </c>
      <c r="I13" s="43">
        <f t="shared" si="2"/>
        <v>32</v>
      </c>
      <c r="J13" s="44">
        <v>97.22</v>
      </c>
      <c r="K13" s="45">
        <v>2600.0</v>
      </c>
      <c r="L13" s="46">
        <f t="shared" si="3"/>
        <v>4.081632653</v>
      </c>
      <c r="M13" s="46">
        <f t="shared" si="4"/>
        <v>26.12244898</v>
      </c>
      <c r="N13" s="46">
        <f t="shared" si="5"/>
        <v>30.20408163</v>
      </c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>
        <f t="shared" si="6"/>
        <v>0.5</v>
      </c>
      <c r="B14" s="40">
        <v>4.0</v>
      </c>
      <c r="C14" s="41">
        <v>43929.0</v>
      </c>
      <c r="D14" s="42">
        <v>39.2</v>
      </c>
      <c r="E14" s="42">
        <v>38.0</v>
      </c>
      <c r="F14" s="43">
        <f t="shared" si="1"/>
        <v>12</v>
      </c>
      <c r="G14" s="42">
        <v>23.0</v>
      </c>
      <c r="H14" s="42">
        <v>15.1</v>
      </c>
      <c r="I14" s="43">
        <f t="shared" si="2"/>
        <v>79</v>
      </c>
      <c r="J14" s="44">
        <v>76.47</v>
      </c>
      <c r="K14" s="45">
        <v>2578.0</v>
      </c>
      <c r="L14" s="46">
        <f t="shared" si="3"/>
        <v>9.795918367</v>
      </c>
      <c r="M14" s="46">
        <f t="shared" si="4"/>
        <v>64.48979592</v>
      </c>
      <c r="N14" s="46">
        <f t="shared" si="5"/>
        <v>74.28571429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>
        <f t="shared" si="6"/>
        <v>0.625</v>
      </c>
      <c r="B15" s="40">
        <v>5.0</v>
      </c>
      <c r="C15" s="41">
        <v>43959.0</v>
      </c>
      <c r="D15" s="42">
        <v>39.3</v>
      </c>
      <c r="E15" s="42">
        <v>37.7</v>
      </c>
      <c r="F15" s="43">
        <f t="shared" si="1"/>
        <v>16</v>
      </c>
      <c r="G15" s="42">
        <v>26.1</v>
      </c>
      <c r="H15" s="42">
        <v>12.1</v>
      </c>
      <c r="I15" s="43">
        <f t="shared" si="2"/>
        <v>140</v>
      </c>
      <c r="J15" s="44">
        <v>69.72</v>
      </c>
      <c r="K15" s="45">
        <v>2567.0</v>
      </c>
      <c r="L15" s="46">
        <f t="shared" si="3"/>
        <v>13.06122449</v>
      </c>
      <c r="M15" s="46">
        <f t="shared" si="4"/>
        <v>114.2857143</v>
      </c>
      <c r="N15" s="46">
        <f t="shared" si="5"/>
        <v>127.3469388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>
        <f t="shared" si="6"/>
        <v>0.75</v>
      </c>
      <c r="B16" s="40">
        <v>6.0</v>
      </c>
      <c r="C16" s="41">
        <v>43990.0</v>
      </c>
      <c r="D16" s="42">
        <v>39.6</v>
      </c>
      <c r="E16" s="42">
        <v>37.5</v>
      </c>
      <c r="F16" s="43">
        <f t="shared" si="1"/>
        <v>21</v>
      </c>
      <c r="G16" s="42">
        <v>28.0</v>
      </c>
      <c r="H16" s="42">
        <v>10.0</v>
      </c>
      <c r="I16" s="43">
        <f t="shared" si="2"/>
        <v>180</v>
      </c>
      <c r="J16" s="44">
        <v>64.0</v>
      </c>
      <c r="K16" s="45">
        <v>2563.0</v>
      </c>
      <c r="L16" s="46">
        <f t="shared" si="3"/>
        <v>17.14285714</v>
      </c>
      <c r="M16" s="46">
        <f t="shared" si="4"/>
        <v>146.9387755</v>
      </c>
      <c r="N16" s="46">
        <f t="shared" si="5"/>
        <v>164.0816327</v>
      </c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>
        <f t="shared" si="6"/>
        <v>0.875</v>
      </c>
      <c r="B17" s="40">
        <v>7.0</v>
      </c>
      <c r="C17" s="41">
        <v>44020.0</v>
      </c>
      <c r="D17" s="42">
        <v>39.7</v>
      </c>
      <c r="E17" s="42">
        <v>37.4</v>
      </c>
      <c r="F17" s="43">
        <f t="shared" si="1"/>
        <v>23</v>
      </c>
      <c r="G17" s="42">
        <v>28.9</v>
      </c>
      <c r="H17" s="42">
        <v>9.3</v>
      </c>
      <c r="I17" s="43">
        <f t="shared" si="2"/>
        <v>196</v>
      </c>
      <c r="J17" s="44">
        <v>63.31</v>
      </c>
      <c r="K17" s="45">
        <v>2558.0</v>
      </c>
      <c r="L17" s="46">
        <f t="shared" si="3"/>
        <v>18.7755102</v>
      </c>
      <c r="M17" s="46">
        <f t="shared" si="4"/>
        <v>160</v>
      </c>
      <c r="N17" s="46">
        <f t="shared" si="5"/>
        <v>178.7755102</v>
      </c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>
        <f t="shared" si="6"/>
        <v>1</v>
      </c>
      <c r="B18" s="40">
        <v>8.0</v>
      </c>
      <c r="C18" s="41">
        <v>44051.0</v>
      </c>
      <c r="D18" s="42">
        <v>39.8</v>
      </c>
      <c r="E18" s="42">
        <v>37.3</v>
      </c>
      <c r="F18" s="43">
        <f t="shared" si="1"/>
        <v>25</v>
      </c>
      <c r="G18" s="42">
        <v>29.0</v>
      </c>
      <c r="H18" s="42">
        <v>9.2</v>
      </c>
      <c r="I18" s="43">
        <f t="shared" si="2"/>
        <v>198</v>
      </c>
      <c r="J18" s="44">
        <v>63.0</v>
      </c>
      <c r="K18" s="45">
        <v>2555.0</v>
      </c>
      <c r="L18" s="46">
        <f t="shared" si="3"/>
        <v>20.40816327</v>
      </c>
      <c r="M18" s="46">
        <f t="shared" si="4"/>
        <v>161.6326531</v>
      </c>
      <c r="N18" s="46">
        <f t="shared" si="5"/>
        <v>182.0408163</v>
      </c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30"/>
      <c r="D19" s="30"/>
      <c r="E19" s="30"/>
      <c r="F19" s="30"/>
      <c r="G19" s="30"/>
      <c r="H19" s="47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.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.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48" t="s">
        <v>28</v>
      </c>
      <c r="C23" s="40" t="s">
        <v>41</v>
      </c>
      <c r="D23" s="40" t="s">
        <v>42</v>
      </c>
      <c r="E23" s="40" t="s">
        <v>43</v>
      </c>
      <c r="F23" s="40" t="s">
        <v>44</v>
      </c>
      <c r="G23" s="40" t="s">
        <v>45</v>
      </c>
      <c r="H23" s="49" t="s">
        <v>46</v>
      </c>
      <c r="I23" s="5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40">
        <v>1.0</v>
      </c>
      <c r="C24" s="51">
        <f t="shared" ref="C24:C31" si="7">F24*0.9</f>
        <v>0.6175663312</v>
      </c>
      <c r="D24" s="46">
        <f t="shared" ref="D24:D31" si="8">(1.225*9.8*E24*N11)/(1000)</f>
        <v>0.001265409423</v>
      </c>
      <c r="E24" s="46">
        <f t="shared" ref="E24:E31" si="9">($K$24*0.92*((2*9.81*M11)^(1/2)))</f>
        <v>0.03228085262</v>
      </c>
      <c r="F24" s="51">
        <f t="shared" ref="F24:F31" si="10">(5*3600)/(J11*200)</f>
        <v>0.6861848124</v>
      </c>
      <c r="G24" s="46">
        <f t="shared" ref="G24:G31" si="11">(D24*100)/F24</f>
        <v>0.1844123332</v>
      </c>
      <c r="H24" s="52">
        <f t="shared" ref="H24:H31" si="12">(D24*100)/C24</f>
        <v>0.2049025924</v>
      </c>
      <c r="I24" s="53"/>
      <c r="J24" s="54" t="s">
        <v>47</v>
      </c>
      <c r="K24" s="55">
        <f>(K25*K26)/((((K25)^2)-((K26)^2))^(1/2))</f>
        <v>0.008767498747</v>
      </c>
      <c r="L24" s="56">
        <f t="shared" ref="L24:L26" si="13">K24*1000</f>
        <v>8.767498747</v>
      </c>
      <c r="M24" s="57" t="s">
        <v>48</v>
      </c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40">
        <v>2.0</v>
      </c>
      <c r="C25" s="51">
        <f t="shared" si="7"/>
        <v>0.7387140903</v>
      </c>
      <c r="D25" s="46">
        <f t="shared" si="8"/>
        <v>0.01363988685</v>
      </c>
      <c r="E25" s="46">
        <f t="shared" si="9"/>
        <v>0.107063476</v>
      </c>
      <c r="F25" s="51">
        <f t="shared" si="10"/>
        <v>0.8207934337</v>
      </c>
      <c r="G25" s="46">
        <f t="shared" si="11"/>
        <v>1.661792881</v>
      </c>
      <c r="H25" s="52">
        <f t="shared" si="12"/>
        <v>1.846436534</v>
      </c>
      <c r="I25" s="53"/>
      <c r="J25" s="54" t="s">
        <v>49</v>
      </c>
      <c r="K25" s="55">
        <f>PI()*((0.15)^2)/4</f>
        <v>0.01767145868</v>
      </c>
      <c r="L25" s="56">
        <f t="shared" si="13"/>
        <v>17.67145868</v>
      </c>
      <c r="M25" s="57" t="s">
        <v>50</v>
      </c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40">
        <v>3.0</v>
      </c>
      <c r="C26" s="51">
        <f t="shared" si="7"/>
        <v>0.8331619008</v>
      </c>
      <c r="D26" s="46">
        <f t="shared" si="8"/>
        <v>0.06621368919</v>
      </c>
      <c r="E26" s="46">
        <f t="shared" si="9"/>
        <v>0.1826080783</v>
      </c>
      <c r="F26" s="51">
        <f t="shared" si="10"/>
        <v>0.9257354454</v>
      </c>
      <c r="G26" s="46">
        <f t="shared" si="11"/>
        <v>7.152549848</v>
      </c>
      <c r="H26" s="52">
        <f t="shared" si="12"/>
        <v>7.947277609</v>
      </c>
      <c r="I26" s="53"/>
      <c r="J26" s="54" t="s">
        <v>51</v>
      </c>
      <c r="K26" s="55">
        <f>PI()*((0.1)^2)/4</f>
        <v>0.007853981634</v>
      </c>
      <c r="L26" s="56">
        <f t="shared" si="13"/>
        <v>7.853981634</v>
      </c>
      <c r="M26" s="57" t="s">
        <v>52</v>
      </c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40">
        <v>4.0</v>
      </c>
      <c r="C27" s="51">
        <f t="shared" si="7"/>
        <v>1.059238917</v>
      </c>
      <c r="D27" s="46">
        <f t="shared" si="8"/>
        <v>0.255873913</v>
      </c>
      <c r="E27" s="46">
        <f t="shared" si="9"/>
        <v>0.286918494</v>
      </c>
      <c r="F27" s="51">
        <f t="shared" si="10"/>
        <v>1.17693213</v>
      </c>
      <c r="G27" s="46">
        <f t="shared" si="11"/>
        <v>21.74075347</v>
      </c>
      <c r="H27" s="52">
        <f t="shared" si="12"/>
        <v>24.15639275</v>
      </c>
      <c r="I27" s="53"/>
      <c r="J27" s="58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40">
        <v>5.0</v>
      </c>
      <c r="C28" s="51">
        <f t="shared" si="7"/>
        <v>1.161790017</v>
      </c>
      <c r="D28" s="46">
        <f t="shared" si="8"/>
        <v>0.583928522</v>
      </c>
      <c r="E28" s="46">
        <f t="shared" si="9"/>
        <v>0.3819521991</v>
      </c>
      <c r="F28" s="51">
        <f t="shared" si="10"/>
        <v>1.290877797</v>
      </c>
      <c r="G28" s="46">
        <f t="shared" si="11"/>
        <v>45.23499617</v>
      </c>
      <c r="H28" s="52">
        <f t="shared" si="12"/>
        <v>50.26110686</v>
      </c>
      <c r="I28" s="53"/>
      <c r="J28" s="59"/>
      <c r="K28" s="59"/>
      <c r="L28" s="5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40">
        <v>6.0</v>
      </c>
      <c r="C29" s="51">
        <f t="shared" si="7"/>
        <v>1.265625</v>
      </c>
      <c r="D29" s="46">
        <f t="shared" si="8"/>
        <v>0.8531067587</v>
      </c>
      <c r="E29" s="46">
        <f t="shared" si="9"/>
        <v>0.433093085</v>
      </c>
      <c r="F29" s="51">
        <f t="shared" si="10"/>
        <v>1.40625</v>
      </c>
      <c r="G29" s="46">
        <f t="shared" si="11"/>
        <v>60.66536951</v>
      </c>
      <c r="H29" s="52">
        <f t="shared" si="12"/>
        <v>67.40596612</v>
      </c>
      <c r="I29" s="53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40">
        <v>7.0</v>
      </c>
      <c r="C30" s="51">
        <f t="shared" si="7"/>
        <v>1.279418733</v>
      </c>
      <c r="D30" s="46">
        <f t="shared" si="8"/>
        <v>0.9699363224</v>
      </c>
      <c r="E30" s="46">
        <f t="shared" si="9"/>
        <v>0.4519319366</v>
      </c>
      <c r="F30" s="51">
        <f t="shared" si="10"/>
        <v>1.42157637</v>
      </c>
      <c r="G30" s="46">
        <f t="shared" si="11"/>
        <v>68.22963175</v>
      </c>
      <c r="H30" s="52">
        <f t="shared" si="12"/>
        <v>75.81070194</v>
      </c>
      <c r="I30" s="53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40">
        <v>8.0</v>
      </c>
      <c r="C31" s="51">
        <f t="shared" si="7"/>
        <v>1.285714286</v>
      </c>
      <c r="D31" s="46">
        <f t="shared" si="8"/>
        <v>0.9926783059</v>
      </c>
      <c r="E31" s="46">
        <f t="shared" si="9"/>
        <v>0.4542318596</v>
      </c>
      <c r="F31" s="51">
        <f t="shared" si="10"/>
        <v>1.428571429</v>
      </c>
      <c r="G31" s="46">
        <f t="shared" si="11"/>
        <v>69.48748141</v>
      </c>
      <c r="H31" s="52">
        <f t="shared" si="12"/>
        <v>77.20831268</v>
      </c>
      <c r="I31" s="53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E32" s="30"/>
      <c r="F32" s="59" t="s">
        <v>53</v>
      </c>
      <c r="G32" s="60">
        <f t="shared" ref="G32:H32" si="14">AVERAGE(G24:G31)</f>
        <v>34.29462342</v>
      </c>
      <c r="H32" s="60">
        <f t="shared" si="14"/>
        <v>38.10513714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.5" customHeight="1">
      <c r="A33" s="30"/>
      <c r="B33" s="30"/>
      <c r="C33" s="30"/>
      <c r="D33" s="59"/>
      <c r="E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.5" customHeight="1">
      <c r="A34" s="30"/>
      <c r="B34" s="30"/>
      <c r="C34" s="30"/>
      <c r="D34" s="59"/>
      <c r="E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.5" customHeight="1">
      <c r="A35" s="30"/>
      <c r="B35" s="30"/>
      <c r="C35" s="30"/>
      <c r="D35" s="59"/>
      <c r="E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.5" customHeight="1">
      <c r="A36" s="30"/>
      <c r="B36" s="30"/>
      <c r="C36" s="30"/>
      <c r="D36" s="59"/>
      <c r="E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.5" customHeight="1">
      <c r="A37" s="30"/>
      <c r="B37" s="30"/>
      <c r="C37" s="30"/>
      <c r="D37" s="59"/>
      <c r="E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.5" customHeight="1">
      <c r="A38" s="30"/>
      <c r="B38" s="30"/>
      <c r="C38" s="30"/>
      <c r="D38" s="59"/>
      <c r="E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.5" customHeight="1">
      <c r="A39" s="30"/>
      <c r="B39" s="30"/>
      <c r="C39" s="30"/>
      <c r="D39" s="59"/>
      <c r="E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.5" customHeight="1">
      <c r="A40" s="30"/>
      <c r="B40" s="30"/>
      <c r="C40" s="30"/>
      <c r="D40" s="59"/>
      <c r="E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.5" customHeight="1">
      <c r="A41" s="30"/>
      <c r="B41" s="30"/>
      <c r="C41" s="30"/>
      <c r="D41" s="59"/>
      <c r="E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.5" customHeight="1">
      <c r="A42" s="30"/>
      <c r="B42" s="30"/>
      <c r="C42" s="30"/>
      <c r="D42" s="59"/>
      <c r="E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.5" customHeight="1">
      <c r="A43" s="30"/>
      <c r="B43" s="30"/>
      <c r="C43" s="30"/>
      <c r="D43" s="59"/>
      <c r="E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.5" customHeight="1">
      <c r="A44" s="30"/>
      <c r="B44" s="30"/>
      <c r="C44" s="30"/>
      <c r="D44" s="59"/>
      <c r="E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59"/>
      <c r="E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29" t="s">
        <v>54</v>
      </c>
      <c r="C46" s="30"/>
      <c r="D46" s="59"/>
      <c r="E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59"/>
      <c r="E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.5" customHeight="1">
      <c r="A48" s="30"/>
      <c r="B48" s="30"/>
      <c r="C48" s="30"/>
      <c r="E48" s="30"/>
      <c r="F48" s="59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.5" customHeight="1">
      <c r="A49" s="30"/>
      <c r="B49" s="30"/>
      <c r="C49" s="30"/>
      <c r="D49" s="59"/>
      <c r="E49" s="30"/>
      <c r="F49" s="59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59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59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59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  <row r="1007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</row>
    <row r="1008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</row>
    <row r="1009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</row>
    <row r="1010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</row>
    <row r="1011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</row>
    <row r="1012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</row>
    <row r="1013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</row>
    <row r="1014">
      <c r="A1014" s="30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</row>
    <row r="1015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</row>
    <row r="1016">
      <c r="A1016" s="30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</row>
    <row r="1017">
      <c r="A1017" s="30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</row>
    <row r="1018">
      <c r="A1018" s="30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</row>
    <row r="1019">
      <c r="A1019" s="30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</row>
    <row r="1020">
      <c r="A1020" s="30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</row>
    <row r="1021">
      <c r="A1021" s="30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</row>
    <row r="1022">
      <c r="A1022" s="30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</row>
    <row r="1023">
      <c r="A1023" s="30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</row>
    <row r="1024">
      <c r="A1024" s="30"/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</row>
    <row r="1025">
      <c r="A1025" s="30"/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</row>
  </sheetData>
  <mergeCells count="10">
    <mergeCell ref="L9:L10"/>
    <mergeCell ref="M9:M10"/>
    <mergeCell ref="N9:N10"/>
    <mergeCell ref="B2:L2"/>
    <mergeCell ref="B9:B10"/>
    <mergeCell ref="C9:C10"/>
    <mergeCell ref="D9:F9"/>
    <mergeCell ref="G9:I9"/>
    <mergeCell ref="J9:J10"/>
    <mergeCell ref="K9:K10"/>
  </mergeCells>
  <conditionalFormatting sqref="A18">
    <cfRule type="notContainsBlanks" dxfId="0" priority="1">
      <formula>LEN(TRIM(A18))&gt;0</formula>
    </cfRule>
  </conditionalFormatting>
  <hyperlinks>
    <hyperlink display="&lt;-- Back to Index" location="Index!A1" ref="A1"/>
  </hyperlinks>
  <printOptions horizontalCentered="1" verticalCentered="1"/>
  <pageMargins bottom="0.75" footer="0.0" header="0.0" left="0.25" right="0.25" top="0.75"/>
  <pageSetup paperSize="9" cellComments="atEnd" orientation="portrait" pageOrder="overThenDown"/>
  <rowBreaks count="3" manualBreakCount="3">
    <brk man="1"/>
    <brk id="84" man="1"/>
    <brk id="44" man="1"/>
  </rowBreaks>
  <colBreaks count="2" manualBreakCount="2">
    <brk man="1"/>
    <brk id="12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0"/>
    <col customWidth="1" min="3" max="3" width="8.25"/>
    <col customWidth="1" min="4" max="5" width="0.38"/>
    <col customWidth="1" min="6" max="6" width="8.5"/>
    <col customWidth="1" min="7" max="9" width="5.63"/>
    <col customWidth="1" min="10" max="10" width="7.63"/>
    <col customWidth="1" min="11" max="12" width="7.13"/>
    <col customWidth="1" min="13" max="13" width="8.63"/>
    <col customWidth="1" min="14" max="14" width="5.0"/>
    <col customWidth="1" min="15" max="21" width="8.63"/>
  </cols>
  <sheetData>
    <row r="1">
      <c r="A1" s="28" t="s">
        <v>25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0"/>
      <c r="B2" s="31" t="s">
        <v>55</v>
      </c>
      <c r="V2" s="30"/>
      <c r="W2" s="30"/>
      <c r="X2" s="30"/>
      <c r="Y2" s="30"/>
      <c r="Z2" s="30"/>
    </row>
    <row r="3">
      <c r="A3" s="30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0"/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0"/>
      <c r="B5" s="29" t="s">
        <v>56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29" t="s">
        <v>57</v>
      </c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61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26.25" customHeight="1">
      <c r="A7" s="30"/>
      <c r="B7" s="32" t="s">
        <v>28</v>
      </c>
      <c r="C7" s="32" t="s">
        <v>58</v>
      </c>
      <c r="D7" s="32"/>
      <c r="E7" s="32"/>
      <c r="F7" s="32" t="s">
        <v>59</v>
      </c>
      <c r="G7" s="33" t="s">
        <v>60</v>
      </c>
      <c r="H7" s="34"/>
      <c r="I7" s="35"/>
      <c r="J7" s="36" t="s">
        <v>61</v>
      </c>
      <c r="K7" s="36" t="s">
        <v>62</v>
      </c>
      <c r="L7" s="62" t="s">
        <v>63</v>
      </c>
      <c r="M7" s="63"/>
      <c r="N7" s="32" t="s">
        <v>28</v>
      </c>
      <c r="O7" s="64" t="s">
        <v>64</v>
      </c>
      <c r="P7" s="65" t="s">
        <v>65</v>
      </c>
      <c r="Q7" s="65" t="s">
        <v>66</v>
      </c>
      <c r="R7" s="65" t="s">
        <v>67</v>
      </c>
      <c r="S7" s="49" t="s">
        <v>68</v>
      </c>
      <c r="T7" s="34"/>
      <c r="U7" s="35"/>
      <c r="V7" s="30"/>
      <c r="W7" s="30"/>
      <c r="X7" s="30"/>
      <c r="Y7" s="30"/>
      <c r="Z7" s="30"/>
    </row>
    <row r="8">
      <c r="A8" s="30"/>
      <c r="B8" s="38"/>
      <c r="C8" s="38"/>
      <c r="D8" s="38"/>
      <c r="E8" s="38"/>
      <c r="F8" s="38"/>
      <c r="G8" s="39" t="s">
        <v>69</v>
      </c>
      <c r="H8" s="39" t="s">
        <v>70</v>
      </c>
      <c r="I8" s="39" t="s">
        <v>71</v>
      </c>
      <c r="J8" s="38"/>
      <c r="K8" s="38"/>
      <c r="L8" s="66"/>
      <c r="M8" s="63"/>
      <c r="N8" s="38"/>
      <c r="O8" s="67"/>
      <c r="P8" s="38"/>
      <c r="Q8" s="38"/>
      <c r="R8" s="38"/>
      <c r="S8" s="40" t="s">
        <v>72</v>
      </c>
      <c r="T8" s="40" t="s">
        <v>73</v>
      </c>
      <c r="U8" s="40" t="s">
        <v>74</v>
      </c>
      <c r="V8" s="30"/>
      <c r="W8" s="30"/>
      <c r="X8" s="30"/>
      <c r="Y8" s="30"/>
      <c r="Z8" s="30"/>
    </row>
    <row r="9">
      <c r="A9" s="30"/>
      <c r="B9" s="40">
        <v>1.0</v>
      </c>
      <c r="C9" s="40">
        <v>0.0</v>
      </c>
      <c r="D9" s="40"/>
      <c r="E9" s="40"/>
      <c r="F9" s="40">
        <v>2000.0</v>
      </c>
      <c r="G9" s="40">
        <v>84.0</v>
      </c>
      <c r="H9" s="40">
        <v>79.0</v>
      </c>
      <c r="I9" s="68">
        <f t="shared" ref="I9:I14" si="1">G9-H9</f>
        <v>5</v>
      </c>
      <c r="J9" s="46">
        <f t="shared" ref="J9:J14" si="2">(I9*1000)/(1000*1.193)</f>
        <v>4.191114837</v>
      </c>
      <c r="K9" s="46">
        <f t="shared" ref="K9:K14" si="3">0.62*(0.00049)*((2*9.8*J9)^(1/2))*3600</f>
        <v>9.912497398</v>
      </c>
      <c r="L9" s="52">
        <f t="shared" ref="L9:L14" si="4">((PI()*((0.0685)^2))/4)*(0.072*(F9/2)*60)*3</f>
        <v>47.76128754</v>
      </c>
      <c r="M9" s="63"/>
      <c r="N9" s="40">
        <v>1.0</v>
      </c>
      <c r="O9" s="69">
        <v>29.71</v>
      </c>
      <c r="P9" s="46">
        <f t="shared" ref="P9:P14" si="5">(0.72*3600*10)/(1000*O9)</f>
        <v>0.8724335241</v>
      </c>
      <c r="Q9" s="51">
        <f t="shared" ref="Q9:Q14" si="6">(C9*F9)/3240</f>
        <v>0</v>
      </c>
      <c r="R9" s="46" t="str">
        <f t="shared" ref="R9:R14" si="7">P9/Q9</f>
        <v>#DIV/0!</v>
      </c>
      <c r="S9" s="70">
        <f t="shared" ref="S9:S14" si="8">(Q9*3600*100)/(P9*43500)</f>
        <v>0</v>
      </c>
      <c r="T9" s="70">
        <f t="shared" ref="T9:T14" si="9">(K9/L9)*100</f>
        <v>20.75425079</v>
      </c>
      <c r="U9" s="70">
        <f t="shared" ref="U9:U14" si="10">Q9*100/(Q9+5)</f>
        <v>0</v>
      </c>
      <c r="V9" s="30"/>
      <c r="W9" s="30"/>
      <c r="X9" s="30"/>
      <c r="Y9" s="30"/>
      <c r="Z9" s="30"/>
    </row>
    <row r="10">
      <c r="A10" s="30"/>
      <c r="B10" s="40">
        <v>2.0</v>
      </c>
      <c r="C10" s="40">
        <v>2.0</v>
      </c>
      <c r="D10" s="40"/>
      <c r="E10" s="40"/>
      <c r="F10" s="40">
        <v>2000.0</v>
      </c>
      <c r="G10" s="40">
        <v>84.0</v>
      </c>
      <c r="H10" s="40">
        <v>77.0</v>
      </c>
      <c r="I10" s="68">
        <f t="shared" si="1"/>
        <v>7</v>
      </c>
      <c r="J10" s="46">
        <f t="shared" si="2"/>
        <v>5.867560771</v>
      </c>
      <c r="K10" s="46">
        <f t="shared" si="3"/>
        <v>11.72862509</v>
      </c>
      <c r="L10" s="52">
        <f t="shared" si="4"/>
        <v>47.76128754</v>
      </c>
      <c r="M10" s="63"/>
      <c r="N10" s="40">
        <v>2.0</v>
      </c>
      <c r="O10" s="69">
        <v>25.2</v>
      </c>
      <c r="P10" s="46">
        <f t="shared" si="5"/>
        <v>1.028571429</v>
      </c>
      <c r="Q10" s="51">
        <f t="shared" si="6"/>
        <v>1.234567901</v>
      </c>
      <c r="R10" s="46">
        <f t="shared" si="7"/>
        <v>0.8331428571</v>
      </c>
      <c r="S10" s="70">
        <f t="shared" si="8"/>
        <v>9.933304952</v>
      </c>
      <c r="T10" s="70">
        <f t="shared" si="9"/>
        <v>24.55676071</v>
      </c>
      <c r="U10" s="70">
        <f t="shared" si="10"/>
        <v>19.8019802</v>
      </c>
      <c r="V10" s="30"/>
      <c r="W10" s="30"/>
      <c r="X10" s="30"/>
      <c r="Y10" s="30"/>
      <c r="Z10" s="30"/>
    </row>
    <row r="11">
      <c r="A11" s="30"/>
      <c r="B11" s="40">
        <v>3.0</v>
      </c>
      <c r="C11" s="40">
        <v>4.0</v>
      </c>
      <c r="D11" s="40"/>
      <c r="E11" s="40"/>
      <c r="F11" s="40">
        <v>2000.0</v>
      </c>
      <c r="G11" s="40">
        <v>86.0</v>
      </c>
      <c r="H11" s="40">
        <v>77.0</v>
      </c>
      <c r="I11" s="68">
        <f t="shared" si="1"/>
        <v>9</v>
      </c>
      <c r="J11" s="46">
        <f t="shared" si="2"/>
        <v>7.544006706</v>
      </c>
      <c r="K11" s="46">
        <f t="shared" si="3"/>
        <v>13.2990108</v>
      </c>
      <c r="L11" s="52">
        <f t="shared" si="4"/>
        <v>47.76128754</v>
      </c>
      <c r="M11" s="63"/>
      <c r="N11" s="40">
        <v>3.0</v>
      </c>
      <c r="O11" s="69">
        <v>21.78</v>
      </c>
      <c r="P11" s="46">
        <f t="shared" si="5"/>
        <v>1.190082645</v>
      </c>
      <c r="Q11" s="51">
        <f t="shared" si="6"/>
        <v>2.469135802</v>
      </c>
      <c r="R11" s="46">
        <f t="shared" si="7"/>
        <v>0.4819834711</v>
      </c>
      <c r="S11" s="70">
        <f t="shared" si="8"/>
        <v>17.17042713</v>
      </c>
      <c r="T11" s="70">
        <f t="shared" si="9"/>
        <v>27.84474936</v>
      </c>
      <c r="U11" s="70">
        <f t="shared" si="10"/>
        <v>33.05785124</v>
      </c>
      <c r="V11" s="30"/>
      <c r="W11" s="30"/>
      <c r="X11" s="30"/>
      <c r="Y11" s="30"/>
      <c r="Z11" s="30"/>
    </row>
    <row r="12">
      <c r="A12" s="30"/>
      <c r="B12" s="40">
        <v>4.0</v>
      </c>
      <c r="C12" s="40">
        <v>6.0</v>
      </c>
      <c r="D12" s="40"/>
      <c r="E12" s="40"/>
      <c r="F12" s="40">
        <v>2000.0</v>
      </c>
      <c r="G12" s="40">
        <v>88.0</v>
      </c>
      <c r="H12" s="40">
        <v>76.0</v>
      </c>
      <c r="I12" s="68">
        <f t="shared" si="1"/>
        <v>12</v>
      </c>
      <c r="J12" s="46">
        <f t="shared" si="2"/>
        <v>10.05867561</v>
      </c>
      <c r="K12" s="46">
        <f t="shared" si="3"/>
        <v>15.35637494</v>
      </c>
      <c r="L12" s="52">
        <f t="shared" si="4"/>
        <v>47.76128754</v>
      </c>
      <c r="M12" s="63"/>
      <c r="N12" s="40">
        <v>4.0</v>
      </c>
      <c r="O12" s="69">
        <v>18.52</v>
      </c>
      <c r="P12" s="46">
        <f t="shared" si="5"/>
        <v>1.399568035</v>
      </c>
      <c r="Q12" s="51">
        <f t="shared" si="6"/>
        <v>3.703703704</v>
      </c>
      <c r="R12" s="46">
        <f t="shared" si="7"/>
        <v>0.3778833693</v>
      </c>
      <c r="S12" s="70">
        <f t="shared" si="8"/>
        <v>21.90057235</v>
      </c>
      <c r="T12" s="70">
        <f t="shared" si="9"/>
        <v>32.15234707</v>
      </c>
      <c r="U12" s="70">
        <f t="shared" si="10"/>
        <v>42.55319149</v>
      </c>
      <c r="V12" s="30"/>
      <c r="W12" s="30"/>
      <c r="X12" s="30"/>
      <c r="Y12" s="30"/>
      <c r="Z12" s="30"/>
    </row>
    <row r="13">
      <c r="A13" s="30"/>
      <c r="B13" s="40">
        <v>5.0</v>
      </c>
      <c r="C13" s="40">
        <v>8.0</v>
      </c>
      <c r="D13" s="40"/>
      <c r="E13" s="40"/>
      <c r="F13" s="40">
        <v>2000.0</v>
      </c>
      <c r="G13" s="40">
        <v>89.0</v>
      </c>
      <c r="H13" s="40">
        <v>72.0</v>
      </c>
      <c r="I13" s="68">
        <f t="shared" si="1"/>
        <v>17</v>
      </c>
      <c r="J13" s="46">
        <f t="shared" si="2"/>
        <v>14.24979044</v>
      </c>
      <c r="K13" s="46">
        <f t="shared" si="3"/>
        <v>18.27774209</v>
      </c>
      <c r="L13" s="52">
        <f t="shared" si="4"/>
        <v>47.76128754</v>
      </c>
      <c r="M13" s="63"/>
      <c r="N13" s="40">
        <v>5.0</v>
      </c>
      <c r="O13" s="69">
        <v>15.4</v>
      </c>
      <c r="P13" s="46">
        <f t="shared" si="5"/>
        <v>1.683116883</v>
      </c>
      <c r="Q13" s="51">
        <f t="shared" si="6"/>
        <v>4.938271605</v>
      </c>
      <c r="R13" s="46">
        <f t="shared" si="7"/>
        <v>0.3408311688</v>
      </c>
      <c r="S13" s="70">
        <f t="shared" si="8"/>
        <v>24.28141211</v>
      </c>
      <c r="T13" s="70">
        <f t="shared" si="9"/>
        <v>38.26894757</v>
      </c>
      <c r="U13" s="70">
        <f t="shared" si="10"/>
        <v>49.68944099</v>
      </c>
      <c r="V13" s="30"/>
      <c r="W13" s="30"/>
      <c r="X13" s="30"/>
      <c r="Y13" s="30"/>
      <c r="Z13" s="30"/>
    </row>
    <row r="14">
      <c r="A14" s="30"/>
      <c r="B14" s="40">
        <v>6.0</v>
      </c>
      <c r="C14" s="40">
        <v>10.0</v>
      </c>
      <c r="D14" s="40"/>
      <c r="E14" s="40"/>
      <c r="F14" s="40">
        <v>2000.0</v>
      </c>
      <c r="G14" s="40">
        <v>90.0</v>
      </c>
      <c r="H14" s="40">
        <v>70.0</v>
      </c>
      <c r="I14" s="68">
        <f t="shared" si="1"/>
        <v>20</v>
      </c>
      <c r="J14" s="46">
        <f t="shared" si="2"/>
        <v>16.76445935</v>
      </c>
      <c r="K14" s="46">
        <f t="shared" si="3"/>
        <v>19.8249948</v>
      </c>
      <c r="L14" s="52">
        <f t="shared" si="4"/>
        <v>47.76128754</v>
      </c>
      <c r="M14" s="63"/>
      <c r="N14" s="40">
        <v>6.0</v>
      </c>
      <c r="O14" s="69">
        <v>13.89</v>
      </c>
      <c r="P14" s="46">
        <f t="shared" si="5"/>
        <v>1.866090713</v>
      </c>
      <c r="Q14" s="51">
        <f t="shared" si="6"/>
        <v>6.172839506</v>
      </c>
      <c r="R14" s="46">
        <f t="shared" si="7"/>
        <v>0.3023066955</v>
      </c>
      <c r="S14" s="70">
        <f t="shared" si="8"/>
        <v>27.37571543</v>
      </c>
      <c r="T14" s="70">
        <f t="shared" si="9"/>
        <v>41.50850159</v>
      </c>
      <c r="U14" s="70">
        <f t="shared" si="10"/>
        <v>55.24861878</v>
      </c>
      <c r="V14" s="30"/>
      <c r="W14" s="30"/>
      <c r="X14" s="30"/>
      <c r="Y14" s="30"/>
      <c r="Z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71"/>
      <c r="L15" s="30"/>
      <c r="M15" s="30"/>
      <c r="N15" s="30"/>
      <c r="O15" s="30"/>
      <c r="Q15" s="59" t="s">
        <v>53</v>
      </c>
      <c r="R15" s="30"/>
      <c r="S15" s="72">
        <f t="shared" ref="S15:U15" si="11">AVERAGE(S9:S14)</f>
        <v>16.77690533</v>
      </c>
      <c r="T15" s="72">
        <f t="shared" si="11"/>
        <v>30.84759285</v>
      </c>
      <c r="U15" s="72">
        <f t="shared" si="11"/>
        <v>33.39184712</v>
      </c>
      <c r="V15" s="30"/>
      <c r="W15" s="30"/>
      <c r="X15" s="30"/>
      <c r="Y15" s="30"/>
      <c r="Z15" s="30"/>
    </row>
    <row r="16">
      <c r="A16" s="30"/>
      <c r="B16" s="30"/>
      <c r="C16" s="30"/>
      <c r="D16" s="59"/>
      <c r="E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0"/>
      <c r="C17" s="30"/>
      <c r="D17" s="59"/>
      <c r="E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29" t="s">
        <v>54</v>
      </c>
      <c r="C18" s="30"/>
      <c r="D18" s="59"/>
      <c r="E18" s="30"/>
      <c r="G18" s="30"/>
      <c r="H18" s="30"/>
      <c r="I18" s="30"/>
      <c r="J18" s="30"/>
      <c r="K18" s="30"/>
      <c r="L18" s="30"/>
      <c r="M18" s="30"/>
      <c r="N18" s="30"/>
      <c r="O18" s="59" t="s">
        <v>75</v>
      </c>
      <c r="P18" s="59">
        <v>25.0</v>
      </c>
      <c r="Q18" s="59" t="s">
        <v>76</v>
      </c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30"/>
      <c r="D19" s="59"/>
      <c r="E19" s="30"/>
      <c r="G19" s="30"/>
      <c r="H19" s="30"/>
      <c r="I19" s="30"/>
      <c r="J19" s="30"/>
      <c r="K19" s="30"/>
      <c r="L19" s="30"/>
      <c r="M19" s="30"/>
      <c r="N19" s="30"/>
      <c r="O19" s="59" t="s">
        <v>77</v>
      </c>
      <c r="P19" s="71">
        <f>(PI()*((P18/1000)^2))/4</f>
        <v>0.0004908738521</v>
      </c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30"/>
      <c r="C20" s="30"/>
      <c r="E20" s="30"/>
      <c r="F20" s="5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0"/>
      <c r="C21" s="30"/>
      <c r="D21" s="59"/>
      <c r="E21" s="30"/>
      <c r="F21" s="5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30"/>
      <c r="C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30"/>
      <c r="C23" s="30"/>
      <c r="D23" s="59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5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59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</sheetData>
  <mergeCells count="16">
    <mergeCell ref="J7:J8"/>
    <mergeCell ref="K7:K8"/>
    <mergeCell ref="L7:L8"/>
    <mergeCell ref="N7:N8"/>
    <mergeCell ref="O7:O8"/>
    <mergeCell ref="P7:P8"/>
    <mergeCell ref="Q7:Q8"/>
    <mergeCell ref="R7:R8"/>
    <mergeCell ref="B2:U2"/>
    <mergeCell ref="B7:B8"/>
    <mergeCell ref="C7:C8"/>
    <mergeCell ref="D7:D8"/>
    <mergeCell ref="E7:E8"/>
    <mergeCell ref="F7:F8"/>
    <mergeCell ref="G7:I7"/>
    <mergeCell ref="S7:U7"/>
  </mergeCells>
  <hyperlinks>
    <hyperlink display="&lt;-- Back to Index" location="Index!A1" ref="A1"/>
  </hyperlinks>
  <printOptions horizontalCentered="1" vertic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25"/>
    <col customWidth="1" min="3" max="3" width="8.25"/>
    <col customWidth="1" min="4" max="6" width="8.5"/>
    <col customWidth="1" min="7" max="9" width="8.25"/>
    <col customWidth="1" min="10" max="10" width="8.5"/>
    <col customWidth="1" min="11" max="13" width="9.25"/>
    <col customWidth="1" min="14" max="14" width="9.63"/>
    <col customWidth="1" min="15" max="17" width="10.13"/>
  </cols>
  <sheetData>
    <row r="1">
      <c r="A1" s="28" t="s">
        <v>25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>
      <c r="A2" s="30"/>
      <c r="B2" s="31" t="s">
        <v>78</v>
      </c>
      <c r="R2" s="30"/>
      <c r="S2" s="30"/>
    </row>
    <row r="3">
      <c r="A3" s="30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ht="1.5" customHeight="1">
      <c r="A4" s="30"/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ht="1.5" customHeight="1">
      <c r="A5" s="30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</row>
    <row r="6">
      <c r="A6" s="30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>
      <c r="A7" s="30"/>
      <c r="B7" s="29" t="s">
        <v>27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ht="35.25" customHeight="1">
      <c r="A9" s="30"/>
      <c r="B9" s="32" t="s">
        <v>28</v>
      </c>
      <c r="C9" s="32" t="s">
        <v>33</v>
      </c>
      <c r="D9" s="33" t="s">
        <v>79</v>
      </c>
      <c r="E9" s="34"/>
      <c r="F9" s="35"/>
      <c r="G9" s="73" t="s">
        <v>80</v>
      </c>
      <c r="H9" s="73" t="s">
        <v>81</v>
      </c>
      <c r="I9" s="33" t="s">
        <v>82</v>
      </c>
      <c r="J9" s="34"/>
      <c r="K9" s="34"/>
      <c r="L9" s="34"/>
      <c r="M9" s="35"/>
      <c r="N9" s="65" t="s">
        <v>83</v>
      </c>
      <c r="O9" s="65" t="s">
        <v>66</v>
      </c>
      <c r="P9" s="30"/>
      <c r="Q9" s="30"/>
      <c r="R9" s="30"/>
    </row>
    <row r="10" ht="33.0" customHeight="1">
      <c r="A10" s="30"/>
      <c r="B10" s="38"/>
      <c r="C10" s="38"/>
      <c r="D10" s="39" t="s">
        <v>84</v>
      </c>
      <c r="E10" s="39" t="s">
        <v>85</v>
      </c>
      <c r="F10" s="39" t="s">
        <v>86</v>
      </c>
      <c r="G10" s="38"/>
      <c r="H10" s="38"/>
      <c r="I10" s="39" t="s">
        <v>87</v>
      </c>
      <c r="J10" s="39" t="s">
        <v>88</v>
      </c>
      <c r="K10" s="39" t="s">
        <v>89</v>
      </c>
      <c r="L10" s="39" t="s">
        <v>90</v>
      </c>
      <c r="M10" s="39" t="s">
        <v>91</v>
      </c>
      <c r="N10" s="38"/>
      <c r="O10" s="38"/>
      <c r="P10" s="30"/>
      <c r="Q10" s="30"/>
      <c r="R10" s="30"/>
    </row>
    <row r="11">
      <c r="A11" s="30"/>
      <c r="B11" s="40">
        <v>1.0</v>
      </c>
      <c r="C11" s="40">
        <v>2000.0</v>
      </c>
      <c r="D11" s="40">
        <v>0.0</v>
      </c>
      <c r="E11" s="40">
        <v>0.0</v>
      </c>
      <c r="F11" s="68">
        <f t="shared" ref="F11:F16" si="1">D11-E11</f>
        <v>0</v>
      </c>
      <c r="G11" s="74">
        <v>50.0</v>
      </c>
      <c r="H11" s="75">
        <v>25.37</v>
      </c>
      <c r="I11" s="40">
        <v>28.0</v>
      </c>
      <c r="J11" s="40">
        <v>34.0</v>
      </c>
      <c r="K11" s="40">
        <v>31.0</v>
      </c>
      <c r="L11" s="40">
        <v>114.0</v>
      </c>
      <c r="M11" s="40">
        <v>101.0</v>
      </c>
      <c r="N11" s="40">
        <v>20.94</v>
      </c>
      <c r="O11" s="51">
        <f t="shared" ref="O11:O16" si="2">C11*F11/3240</f>
        <v>0</v>
      </c>
      <c r="P11" s="30"/>
      <c r="Q11" s="30"/>
      <c r="R11" s="30"/>
    </row>
    <row r="12">
      <c r="A12" s="30"/>
      <c r="B12" s="40">
        <v>2.0</v>
      </c>
      <c r="C12" s="40">
        <v>2000.0</v>
      </c>
      <c r="D12" s="40">
        <v>2.0</v>
      </c>
      <c r="E12" s="40">
        <v>0.0</v>
      </c>
      <c r="F12" s="68">
        <f t="shared" si="1"/>
        <v>2</v>
      </c>
      <c r="G12" s="74">
        <v>50.0</v>
      </c>
      <c r="H12" s="75">
        <v>25.47</v>
      </c>
      <c r="I12" s="40">
        <v>29.0</v>
      </c>
      <c r="J12" s="40">
        <v>35.0</v>
      </c>
      <c r="K12" s="40">
        <v>34.0</v>
      </c>
      <c r="L12" s="40">
        <v>122.0</v>
      </c>
      <c r="M12" s="40">
        <v>109.0</v>
      </c>
      <c r="N12" s="40">
        <v>20.42</v>
      </c>
      <c r="O12" s="51">
        <f t="shared" si="2"/>
        <v>1.234567901</v>
      </c>
      <c r="P12" s="30"/>
      <c r="Q12" s="30"/>
      <c r="R12" s="30"/>
    </row>
    <row r="13">
      <c r="A13" s="30"/>
      <c r="B13" s="40">
        <v>3.0</v>
      </c>
      <c r="C13" s="40">
        <v>2000.0</v>
      </c>
      <c r="D13" s="40">
        <v>4.0</v>
      </c>
      <c r="E13" s="40">
        <v>0.0</v>
      </c>
      <c r="F13" s="68">
        <f t="shared" si="1"/>
        <v>4</v>
      </c>
      <c r="G13" s="74">
        <v>50.0</v>
      </c>
      <c r="H13" s="75">
        <v>25.56</v>
      </c>
      <c r="I13" s="40">
        <v>29.0</v>
      </c>
      <c r="J13" s="40">
        <v>36.0</v>
      </c>
      <c r="K13" s="40">
        <v>36.0</v>
      </c>
      <c r="L13" s="40">
        <v>130.0</v>
      </c>
      <c r="M13" s="40">
        <v>116.0</v>
      </c>
      <c r="N13" s="40">
        <v>18.56</v>
      </c>
      <c r="O13" s="51">
        <f t="shared" si="2"/>
        <v>2.469135802</v>
      </c>
      <c r="P13" s="30"/>
      <c r="Q13" s="30"/>
      <c r="R13" s="30"/>
    </row>
    <row r="14">
      <c r="A14" s="30"/>
      <c r="B14" s="40">
        <v>4.0</v>
      </c>
      <c r="C14" s="40">
        <v>2000.0</v>
      </c>
      <c r="D14" s="40">
        <v>6.0</v>
      </c>
      <c r="E14" s="40">
        <v>0.0</v>
      </c>
      <c r="F14" s="68">
        <f t="shared" si="1"/>
        <v>6</v>
      </c>
      <c r="G14" s="74">
        <v>50.0</v>
      </c>
      <c r="H14" s="75">
        <v>25.09</v>
      </c>
      <c r="I14" s="40">
        <v>29.0</v>
      </c>
      <c r="J14" s="40">
        <v>36.0</v>
      </c>
      <c r="K14" s="40">
        <v>38.0</v>
      </c>
      <c r="L14" s="40">
        <v>134.0</v>
      </c>
      <c r="M14" s="40">
        <v>119.0</v>
      </c>
      <c r="N14" s="40">
        <v>19.08</v>
      </c>
      <c r="O14" s="51">
        <f t="shared" si="2"/>
        <v>3.703703704</v>
      </c>
      <c r="P14" s="30"/>
      <c r="Q14" s="30"/>
      <c r="R14" s="30"/>
    </row>
    <row r="15">
      <c r="A15" s="30"/>
      <c r="B15" s="40">
        <v>5.0</v>
      </c>
      <c r="C15" s="40">
        <v>2000.0</v>
      </c>
      <c r="D15" s="40">
        <v>8.0</v>
      </c>
      <c r="E15" s="40">
        <v>0.0</v>
      </c>
      <c r="F15" s="68">
        <f t="shared" si="1"/>
        <v>8</v>
      </c>
      <c r="G15" s="74">
        <v>50.0</v>
      </c>
      <c r="H15" s="75">
        <v>25.09</v>
      </c>
      <c r="I15" s="40">
        <v>30.0</v>
      </c>
      <c r="J15" s="40">
        <v>37.0</v>
      </c>
      <c r="K15" s="40">
        <v>40.0</v>
      </c>
      <c r="L15" s="40">
        <v>136.0</v>
      </c>
      <c r="M15" s="40">
        <v>122.0</v>
      </c>
      <c r="N15" s="40">
        <v>18.44</v>
      </c>
      <c r="O15" s="51">
        <f t="shared" si="2"/>
        <v>4.938271605</v>
      </c>
      <c r="P15" s="30"/>
      <c r="Q15" s="30"/>
      <c r="R15" s="30"/>
    </row>
    <row r="16">
      <c r="A16" s="30"/>
      <c r="B16" s="40">
        <v>6.0</v>
      </c>
      <c r="C16" s="40">
        <v>2000.0</v>
      </c>
      <c r="D16" s="40">
        <v>10.0</v>
      </c>
      <c r="E16" s="40">
        <v>0.0</v>
      </c>
      <c r="F16" s="68">
        <f t="shared" si="1"/>
        <v>10</v>
      </c>
      <c r="G16" s="74">
        <v>50.0</v>
      </c>
      <c r="H16" s="75">
        <v>25.09</v>
      </c>
      <c r="I16" s="40">
        <v>31.0</v>
      </c>
      <c r="J16" s="40">
        <v>37.0</v>
      </c>
      <c r="K16" s="40">
        <v>42.0</v>
      </c>
      <c r="L16" s="40">
        <v>139.0</v>
      </c>
      <c r="M16" s="40">
        <v>124.0</v>
      </c>
      <c r="N16" s="40">
        <v>17.8</v>
      </c>
      <c r="O16" s="51">
        <f t="shared" si="2"/>
        <v>6.172839506</v>
      </c>
      <c r="P16" s="30"/>
      <c r="Q16" s="30"/>
      <c r="R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59"/>
      <c r="P17" s="30"/>
      <c r="Q17" s="30"/>
      <c r="R17" s="30"/>
      <c r="S17" s="30"/>
    </row>
    <row r="18" ht="1.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ht="1.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>
      <c r="A21" s="76"/>
      <c r="B21" s="77" t="s">
        <v>28</v>
      </c>
      <c r="C21" s="78" t="s">
        <v>66</v>
      </c>
      <c r="D21" s="78" t="s">
        <v>65</v>
      </c>
      <c r="E21" s="78" t="s">
        <v>67</v>
      </c>
      <c r="F21" s="78" t="s">
        <v>92</v>
      </c>
      <c r="G21" s="78" t="s">
        <v>93</v>
      </c>
      <c r="H21" s="78" t="s">
        <v>94</v>
      </c>
      <c r="I21" s="78" t="s">
        <v>95</v>
      </c>
      <c r="J21" s="78" t="s">
        <v>96</v>
      </c>
      <c r="K21" s="78" t="s">
        <v>97</v>
      </c>
      <c r="L21" s="78" t="s">
        <v>98</v>
      </c>
      <c r="M21" s="76"/>
      <c r="N21" s="76"/>
      <c r="O21" s="76"/>
      <c r="P21" s="76"/>
      <c r="Q21" s="76"/>
      <c r="R21" s="76"/>
      <c r="S21" s="76"/>
    </row>
    <row r="22">
      <c r="A22" s="76"/>
      <c r="B22" s="78">
        <v>1.0</v>
      </c>
      <c r="C22" s="51">
        <f t="shared" ref="C22:C27" si="3">O11</f>
        <v>0</v>
      </c>
      <c r="D22" s="46">
        <f t="shared" ref="D22:D27" si="4">(0.82*3600*10)/(1000*N11)</f>
        <v>1.40974212</v>
      </c>
      <c r="E22" s="46" t="str">
        <f t="shared" ref="E22:E27" si="5">D22/C22</f>
        <v>#DIV/0!</v>
      </c>
      <c r="F22" s="79">
        <f t="shared" ref="F22:F27" si="6">(D22*43500)/60</f>
        <v>1022.063037</v>
      </c>
      <c r="G22" s="70">
        <f t="shared" ref="G22:G27" si="7">C22*60</f>
        <v>0</v>
      </c>
      <c r="H22" s="46">
        <f t="shared" ref="H22:H27" si="8">1000*H11*(10^(-6))*60</f>
        <v>1.5222</v>
      </c>
      <c r="I22" s="46">
        <f t="shared" ref="I22:I27" si="9">H22*4.187*(J11-I11)</f>
        <v>38.2407084</v>
      </c>
      <c r="J22" s="46">
        <f t="shared" ref="J22:J27" si="10">1000*G11*(10^(-6))*60</f>
        <v>3</v>
      </c>
      <c r="K22" s="46">
        <f t="shared" ref="K22:K27" si="11">J22*4.187*(K11-I11)*(L11-$O$23)/(L11-M11)</f>
        <v>231.8953846</v>
      </c>
      <c r="L22" s="46">
        <f t="shared" ref="L22:L27" si="12">F22-(G22+I22+K22)</f>
        <v>751.9269442</v>
      </c>
      <c r="M22" s="76"/>
      <c r="N22" s="80" t="s">
        <v>99</v>
      </c>
      <c r="O22" s="76"/>
      <c r="P22" s="76"/>
      <c r="Q22" s="76"/>
      <c r="R22" s="76"/>
      <c r="S22" s="76"/>
    </row>
    <row r="23">
      <c r="A23" s="76"/>
      <c r="B23" s="78">
        <v>2.0</v>
      </c>
      <c r="C23" s="51">
        <f t="shared" si="3"/>
        <v>1.234567901</v>
      </c>
      <c r="D23" s="46">
        <f t="shared" si="4"/>
        <v>1.445641528</v>
      </c>
      <c r="E23" s="46">
        <f t="shared" si="5"/>
        <v>1.170969638</v>
      </c>
      <c r="F23" s="79">
        <f t="shared" si="6"/>
        <v>1048.090108</v>
      </c>
      <c r="G23" s="70">
        <f t="shared" si="7"/>
        <v>74.07407407</v>
      </c>
      <c r="H23" s="46">
        <f t="shared" si="8"/>
        <v>1.5282</v>
      </c>
      <c r="I23" s="46">
        <f t="shared" si="9"/>
        <v>38.3914404</v>
      </c>
      <c r="J23" s="46">
        <f t="shared" si="10"/>
        <v>3</v>
      </c>
      <c r="K23" s="46">
        <f t="shared" si="11"/>
        <v>425.1415385</v>
      </c>
      <c r="L23" s="46">
        <f t="shared" si="12"/>
        <v>510.4830548</v>
      </c>
      <c r="M23" s="76"/>
      <c r="N23" s="81" t="s">
        <v>100</v>
      </c>
      <c r="O23" s="81">
        <v>34.0</v>
      </c>
      <c r="P23" s="76"/>
      <c r="Q23" s="76"/>
      <c r="R23" s="76"/>
      <c r="S23" s="76"/>
    </row>
    <row r="24">
      <c r="A24" s="76"/>
      <c r="B24" s="78">
        <v>3.0</v>
      </c>
      <c r="C24" s="51">
        <f t="shared" si="3"/>
        <v>2.469135802</v>
      </c>
      <c r="D24" s="46">
        <f t="shared" si="4"/>
        <v>1.590517241</v>
      </c>
      <c r="E24" s="46">
        <f t="shared" si="5"/>
        <v>0.6441594828</v>
      </c>
      <c r="F24" s="79">
        <f t="shared" si="6"/>
        <v>1153.125</v>
      </c>
      <c r="G24" s="70">
        <f t="shared" si="7"/>
        <v>148.1481481</v>
      </c>
      <c r="H24" s="46">
        <f t="shared" si="8"/>
        <v>1.5336</v>
      </c>
      <c r="I24" s="46">
        <f t="shared" si="9"/>
        <v>44.9482824</v>
      </c>
      <c r="J24" s="46">
        <f t="shared" si="10"/>
        <v>3</v>
      </c>
      <c r="K24" s="46">
        <f t="shared" si="11"/>
        <v>602.928</v>
      </c>
      <c r="L24" s="46">
        <f t="shared" si="12"/>
        <v>357.1005695</v>
      </c>
      <c r="M24" s="76"/>
      <c r="N24" s="76"/>
      <c r="O24" s="76"/>
      <c r="P24" s="76"/>
      <c r="Q24" s="76"/>
      <c r="R24" s="76"/>
      <c r="S24" s="76"/>
    </row>
    <row r="25">
      <c r="A25" s="76"/>
      <c r="B25" s="78">
        <v>4.0</v>
      </c>
      <c r="C25" s="51">
        <f t="shared" si="3"/>
        <v>3.703703704</v>
      </c>
      <c r="D25" s="46">
        <f t="shared" si="4"/>
        <v>1.547169811</v>
      </c>
      <c r="E25" s="46">
        <f t="shared" si="5"/>
        <v>0.4177358491</v>
      </c>
      <c r="F25" s="79">
        <f t="shared" si="6"/>
        <v>1121.698113</v>
      </c>
      <c r="G25" s="70">
        <f t="shared" si="7"/>
        <v>222.2222222</v>
      </c>
      <c r="H25" s="46">
        <f t="shared" si="8"/>
        <v>1.5054</v>
      </c>
      <c r="I25" s="46">
        <f t="shared" si="9"/>
        <v>44.1217686</v>
      </c>
      <c r="J25" s="46">
        <f t="shared" si="10"/>
        <v>3</v>
      </c>
      <c r="K25" s="46">
        <f t="shared" si="11"/>
        <v>753.66</v>
      </c>
      <c r="L25" s="46">
        <f t="shared" si="12"/>
        <v>101.6941224</v>
      </c>
      <c r="M25" s="76"/>
      <c r="N25" s="76"/>
      <c r="O25" s="76"/>
      <c r="P25" s="76"/>
      <c r="Q25" s="76"/>
      <c r="R25" s="76"/>
      <c r="S25" s="76"/>
    </row>
    <row r="26">
      <c r="A26" s="76"/>
      <c r="B26" s="78">
        <v>5.0</v>
      </c>
      <c r="C26" s="51">
        <f t="shared" si="3"/>
        <v>4.938271605</v>
      </c>
      <c r="D26" s="46">
        <f t="shared" si="4"/>
        <v>1.600867679</v>
      </c>
      <c r="E26" s="46">
        <f t="shared" si="5"/>
        <v>0.324175705</v>
      </c>
      <c r="F26" s="79">
        <f t="shared" si="6"/>
        <v>1160.629067</v>
      </c>
      <c r="G26" s="70">
        <f t="shared" si="7"/>
        <v>296.2962963</v>
      </c>
      <c r="H26" s="46">
        <f t="shared" si="8"/>
        <v>1.5054</v>
      </c>
      <c r="I26" s="46">
        <f t="shared" si="9"/>
        <v>44.1217686</v>
      </c>
      <c r="J26" s="46">
        <f t="shared" si="10"/>
        <v>3</v>
      </c>
      <c r="K26" s="46">
        <f t="shared" si="11"/>
        <v>915.1585714</v>
      </c>
      <c r="L26" s="46">
        <f t="shared" si="12"/>
        <v>-94.94756908</v>
      </c>
      <c r="M26" s="76"/>
      <c r="N26" s="76"/>
      <c r="O26" s="76"/>
      <c r="P26" s="76"/>
      <c r="Q26" s="76"/>
      <c r="R26" s="76"/>
      <c r="S26" s="76"/>
    </row>
    <row r="27">
      <c r="A27" s="76"/>
      <c r="B27" s="78">
        <v>6.0</v>
      </c>
      <c r="C27" s="51">
        <f t="shared" si="3"/>
        <v>6.172839506</v>
      </c>
      <c r="D27" s="46">
        <f t="shared" si="4"/>
        <v>1.658426966</v>
      </c>
      <c r="E27" s="46">
        <f t="shared" si="5"/>
        <v>0.2686651685</v>
      </c>
      <c r="F27" s="79">
        <f t="shared" si="6"/>
        <v>1202.359551</v>
      </c>
      <c r="G27" s="70">
        <f t="shared" si="7"/>
        <v>370.3703704</v>
      </c>
      <c r="H27" s="46">
        <f t="shared" si="8"/>
        <v>1.5054</v>
      </c>
      <c r="I27" s="46">
        <f t="shared" si="9"/>
        <v>37.8186588</v>
      </c>
      <c r="J27" s="46">
        <f t="shared" si="10"/>
        <v>3</v>
      </c>
      <c r="K27" s="46">
        <f t="shared" si="11"/>
        <v>967.197</v>
      </c>
      <c r="L27" s="82">
        <f t="shared" si="12"/>
        <v>-173.0264786</v>
      </c>
      <c r="M27" s="76"/>
      <c r="N27" s="76"/>
      <c r="O27" s="76"/>
      <c r="P27" s="76"/>
      <c r="Q27" s="76"/>
      <c r="R27" s="76"/>
      <c r="S27" s="76"/>
    </row>
    <row r="28" ht="15.75" customHeight="1">
      <c r="A28" s="30"/>
      <c r="B28" s="30"/>
      <c r="C28" s="30"/>
      <c r="E28" s="30"/>
      <c r="F28" s="59"/>
      <c r="G28" s="30"/>
      <c r="H28" s="30"/>
      <c r="I28" s="30"/>
      <c r="J28" s="60"/>
      <c r="K28" s="30"/>
      <c r="L28" s="83"/>
      <c r="M28" s="30"/>
      <c r="N28" s="30"/>
      <c r="O28" s="30"/>
      <c r="P28" s="30"/>
      <c r="Q28" s="30"/>
      <c r="R28" s="30"/>
      <c r="S28" s="30"/>
    </row>
    <row r="29" ht="15.75" customHeight="1">
      <c r="A29" s="30"/>
      <c r="B29" s="30"/>
      <c r="C29" s="30"/>
      <c r="D29" s="59"/>
      <c r="E29" s="30"/>
      <c r="F29" s="84" t="s">
        <v>101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</row>
    <row r="30" ht="30.0" customHeight="1">
      <c r="A30" s="30"/>
      <c r="B30" s="48" t="s">
        <v>28</v>
      </c>
      <c r="C30" s="49" t="s">
        <v>102</v>
      </c>
      <c r="D30" s="34"/>
      <c r="E30" s="35"/>
      <c r="F30" s="49" t="s">
        <v>103</v>
      </c>
      <c r="G30" s="35"/>
      <c r="H30" s="85" t="s">
        <v>104</v>
      </c>
      <c r="I30" s="30"/>
      <c r="J30" s="86"/>
      <c r="K30" s="35"/>
      <c r="L30" s="40" t="s">
        <v>105</v>
      </c>
      <c r="M30" s="40" t="s">
        <v>106</v>
      </c>
      <c r="N30" s="40" t="s">
        <v>107</v>
      </c>
      <c r="O30" s="40" t="s">
        <v>108</v>
      </c>
      <c r="P30" s="40" t="s">
        <v>109</v>
      </c>
      <c r="Q30" s="40" t="s">
        <v>110</v>
      </c>
      <c r="R30" s="30"/>
      <c r="S30" s="30"/>
    </row>
    <row r="31" ht="15.75" customHeight="1">
      <c r="A31" s="30"/>
      <c r="B31" s="40">
        <v>1.0</v>
      </c>
      <c r="C31" s="87" t="s">
        <v>111</v>
      </c>
      <c r="D31" s="34"/>
      <c r="E31" s="35"/>
      <c r="F31" s="88">
        <f>F24</f>
        <v>1153.125</v>
      </c>
      <c r="G31" s="35"/>
      <c r="H31" s="85">
        <v>1.0</v>
      </c>
      <c r="I31" s="30"/>
      <c r="J31" s="49" t="s">
        <v>112</v>
      </c>
      <c r="K31" s="35"/>
      <c r="L31" s="40">
        <v>0.0</v>
      </c>
      <c r="M31" s="40">
        <v>2.0</v>
      </c>
      <c r="N31" s="40">
        <v>4.0</v>
      </c>
      <c r="O31" s="40">
        <v>6.0</v>
      </c>
      <c r="P31" s="40">
        <v>8.0</v>
      </c>
      <c r="Q31" s="40">
        <v>10.0</v>
      </c>
      <c r="R31" s="30"/>
      <c r="S31" s="30"/>
    </row>
    <row r="32" ht="15.75" customHeight="1">
      <c r="A32" s="30"/>
      <c r="B32" s="40">
        <v>2.0</v>
      </c>
      <c r="C32" s="87" t="s">
        <v>113</v>
      </c>
      <c r="D32" s="34"/>
      <c r="E32" s="35"/>
      <c r="F32" s="88">
        <f>G24</f>
        <v>148.1481481</v>
      </c>
      <c r="G32" s="35"/>
      <c r="H32" s="89">
        <f>F32/F31</f>
        <v>0.1284753588</v>
      </c>
      <c r="I32" s="90" t="s">
        <v>114</v>
      </c>
      <c r="J32" s="91" t="str">
        <f>F21</f>
        <v>Heat Input, Qin        KJ/min</v>
      </c>
      <c r="K32" s="92"/>
      <c r="L32" s="93">
        <f t="array" ref="L32:Q32">TRANSPOSE(F22:F27)</f>
        <v>1022.063037</v>
      </c>
      <c r="M32" s="93">
        <v>1048.0901077375122</v>
      </c>
      <c r="N32" s="93">
        <v>1153.125</v>
      </c>
      <c r="O32" s="93">
        <v>1121.6981132075473</v>
      </c>
      <c r="P32" s="93">
        <v>1160.6290672451191</v>
      </c>
      <c r="Q32" s="93">
        <v>1202.359550561798</v>
      </c>
      <c r="R32" s="30"/>
      <c r="S32" s="30"/>
    </row>
    <row r="33" ht="15.75" customHeight="1">
      <c r="A33" s="30"/>
      <c r="B33" s="40">
        <v>3.0</v>
      </c>
      <c r="C33" s="87" t="s">
        <v>115</v>
      </c>
      <c r="D33" s="34"/>
      <c r="E33" s="35"/>
      <c r="F33" s="88">
        <f>I24</f>
        <v>44.9482824</v>
      </c>
      <c r="G33" s="35"/>
      <c r="H33" s="89">
        <f>F33/F31</f>
        <v>0.03897954029</v>
      </c>
      <c r="I33" s="90" t="s">
        <v>116</v>
      </c>
      <c r="J33" s="66"/>
      <c r="K33" s="67"/>
      <c r="L33" s="89">
        <f t="shared" ref="L33:Q33" si="13">L32/L32</f>
        <v>1</v>
      </c>
      <c r="M33" s="89">
        <f t="shared" si="13"/>
        <v>1</v>
      </c>
      <c r="N33" s="89">
        <f t="shared" si="13"/>
        <v>1</v>
      </c>
      <c r="O33" s="89">
        <f t="shared" si="13"/>
        <v>1</v>
      </c>
      <c r="P33" s="89">
        <f t="shared" si="13"/>
        <v>1</v>
      </c>
      <c r="Q33" s="89">
        <f t="shared" si="13"/>
        <v>1</v>
      </c>
      <c r="R33" s="30"/>
      <c r="S33" s="30"/>
    </row>
    <row r="34" ht="15.75" customHeight="1">
      <c r="A34" s="30"/>
      <c r="B34" s="40">
        <v>4.0</v>
      </c>
      <c r="C34" s="87" t="s">
        <v>117</v>
      </c>
      <c r="D34" s="34"/>
      <c r="E34" s="35"/>
      <c r="F34" s="88">
        <f>K24</f>
        <v>602.928</v>
      </c>
      <c r="G34" s="35"/>
      <c r="H34" s="89">
        <f>F34/F31</f>
        <v>0.5228643902</v>
      </c>
      <c r="I34" s="90" t="s">
        <v>118</v>
      </c>
      <c r="J34" s="91" t="str">
        <f>G21</f>
        <v>Heat Equivalent to Brake Power, Qbp</v>
      </c>
      <c r="K34" s="92"/>
      <c r="L34" s="93">
        <f t="array" ref="L34:Q34">TRANSPOSE(G22:G27)</f>
        <v>0</v>
      </c>
      <c r="M34" s="93">
        <v>74.07407407407408</v>
      </c>
      <c r="N34" s="93">
        <v>148.14814814814815</v>
      </c>
      <c r="O34" s="93">
        <v>222.22222222222223</v>
      </c>
      <c r="P34" s="93">
        <v>296.2962962962963</v>
      </c>
      <c r="Q34" s="93">
        <v>370.3703703703704</v>
      </c>
      <c r="R34" s="30"/>
      <c r="S34" s="30"/>
    </row>
    <row r="35" ht="15.75" customHeight="1">
      <c r="A35" s="30"/>
      <c r="B35" s="40">
        <v>5.0</v>
      </c>
      <c r="C35" s="87" t="s">
        <v>119</v>
      </c>
      <c r="D35" s="34"/>
      <c r="E35" s="35"/>
      <c r="F35" s="88">
        <f>L24</f>
        <v>357.1005695</v>
      </c>
      <c r="G35" s="35"/>
      <c r="H35" s="89">
        <f>F35/F31</f>
        <v>0.3096807106</v>
      </c>
      <c r="I35" s="90" t="s">
        <v>120</v>
      </c>
      <c r="J35" s="66"/>
      <c r="K35" s="67"/>
      <c r="L35" s="89">
        <f t="shared" ref="L35:Q35" si="14">L34/L32</f>
        <v>0</v>
      </c>
      <c r="M35" s="89">
        <f t="shared" si="14"/>
        <v>0.07067529168</v>
      </c>
      <c r="N35" s="89">
        <f t="shared" si="14"/>
        <v>0.1284753588</v>
      </c>
      <c r="O35" s="89">
        <f t="shared" si="14"/>
        <v>0.198112326</v>
      </c>
      <c r="P35" s="89">
        <f t="shared" si="14"/>
        <v>0.2552893984</v>
      </c>
      <c r="Q35" s="89">
        <f t="shared" si="14"/>
        <v>0.308036286</v>
      </c>
      <c r="R35" s="30"/>
      <c r="S35" s="30"/>
    </row>
    <row r="36" ht="15.75" customHeight="1">
      <c r="A36" s="30"/>
      <c r="B36" s="30"/>
      <c r="C36" s="30"/>
      <c r="D36" s="59"/>
      <c r="E36" s="30"/>
      <c r="G36" s="30"/>
      <c r="H36" s="30"/>
      <c r="I36" s="30"/>
      <c r="J36" s="91" t="str">
        <f>I21</f>
        <v>Heat Carried away by cooling water, Qw</v>
      </c>
      <c r="K36" s="92"/>
      <c r="L36" s="94">
        <f t="array" ref="L36:Q36">TRANSPOSE(I22:I27)</f>
        <v>38.2407084</v>
      </c>
      <c r="M36" s="94">
        <v>38.3914404</v>
      </c>
      <c r="N36" s="94">
        <v>44.9482824</v>
      </c>
      <c r="O36" s="94">
        <v>44.121768599999996</v>
      </c>
      <c r="P36" s="94">
        <v>44.121768599999996</v>
      </c>
      <c r="Q36" s="94">
        <v>37.818658799999994</v>
      </c>
      <c r="R36" s="30"/>
      <c r="S36" s="30"/>
    </row>
    <row r="37" ht="15.75" customHeight="1">
      <c r="A37" s="30"/>
      <c r="B37" s="30"/>
      <c r="C37" s="30"/>
      <c r="D37" s="59"/>
      <c r="E37" s="30"/>
      <c r="G37" s="30"/>
      <c r="H37" s="30"/>
      <c r="I37" s="30"/>
      <c r="J37" s="66"/>
      <c r="K37" s="67"/>
      <c r="L37" s="89">
        <f t="shared" ref="L37:Q37" si="15">L36/L32</f>
        <v>0.03741521512</v>
      </c>
      <c r="M37" s="89">
        <f t="shared" si="15"/>
        <v>0.03662990435</v>
      </c>
      <c r="N37" s="89">
        <f t="shared" si="15"/>
        <v>0.03897954029</v>
      </c>
      <c r="O37" s="89">
        <f t="shared" si="15"/>
        <v>0.03933479791</v>
      </c>
      <c r="P37" s="89">
        <f t="shared" si="15"/>
        <v>0.03801539169</v>
      </c>
      <c r="Q37" s="89">
        <f t="shared" si="15"/>
        <v>0.03145370183</v>
      </c>
      <c r="R37" s="30"/>
      <c r="S37" s="30"/>
    </row>
    <row r="38" ht="15.75" customHeight="1">
      <c r="A38" s="30"/>
      <c r="B38" s="30"/>
      <c r="C38" s="30"/>
      <c r="D38" s="59"/>
      <c r="E38" s="30"/>
      <c r="G38" s="30"/>
      <c r="H38" s="30"/>
      <c r="I38" s="30"/>
      <c r="J38" s="91" t="str">
        <f>K21</f>
        <v>Heat Carried away by exhaust gas, Qe</v>
      </c>
      <c r="K38" s="92"/>
      <c r="L38" s="94">
        <f t="array" ref="L38:Q38">TRANSPOSE(K22:K27)</f>
        <v>231.8953846</v>
      </c>
      <c r="M38" s="94">
        <v>425.1415384615384</v>
      </c>
      <c r="N38" s="94">
        <v>602.9279999999999</v>
      </c>
      <c r="O38" s="94">
        <v>753.6599999999999</v>
      </c>
      <c r="P38" s="94">
        <v>915.1585714285713</v>
      </c>
      <c r="Q38" s="94">
        <v>967.197</v>
      </c>
      <c r="R38" s="30"/>
      <c r="S38" s="30"/>
    </row>
    <row r="39" ht="15.75" customHeight="1">
      <c r="A39" s="30"/>
      <c r="B39" s="30"/>
      <c r="C39" s="30"/>
      <c r="D39" s="59"/>
      <c r="E39" s="30"/>
      <c r="G39" s="30"/>
      <c r="H39" s="30"/>
      <c r="I39" s="30"/>
      <c r="J39" s="66"/>
      <c r="K39" s="67"/>
      <c r="L39" s="89">
        <f t="shared" ref="L39:Q39" si="16">L38/L32</f>
        <v>0.2268895128</v>
      </c>
      <c r="M39" s="89">
        <f t="shared" si="16"/>
        <v>0.4056345302</v>
      </c>
      <c r="N39" s="89">
        <f t="shared" si="16"/>
        <v>0.5228643902</v>
      </c>
      <c r="O39" s="89">
        <f t="shared" si="16"/>
        <v>0.6718920101</v>
      </c>
      <c r="P39" s="89">
        <f t="shared" si="16"/>
        <v>0.7885021987</v>
      </c>
      <c r="Q39" s="89">
        <f t="shared" si="16"/>
        <v>0.8044157836</v>
      </c>
      <c r="R39" s="30"/>
      <c r="S39" s="30"/>
    </row>
    <row r="40" ht="15.75" customHeight="1">
      <c r="A40" s="30"/>
      <c r="B40" s="30"/>
      <c r="C40" s="30"/>
      <c r="D40" s="59"/>
      <c r="E40" s="30"/>
      <c r="G40" s="30"/>
      <c r="H40" s="30"/>
      <c r="I40" s="30"/>
      <c r="J40" s="91" t="str">
        <f>L21</f>
        <v>Unaccounted heat / heat due to radiation,  Qun</v>
      </c>
      <c r="K40" s="92"/>
      <c r="L40" s="94">
        <f t="array" ref="L40:Q40">TRANSPOSE(L22:L27)</f>
        <v>751.9269442</v>
      </c>
      <c r="M40" s="94">
        <v>510.4830548018997</v>
      </c>
      <c r="N40" s="94">
        <v>357.1005694518519</v>
      </c>
      <c r="O40" s="94">
        <v>101.69412238532527</v>
      </c>
      <c r="P40" s="94">
        <v>-94.94756907974852</v>
      </c>
      <c r="Q40" s="94">
        <v>-173.02647860857246</v>
      </c>
      <c r="R40" s="30"/>
      <c r="S40" s="30"/>
    </row>
    <row r="41">
      <c r="A41" s="30"/>
      <c r="B41" s="29" t="s">
        <v>121</v>
      </c>
      <c r="C41" s="30"/>
      <c r="D41" s="59"/>
      <c r="E41" s="30"/>
      <c r="G41" s="30"/>
      <c r="H41" s="30"/>
      <c r="I41" s="30"/>
      <c r="J41" s="66"/>
      <c r="K41" s="67"/>
      <c r="L41" s="89">
        <f t="shared" ref="L41:Q41" si="17">L40/L32</f>
        <v>0.735695272</v>
      </c>
      <c r="M41" s="89">
        <f t="shared" si="17"/>
        <v>0.4870602738</v>
      </c>
      <c r="N41" s="89">
        <f t="shared" si="17"/>
        <v>0.3096807106</v>
      </c>
      <c r="O41" s="89">
        <f t="shared" si="17"/>
        <v>0.09066086605</v>
      </c>
      <c r="P41" s="89">
        <f t="shared" si="17"/>
        <v>-0.08180698878</v>
      </c>
      <c r="Q41" s="89">
        <f t="shared" si="17"/>
        <v>-0.1439057714</v>
      </c>
      <c r="R41" s="30"/>
      <c r="S41" s="30"/>
    </row>
    <row r="42">
      <c r="A42" s="30"/>
      <c r="B42" s="30"/>
      <c r="C42" s="30"/>
      <c r="D42" s="59"/>
      <c r="E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</row>
    <row r="43" ht="1.5" customHeight="1">
      <c r="A43" s="30"/>
      <c r="B43" s="30"/>
      <c r="C43" s="30"/>
      <c r="E43" s="30"/>
      <c r="F43" s="5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</row>
    <row r="44" ht="1.5" customHeight="1">
      <c r="A44" s="30"/>
      <c r="B44" s="30"/>
      <c r="C44" s="30"/>
      <c r="D44" s="59"/>
      <c r="E44" s="30"/>
      <c r="F44" s="5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</row>
    <row r="45">
      <c r="A45" s="30"/>
      <c r="B45" s="30"/>
      <c r="C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</row>
    <row r="46">
      <c r="A46" s="30"/>
      <c r="B46" s="30"/>
      <c r="C46" s="30"/>
      <c r="D46" s="59"/>
      <c r="E46" s="59" t="s">
        <v>122</v>
      </c>
      <c r="F46" s="59" t="s">
        <v>123</v>
      </c>
      <c r="G46" s="59" t="s">
        <v>124</v>
      </c>
      <c r="H46" s="59" t="s">
        <v>125</v>
      </c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</row>
    <row r="47">
      <c r="A47" s="30"/>
      <c r="B47" s="30"/>
      <c r="C47" s="30"/>
      <c r="E47" s="95">
        <f t="array" ref="E47:E52">TRANSPOSE(L35:Q35)</f>
        <v>0</v>
      </c>
      <c r="F47" s="96">
        <f t="shared" ref="F47:H47" si="18">I47+E47</f>
        <v>0.03741521512</v>
      </c>
      <c r="G47" s="97">
        <f t="shared" si="18"/>
        <v>0.264304728</v>
      </c>
      <c r="H47" s="98">
        <f t="shared" si="18"/>
        <v>1</v>
      </c>
      <c r="I47" s="99">
        <f t="array" ref="I47:I52">transpose(L37:Q37)</f>
        <v>0.03741521512</v>
      </c>
      <c r="J47" s="99">
        <f t="array" ref="J47:J52">TRANSPOSE(L39:Q39)</f>
        <v>0.2268895128</v>
      </c>
      <c r="K47" s="99">
        <f t="array" ref="K47:K52">TRANSPOSE(L41:Q41)</f>
        <v>0.735695272</v>
      </c>
      <c r="L47" s="30"/>
      <c r="M47" s="30"/>
      <c r="N47" s="30"/>
      <c r="O47" s="30"/>
      <c r="P47" s="30"/>
      <c r="Q47" s="30"/>
      <c r="R47" s="30"/>
      <c r="S47" s="30"/>
    </row>
    <row r="48">
      <c r="A48" s="30"/>
      <c r="B48" s="30"/>
      <c r="C48" s="30"/>
      <c r="D48" s="59"/>
      <c r="E48" s="95">
        <v>0.07067529168267417</v>
      </c>
      <c r="F48" s="96">
        <f t="shared" ref="F48:H48" si="19">I48+E48</f>
        <v>0.107305196</v>
      </c>
      <c r="G48" s="97">
        <f t="shared" si="19"/>
        <v>0.5129397262</v>
      </c>
      <c r="H48" s="98">
        <f t="shared" si="19"/>
        <v>1</v>
      </c>
      <c r="I48" s="99">
        <v>0.03662990435323802</v>
      </c>
      <c r="J48" s="99">
        <v>0.4056345302020659</v>
      </c>
      <c r="K48" s="99">
        <v>0.4870602737620219</v>
      </c>
      <c r="L48" s="30"/>
      <c r="M48" s="30"/>
      <c r="N48" s="30"/>
      <c r="O48" s="30"/>
      <c r="P48" s="30"/>
      <c r="Q48" s="30"/>
      <c r="R48" s="30"/>
      <c r="S48" s="30"/>
    </row>
    <row r="49">
      <c r="A49" s="30"/>
      <c r="B49" s="30"/>
      <c r="C49" s="30"/>
      <c r="E49" s="95">
        <v>0.12847535882766237</v>
      </c>
      <c r="F49" s="96">
        <f t="shared" ref="F49:H49" si="20">I49+E49</f>
        <v>0.1674548991</v>
      </c>
      <c r="G49" s="97">
        <f t="shared" si="20"/>
        <v>0.6903192894</v>
      </c>
      <c r="H49" s="98">
        <f t="shared" si="20"/>
        <v>1</v>
      </c>
      <c r="I49" s="99">
        <v>0.038979540292682927</v>
      </c>
      <c r="J49" s="99">
        <v>0.5228643902439023</v>
      </c>
      <c r="K49" s="99">
        <v>0.30968071063575237</v>
      </c>
      <c r="L49" s="30"/>
      <c r="M49" s="30"/>
      <c r="N49" s="30"/>
      <c r="O49" s="30"/>
      <c r="P49" s="30"/>
      <c r="Q49" s="30"/>
      <c r="R49" s="30"/>
      <c r="S49" s="30"/>
    </row>
    <row r="50">
      <c r="A50" s="30"/>
      <c r="B50" s="30"/>
      <c r="C50" s="30"/>
      <c r="D50" s="59"/>
      <c r="E50" s="95">
        <v>0.19811232595084569</v>
      </c>
      <c r="F50" s="96">
        <f t="shared" ref="F50:H50" si="21">I50+E50</f>
        <v>0.2374471239</v>
      </c>
      <c r="G50" s="97">
        <f t="shared" si="21"/>
        <v>0.909339134</v>
      </c>
      <c r="H50" s="98">
        <f t="shared" si="21"/>
        <v>1</v>
      </c>
      <c r="I50" s="99">
        <v>0.03933479791084944</v>
      </c>
      <c r="J50" s="99">
        <v>0.6718920100925145</v>
      </c>
      <c r="K50" s="99">
        <v>0.09066086604579039</v>
      </c>
      <c r="L50" s="30"/>
      <c r="M50" s="30"/>
      <c r="N50" s="30"/>
      <c r="O50" s="30"/>
      <c r="P50" s="30"/>
      <c r="Q50" s="30"/>
      <c r="R50" s="30"/>
      <c r="S50" s="30"/>
    </row>
    <row r="51">
      <c r="A51" s="30"/>
      <c r="B51" s="30"/>
      <c r="C51" s="30"/>
      <c r="E51" s="95">
        <v>0.2552893983601395</v>
      </c>
      <c r="F51" s="96">
        <f t="shared" ref="F51:H51" si="22">I51+E51</f>
        <v>0.2933047901</v>
      </c>
      <c r="G51" s="97">
        <f t="shared" si="22"/>
        <v>1.081806989</v>
      </c>
      <c r="H51" s="98">
        <f t="shared" si="22"/>
        <v>1</v>
      </c>
      <c r="I51" s="99">
        <v>0.038015391691617606</v>
      </c>
      <c r="J51" s="99">
        <v>0.7885021987264208</v>
      </c>
      <c r="K51" s="99">
        <v>-0.08180698877817788</v>
      </c>
      <c r="L51" s="30"/>
      <c r="M51" s="30"/>
      <c r="N51" s="30"/>
      <c r="O51" s="30"/>
      <c r="P51" s="30"/>
      <c r="Q51" s="30"/>
      <c r="R51" s="30"/>
      <c r="S51" s="30"/>
    </row>
    <row r="52">
      <c r="A52" s="30"/>
      <c r="B52" s="30"/>
      <c r="C52" s="30"/>
      <c r="D52" s="30"/>
      <c r="E52" s="95">
        <v>0.3080362859822723</v>
      </c>
      <c r="F52" s="96">
        <f t="shared" ref="F52:H52" si="23">I52+E52</f>
        <v>0.3394899878</v>
      </c>
      <c r="G52" s="97">
        <f t="shared" si="23"/>
        <v>1.143905771</v>
      </c>
      <c r="H52" s="98">
        <f t="shared" si="23"/>
        <v>1</v>
      </c>
      <c r="I52" s="99">
        <v>0.0314537018334735</v>
      </c>
      <c r="J52" s="99">
        <v>0.8044157835716287</v>
      </c>
      <c r="K52" s="99">
        <v>-0.1439057713873745</v>
      </c>
      <c r="L52" s="30"/>
      <c r="M52" s="30"/>
      <c r="N52" s="30"/>
      <c r="O52" s="30"/>
      <c r="P52" s="30"/>
      <c r="Q52" s="30"/>
      <c r="R52" s="30"/>
      <c r="S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</row>
  </sheetData>
  <mergeCells count="28">
    <mergeCell ref="B2:Q2"/>
    <mergeCell ref="B9:B10"/>
    <mergeCell ref="C9:C10"/>
    <mergeCell ref="D9:F9"/>
    <mergeCell ref="G9:G10"/>
    <mergeCell ref="H9:H10"/>
    <mergeCell ref="I9:M9"/>
    <mergeCell ref="N9:N10"/>
    <mergeCell ref="O9:O10"/>
    <mergeCell ref="C30:E30"/>
    <mergeCell ref="F30:G30"/>
    <mergeCell ref="J30:K30"/>
    <mergeCell ref="F31:G31"/>
    <mergeCell ref="J31:K31"/>
    <mergeCell ref="J32:K33"/>
    <mergeCell ref="J34:K35"/>
    <mergeCell ref="J36:K37"/>
    <mergeCell ref="J38:K39"/>
    <mergeCell ref="J40:K41"/>
    <mergeCell ref="C35:E35"/>
    <mergeCell ref="F35:G35"/>
    <mergeCell ref="C31:E31"/>
    <mergeCell ref="C32:E32"/>
    <mergeCell ref="F32:G32"/>
    <mergeCell ref="C33:E33"/>
    <mergeCell ref="F33:G33"/>
    <mergeCell ref="C34:E34"/>
    <mergeCell ref="F34:G34"/>
  </mergeCells>
  <hyperlinks>
    <hyperlink display="&lt;-- Back to Index" location="Index!A1" ref="A1"/>
  </hyperlinks>
  <printOptions horizontalCentered="1" verticalCentered="1"/>
  <pageMargins bottom="0.75" footer="0.0" header="0.0" left="0.25" right="0.25" top="0.75"/>
  <pageSetup paperSize="9" cellComments="atEnd" orientation="portrait" pageOrder="overThenDown"/>
  <rowBreaks count="3" manualBreakCount="3">
    <brk man="1"/>
    <brk id="39" man="1"/>
    <brk id="79" man="1"/>
  </rowBreaks>
  <colBreaks count="2" manualBreakCount="2">
    <brk man="1"/>
    <brk id="14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25"/>
    <col customWidth="1" min="3" max="3" width="8.25"/>
    <col customWidth="1" min="4" max="7" width="8.5"/>
    <col customWidth="1" min="8" max="9" width="9.25"/>
    <col customWidth="1" min="10" max="12" width="8.25"/>
  </cols>
  <sheetData>
    <row r="1">
      <c r="A1" s="28" t="s">
        <v>25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0"/>
      <c r="B2" s="31" t="s">
        <v>126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0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.5" customHeight="1">
      <c r="A4" s="30"/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.5" customHeight="1">
      <c r="A5" s="30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0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0"/>
      <c r="B7" s="29" t="s">
        <v>27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26.25" customHeight="1">
      <c r="A9" s="30"/>
      <c r="B9" s="32" t="s">
        <v>28</v>
      </c>
      <c r="C9" s="32" t="s">
        <v>33</v>
      </c>
      <c r="D9" s="33" t="s">
        <v>79</v>
      </c>
      <c r="E9" s="34"/>
      <c r="F9" s="35"/>
      <c r="G9" s="33" t="s">
        <v>60</v>
      </c>
      <c r="H9" s="34"/>
      <c r="I9" s="35"/>
      <c r="J9" s="36" t="s">
        <v>127</v>
      </c>
      <c r="K9" s="36" t="s">
        <v>128</v>
      </c>
      <c r="L9" s="37" t="s">
        <v>129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0"/>
      <c r="B10" s="38"/>
      <c r="C10" s="38"/>
      <c r="D10" s="39" t="s">
        <v>84</v>
      </c>
      <c r="E10" s="39" t="s">
        <v>85</v>
      </c>
      <c r="F10" s="39" t="s">
        <v>86</v>
      </c>
      <c r="G10" s="39" t="s">
        <v>69</v>
      </c>
      <c r="H10" s="39" t="s">
        <v>70</v>
      </c>
      <c r="I10" s="39" t="s">
        <v>71</v>
      </c>
      <c r="J10" s="38"/>
      <c r="K10" s="38"/>
      <c r="L10" s="38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B11" s="40">
        <v>1.0</v>
      </c>
      <c r="C11" s="40">
        <v>1500.0</v>
      </c>
      <c r="D11" s="40">
        <v>0.0</v>
      </c>
      <c r="E11" s="100"/>
      <c r="F11" s="68">
        <f t="shared" ref="F11:F16" si="1">D11-E11</f>
        <v>0</v>
      </c>
      <c r="G11" s="40">
        <v>52.0</v>
      </c>
      <c r="H11" s="40">
        <v>22.0</v>
      </c>
      <c r="I11" s="68">
        <f t="shared" ref="I11:I16" si="2">G11-H11</f>
        <v>30</v>
      </c>
      <c r="J11" s="46">
        <f t="shared" ref="J11:J16" si="3">I11/1.225</f>
        <v>24.48979592</v>
      </c>
      <c r="K11" s="46">
        <f t="shared" ref="K11:K16" si="4">0.62*((PI()*((0.02)^2))/4)*((2*9.8*J11)^(1/2))*3600</f>
        <v>15.36259854</v>
      </c>
      <c r="L11" s="46">
        <f t="shared" ref="L11:L16" si="5">((PI()*((0.08)^2))/4)*0.11*C11*30</f>
        <v>24.88141382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/>
      <c r="B12" s="40">
        <v>2.0</v>
      </c>
      <c r="C12" s="40">
        <v>1500.0</v>
      </c>
      <c r="D12" s="40">
        <v>2.0</v>
      </c>
      <c r="E12" s="40">
        <v>0.1</v>
      </c>
      <c r="F12" s="68">
        <f t="shared" si="1"/>
        <v>1.9</v>
      </c>
      <c r="G12" s="40">
        <v>52.0</v>
      </c>
      <c r="H12" s="40">
        <v>22.0</v>
      </c>
      <c r="I12" s="68">
        <f t="shared" si="2"/>
        <v>30</v>
      </c>
      <c r="J12" s="46">
        <f t="shared" si="3"/>
        <v>24.48979592</v>
      </c>
      <c r="K12" s="46">
        <f t="shared" si="4"/>
        <v>15.36259854</v>
      </c>
      <c r="L12" s="46">
        <f t="shared" si="5"/>
        <v>24.88141382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0"/>
      <c r="B13" s="40">
        <v>3.0</v>
      </c>
      <c r="C13" s="40">
        <v>1500.0</v>
      </c>
      <c r="D13" s="40">
        <v>4.0</v>
      </c>
      <c r="E13" s="40">
        <v>0.2</v>
      </c>
      <c r="F13" s="68">
        <f t="shared" si="1"/>
        <v>3.8</v>
      </c>
      <c r="G13" s="40">
        <v>52.0</v>
      </c>
      <c r="H13" s="40">
        <v>22.0</v>
      </c>
      <c r="I13" s="68">
        <f t="shared" si="2"/>
        <v>30</v>
      </c>
      <c r="J13" s="46">
        <f t="shared" si="3"/>
        <v>24.48979592</v>
      </c>
      <c r="K13" s="46">
        <f t="shared" si="4"/>
        <v>15.36259854</v>
      </c>
      <c r="L13" s="46">
        <f t="shared" si="5"/>
        <v>24.88141382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/>
      <c r="B14" s="40">
        <v>4.0</v>
      </c>
      <c r="C14" s="40">
        <v>1500.0</v>
      </c>
      <c r="D14" s="40">
        <v>6.0</v>
      </c>
      <c r="E14" s="40">
        <v>0.3</v>
      </c>
      <c r="F14" s="68">
        <f t="shared" si="1"/>
        <v>5.7</v>
      </c>
      <c r="G14" s="40">
        <v>52.0</v>
      </c>
      <c r="H14" s="40">
        <v>22.0</v>
      </c>
      <c r="I14" s="68">
        <f t="shared" si="2"/>
        <v>30</v>
      </c>
      <c r="J14" s="46">
        <f t="shared" si="3"/>
        <v>24.48979592</v>
      </c>
      <c r="K14" s="46">
        <f t="shared" si="4"/>
        <v>15.36259854</v>
      </c>
      <c r="L14" s="46">
        <f t="shared" si="5"/>
        <v>24.88141382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40">
        <v>5.0</v>
      </c>
      <c r="C15" s="40">
        <v>1500.0</v>
      </c>
      <c r="D15" s="40">
        <v>8.0</v>
      </c>
      <c r="E15" s="40">
        <v>0.4</v>
      </c>
      <c r="F15" s="68">
        <f t="shared" si="1"/>
        <v>7.6</v>
      </c>
      <c r="G15" s="40">
        <v>52.0</v>
      </c>
      <c r="H15" s="40">
        <v>22.0</v>
      </c>
      <c r="I15" s="68">
        <f t="shared" si="2"/>
        <v>30</v>
      </c>
      <c r="J15" s="46">
        <f t="shared" si="3"/>
        <v>24.48979592</v>
      </c>
      <c r="K15" s="46">
        <f t="shared" si="4"/>
        <v>15.36259854</v>
      </c>
      <c r="L15" s="46">
        <f t="shared" si="5"/>
        <v>24.88141382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B16" s="40">
        <v>6.0</v>
      </c>
      <c r="C16" s="40">
        <v>1500.0</v>
      </c>
      <c r="D16" s="40">
        <v>10.0</v>
      </c>
      <c r="E16" s="40">
        <v>0.5</v>
      </c>
      <c r="F16" s="68">
        <f t="shared" si="1"/>
        <v>9.5</v>
      </c>
      <c r="G16" s="40">
        <v>52.0</v>
      </c>
      <c r="H16" s="40">
        <v>22.0</v>
      </c>
      <c r="I16" s="68">
        <f t="shared" si="2"/>
        <v>30</v>
      </c>
      <c r="J16" s="46">
        <f t="shared" si="3"/>
        <v>24.48979592</v>
      </c>
      <c r="K16" s="46">
        <f t="shared" si="4"/>
        <v>15.36259854</v>
      </c>
      <c r="L16" s="46">
        <f t="shared" si="5"/>
        <v>24.88141382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.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.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48" t="s">
        <v>28</v>
      </c>
      <c r="C21" s="40" t="s">
        <v>130</v>
      </c>
      <c r="D21" s="40" t="s">
        <v>65</v>
      </c>
      <c r="E21" s="40" t="s">
        <v>67</v>
      </c>
      <c r="F21" s="40" t="s">
        <v>66</v>
      </c>
      <c r="G21" s="40" t="s">
        <v>72</v>
      </c>
      <c r="H21" s="40" t="s">
        <v>73</v>
      </c>
      <c r="I21" s="40" t="s">
        <v>74</v>
      </c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40">
        <v>1.0</v>
      </c>
      <c r="C22" s="40">
        <v>70.04</v>
      </c>
      <c r="D22" s="46">
        <f t="shared" ref="D22:D27" si="6">(0.82*3600*10)/(1000*C22)</f>
        <v>0.4214734437</v>
      </c>
      <c r="E22" s="46" t="str">
        <f t="shared" ref="E22:E27" si="7">D22/F22</f>
        <v>#DIV/0!</v>
      </c>
      <c r="F22" s="51">
        <f t="shared" ref="F22:F27" si="8">(2*pi()*C11*F11*((0.33+0.03)/2)*9.81)/60000</f>
        <v>0</v>
      </c>
      <c r="G22" s="46">
        <f t="shared" ref="G22:G27" si="9">(F22*3600*100)/(D22*45200)</f>
        <v>0</v>
      </c>
      <c r="H22" s="46">
        <f t="shared" ref="H22:H27" si="10">(K11/L11)*100</f>
        <v>61.74327012</v>
      </c>
      <c r="I22" s="46">
        <f t="shared" ref="I22:I27" si="11">F22*100/(F22+2.8)</f>
        <v>0</v>
      </c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40">
        <v>2.0</v>
      </c>
      <c r="C23" s="40">
        <v>60.02</v>
      </c>
      <c r="D23" s="46">
        <f t="shared" si="6"/>
        <v>0.4918360546</v>
      </c>
      <c r="E23" s="46">
        <f t="shared" si="7"/>
        <v>0.9332658439</v>
      </c>
      <c r="F23" s="51">
        <f t="shared" si="8"/>
        <v>0.5270053092</v>
      </c>
      <c r="G23" s="46">
        <f t="shared" si="9"/>
        <v>8.534119</v>
      </c>
      <c r="H23" s="46">
        <f t="shared" si="10"/>
        <v>61.74327012</v>
      </c>
      <c r="I23" s="46">
        <f t="shared" si="11"/>
        <v>15.84023049</v>
      </c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40">
        <v>3.0</v>
      </c>
      <c r="C24" s="40">
        <v>49.88</v>
      </c>
      <c r="D24" s="46">
        <f t="shared" si="6"/>
        <v>0.5918203689</v>
      </c>
      <c r="E24" s="46">
        <f t="shared" si="7"/>
        <v>0.5614937445</v>
      </c>
      <c r="F24" s="51">
        <f t="shared" si="8"/>
        <v>1.054010618</v>
      </c>
      <c r="G24" s="46">
        <f t="shared" si="9"/>
        <v>14.18466697</v>
      </c>
      <c r="H24" s="46">
        <f t="shared" si="10"/>
        <v>61.74327012</v>
      </c>
      <c r="I24" s="46">
        <f t="shared" si="11"/>
        <v>27.34840982</v>
      </c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40">
        <v>4.0</v>
      </c>
      <c r="C25" s="40">
        <v>44.88</v>
      </c>
      <c r="D25" s="46">
        <f t="shared" si="6"/>
        <v>0.6577540107</v>
      </c>
      <c r="E25" s="46">
        <f t="shared" si="7"/>
        <v>0.4160325011</v>
      </c>
      <c r="F25" s="51">
        <f t="shared" si="8"/>
        <v>1.581015928</v>
      </c>
      <c r="G25" s="46">
        <f t="shared" si="9"/>
        <v>19.14418164</v>
      </c>
      <c r="H25" s="46">
        <f t="shared" si="10"/>
        <v>61.74327012</v>
      </c>
      <c r="I25" s="46">
        <f t="shared" si="11"/>
        <v>36.08788358</v>
      </c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40">
        <v>5.0</v>
      </c>
      <c r="C26" s="40">
        <v>40.13</v>
      </c>
      <c r="D26" s="46">
        <f t="shared" si="6"/>
        <v>0.7356092699</v>
      </c>
      <c r="E26" s="46">
        <f t="shared" si="7"/>
        <v>0.3489572387</v>
      </c>
      <c r="F26" s="51">
        <f t="shared" si="8"/>
        <v>2.108021237</v>
      </c>
      <c r="G26" s="46">
        <f t="shared" si="9"/>
        <v>22.82400503</v>
      </c>
      <c r="H26" s="46">
        <f t="shared" si="10"/>
        <v>61.74327012</v>
      </c>
      <c r="I26" s="46">
        <f t="shared" si="11"/>
        <v>42.9505321</v>
      </c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40">
        <v>6.0</v>
      </c>
      <c r="C27" s="40">
        <v>33.15</v>
      </c>
      <c r="D27" s="46">
        <f t="shared" si="6"/>
        <v>0.8904977376</v>
      </c>
      <c r="E27" s="46">
        <f t="shared" si="7"/>
        <v>0.3379464009</v>
      </c>
      <c r="F27" s="51">
        <f t="shared" si="8"/>
        <v>2.635026546</v>
      </c>
      <c r="G27" s="46">
        <f t="shared" si="9"/>
        <v>23.56764785</v>
      </c>
      <c r="H27" s="46">
        <f t="shared" si="10"/>
        <v>61.74327012</v>
      </c>
      <c r="I27" s="46">
        <f t="shared" si="11"/>
        <v>48.48231235</v>
      </c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E28" s="30"/>
      <c r="F28" s="59" t="s">
        <v>53</v>
      </c>
      <c r="G28" s="101">
        <f t="shared" ref="G28:I28" si="12">AVERAGE(G22:G27)</f>
        <v>14.70910342</v>
      </c>
      <c r="H28" s="101">
        <f t="shared" si="12"/>
        <v>61.74327012</v>
      </c>
      <c r="I28" s="101">
        <f t="shared" si="12"/>
        <v>28.45156139</v>
      </c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.5" customHeight="1">
      <c r="A29" s="30"/>
      <c r="B29" s="30"/>
      <c r="C29" s="30"/>
      <c r="D29" s="59"/>
      <c r="E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.5" customHeight="1">
      <c r="A30" s="30"/>
      <c r="B30" s="30"/>
      <c r="C30" s="30"/>
      <c r="D30" s="59"/>
      <c r="E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.5" customHeight="1">
      <c r="A31" s="30"/>
      <c r="B31" s="30"/>
      <c r="C31" s="30"/>
      <c r="D31" s="59"/>
      <c r="E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.5" customHeight="1">
      <c r="A32" s="30"/>
      <c r="B32" s="30"/>
      <c r="C32" s="30"/>
      <c r="D32" s="59"/>
      <c r="E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.5" customHeight="1">
      <c r="A33" s="30"/>
      <c r="B33" s="30"/>
      <c r="C33" s="30"/>
      <c r="D33" s="59"/>
      <c r="E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.5" customHeight="1">
      <c r="A34" s="30"/>
      <c r="B34" s="30"/>
      <c r="C34" s="30"/>
      <c r="D34" s="59"/>
      <c r="E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.5" customHeight="1">
      <c r="A35" s="30"/>
      <c r="B35" s="30"/>
      <c r="C35" s="30"/>
      <c r="D35" s="59"/>
      <c r="E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.5" customHeight="1">
      <c r="A36" s="30"/>
      <c r="B36" s="30"/>
      <c r="C36" s="30"/>
      <c r="D36" s="59"/>
      <c r="E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.5" customHeight="1">
      <c r="A37" s="30"/>
      <c r="B37" s="30"/>
      <c r="C37" s="30"/>
      <c r="D37" s="59"/>
      <c r="E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.5" customHeight="1">
      <c r="A38" s="30"/>
      <c r="B38" s="30"/>
      <c r="C38" s="30"/>
      <c r="D38" s="59"/>
      <c r="E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.5" customHeight="1">
      <c r="A39" s="30"/>
      <c r="B39" s="30"/>
      <c r="C39" s="30"/>
      <c r="D39" s="59"/>
      <c r="E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.5" customHeight="1">
      <c r="A40" s="30"/>
      <c r="B40" s="30"/>
      <c r="C40" s="30"/>
      <c r="D40" s="59"/>
      <c r="E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59"/>
      <c r="E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29" t="s">
        <v>54</v>
      </c>
      <c r="C42" s="30"/>
      <c r="D42" s="59"/>
      <c r="E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59"/>
      <c r="E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.5" customHeight="1">
      <c r="A44" s="30"/>
      <c r="B44" s="30"/>
      <c r="C44" s="30"/>
      <c r="E44" s="30"/>
      <c r="F44" s="5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.5" customHeight="1">
      <c r="A45" s="30"/>
      <c r="B45" s="30"/>
      <c r="C45" s="30"/>
      <c r="D45" s="59"/>
      <c r="E45" s="30"/>
      <c r="F45" s="59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59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59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59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  <row r="1007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</row>
    <row r="1008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</row>
    <row r="1009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</row>
    <row r="1010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</row>
    <row r="1011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</row>
    <row r="1012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</row>
    <row r="1013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</row>
    <row r="1014">
      <c r="A1014" s="30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</row>
    <row r="1015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</row>
    <row r="1016">
      <c r="A1016" s="30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</row>
    <row r="1017">
      <c r="A1017" s="30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</row>
    <row r="1018">
      <c r="A1018" s="30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</row>
    <row r="1019">
      <c r="A1019" s="30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</row>
    <row r="1020">
      <c r="A1020" s="30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</row>
    <row r="1021">
      <c r="A1021" s="30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</row>
  </sheetData>
  <mergeCells count="8">
    <mergeCell ref="B2:L2"/>
    <mergeCell ref="B9:B10"/>
    <mergeCell ref="C9:C10"/>
    <mergeCell ref="D9:F9"/>
    <mergeCell ref="G9:I9"/>
    <mergeCell ref="J9:J10"/>
    <mergeCell ref="K9:K10"/>
    <mergeCell ref="L9:L10"/>
  </mergeCells>
  <hyperlinks>
    <hyperlink display="&lt;-- Back to Index" location="Index!A1" ref="A1"/>
  </hyperlinks>
  <printOptions horizontalCentered="1" verticalCentered="1"/>
  <pageMargins bottom="0.75" footer="0.0" header="0.0" left="0.25" right="0.25" top="0.75"/>
  <pageSetup paperSize="9" cellComments="atEnd" orientation="portrait" pageOrder="overThenDown"/>
  <rowBreaks count="3" manualBreakCount="3">
    <brk man="1"/>
    <brk id="80" man="1"/>
    <brk id="40" man="1"/>
  </rowBreaks>
  <colBreaks count="2" manualBreakCount="2">
    <brk man="1"/>
    <brk id="12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25"/>
    <col customWidth="1" min="3" max="3" width="8.25"/>
    <col customWidth="1" min="4" max="6" width="8.5"/>
    <col customWidth="1" min="7" max="9" width="8.25"/>
    <col customWidth="1" min="10" max="10" width="8.5"/>
    <col customWidth="1" min="11" max="13" width="9.25"/>
    <col customWidth="1" min="14" max="14" width="9.63"/>
    <col customWidth="1" min="15" max="17" width="10.13"/>
  </cols>
  <sheetData>
    <row r="1">
      <c r="A1" s="28" t="s">
        <v>25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>
      <c r="A2" s="30"/>
      <c r="B2" s="31" t="s">
        <v>131</v>
      </c>
      <c r="R2" s="30"/>
      <c r="S2" s="30"/>
    </row>
    <row r="3">
      <c r="A3" s="30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ht="1.5" customHeight="1">
      <c r="A4" s="30"/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ht="1.5" customHeight="1">
      <c r="A5" s="30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</row>
    <row r="6">
      <c r="A6" s="30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>
      <c r="A7" s="30"/>
      <c r="B7" s="29" t="s">
        <v>27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ht="26.25" customHeight="1">
      <c r="A9" s="30"/>
      <c r="B9" s="32" t="s">
        <v>28</v>
      </c>
      <c r="C9" s="32" t="s">
        <v>33</v>
      </c>
      <c r="D9" s="33" t="s">
        <v>79</v>
      </c>
      <c r="E9" s="34"/>
      <c r="F9" s="35"/>
      <c r="G9" s="73" t="s">
        <v>132</v>
      </c>
      <c r="H9" s="102" t="s">
        <v>133</v>
      </c>
      <c r="I9" s="35"/>
      <c r="J9" s="33" t="s">
        <v>82</v>
      </c>
      <c r="K9" s="34"/>
      <c r="L9" s="34"/>
      <c r="M9" s="34"/>
      <c r="N9" s="35"/>
      <c r="O9" s="65" t="s">
        <v>83</v>
      </c>
      <c r="P9" s="30"/>
      <c r="Q9" s="30"/>
      <c r="R9" s="30"/>
      <c r="S9" s="30"/>
    </row>
    <row r="10">
      <c r="A10" s="30"/>
      <c r="B10" s="38"/>
      <c r="C10" s="38"/>
      <c r="D10" s="39" t="s">
        <v>84</v>
      </c>
      <c r="E10" s="39" t="s">
        <v>85</v>
      </c>
      <c r="F10" s="39" t="s">
        <v>86</v>
      </c>
      <c r="G10" s="38"/>
      <c r="H10" s="103" t="s">
        <v>134</v>
      </c>
      <c r="I10" s="103" t="s">
        <v>135</v>
      </c>
      <c r="J10" s="39" t="s">
        <v>87</v>
      </c>
      <c r="K10" s="39" t="s">
        <v>88</v>
      </c>
      <c r="L10" s="39" t="s">
        <v>89</v>
      </c>
      <c r="M10" s="39" t="s">
        <v>90</v>
      </c>
      <c r="N10" s="39" t="s">
        <v>91</v>
      </c>
      <c r="O10" s="38"/>
      <c r="P10" s="30"/>
      <c r="Q10" s="30"/>
      <c r="R10" s="30"/>
      <c r="S10" s="30"/>
    </row>
    <row r="11">
      <c r="A11" s="30"/>
      <c r="B11" s="40">
        <v>1.0</v>
      </c>
      <c r="C11" s="40">
        <v>1520.0</v>
      </c>
      <c r="D11" s="40">
        <v>0.0</v>
      </c>
      <c r="E11" s="40">
        <v>0.0</v>
      </c>
      <c r="F11" s="68">
        <f t="shared" ref="F11:F16" si="1">D11-E11</f>
        <v>0</v>
      </c>
      <c r="G11" s="74">
        <v>78.0</v>
      </c>
      <c r="H11" s="74">
        <v>5.84</v>
      </c>
      <c r="I11" s="51">
        <f t="shared" ref="I11:I16" si="2">100/H11</f>
        <v>17.12328767</v>
      </c>
      <c r="J11" s="40">
        <v>32.0</v>
      </c>
      <c r="K11" s="40">
        <v>37.0</v>
      </c>
      <c r="L11" s="40">
        <v>34.0</v>
      </c>
      <c r="M11" s="40">
        <v>152.0</v>
      </c>
      <c r="N11" s="40">
        <v>120.0</v>
      </c>
      <c r="O11" s="40">
        <v>72.9</v>
      </c>
      <c r="P11" s="30"/>
      <c r="Q11" s="30"/>
      <c r="R11" s="30"/>
      <c r="S11" s="30"/>
    </row>
    <row r="12">
      <c r="A12" s="30"/>
      <c r="B12" s="40">
        <v>2.0</v>
      </c>
      <c r="C12" s="40">
        <v>1515.0</v>
      </c>
      <c r="D12" s="40">
        <v>2.0</v>
      </c>
      <c r="E12" s="40">
        <v>0.0</v>
      </c>
      <c r="F12" s="68">
        <f t="shared" si="1"/>
        <v>2</v>
      </c>
      <c r="G12" s="74">
        <v>78.0</v>
      </c>
      <c r="H12" s="74">
        <v>5.6</v>
      </c>
      <c r="I12" s="51">
        <f t="shared" si="2"/>
        <v>17.85714286</v>
      </c>
      <c r="J12" s="40">
        <v>32.0</v>
      </c>
      <c r="K12" s="40">
        <v>38.0</v>
      </c>
      <c r="L12" s="40">
        <v>35.0</v>
      </c>
      <c r="M12" s="40">
        <v>168.0</v>
      </c>
      <c r="N12" s="40">
        <v>134.0</v>
      </c>
      <c r="O12" s="40">
        <v>63.2</v>
      </c>
      <c r="P12" s="30"/>
      <c r="Q12" s="30"/>
      <c r="R12" s="30"/>
      <c r="S12" s="30"/>
    </row>
    <row r="13">
      <c r="A13" s="30"/>
      <c r="B13" s="40">
        <v>3.0</v>
      </c>
      <c r="C13" s="40">
        <v>1508.0</v>
      </c>
      <c r="D13" s="40">
        <v>4.0</v>
      </c>
      <c r="E13" s="40">
        <v>0.0</v>
      </c>
      <c r="F13" s="68">
        <f t="shared" si="1"/>
        <v>4</v>
      </c>
      <c r="G13" s="74">
        <v>78.0</v>
      </c>
      <c r="H13" s="74">
        <v>5.5</v>
      </c>
      <c r="I13" s="51">
        <f t="shared" si="2"/>
        <v>18.18181818</v>
      </c>
      <c r="J13" s="40">
        <v>32.0</v>
      </c>
      <c r="K13" s="40">
        <v>39.0</v>
      </c>
      <c r="L13" s="40">
        <v>35.0</v>
      </c>
      <c r="M13" s="40">
        <v>188.0</v>
      </c>
      <c r="N13" s="40">
        <v>149.0</v>
      </c>
      <c r="O13" s="40">
        <v>55.5</v>
      </c>
      <c r="P13" s="30"/>
      <c r="Q13" s="30"/>
      <c r="R13" s="30"/>
      <c r="S13" s="30"/>
    </row>
    <row r="14">
      <c r="A14" s="30"/>
      <c r="B14" s="40">
        <v>4.0</v>
      </c>
      <c r="C14" s="40">
        <v>1495.0</v>
      </c>
      <c r="D14" s="40">
        <v>6.0</v>
      </c>
      <c r="E14" s="40">
        <v>0.0</v>
      </c>
      <c r="F14" s="68">
        <f t="shared" si="1"/>
        <v>6</v>
      </c>
      <c r="G14" s="74">
        <v>78.0</v>
      </c>
      <c r="H14" s="74">
        <v>5.78</v>
      </c>
      <c r="I14" s="51">
        <f t="shared" si="2"/>
        <v>17.30103806</v>
      </c>
      <c r="J14" s="40">
        <v>32.0</v>
      </c>
      <c r="K14" s="40">
        <v>40.0</v>
      </c>
      <c r="L14" s="40">
        <v>35.0</v>
      </c>
      <c r="M14" s="40">
        <v>204.0</v>
      </c>
      <c r="N14" s="40">
        <v>161.0</v>
      </c>
      <c r="O14" s="40">
        <v>48.3</v>
      </c>
      <c r="P14" s="30"/>
      <c r="Q14" s="30"/>
      <c r="R14" s="30"/>
      <c r="S14" s="30"/>
    </row>
    <row r="15">
      <c r="A15" s="30"/>
      <c r="B15" s="40">
        <v>5.0</v>
      </c>
      <c r="C15" s="40">
        <v>1470.0</v>
      </c>
      <c r="D15" s="40">
        <v>8.0</v>
      </c>
      <c r="E15" s="40">
        <v>0.0</v>
      </c>
      <c r="F15" s="68">
        <f t="shared" si="1"/>
        <v>8</v>
      </c>
      <c r="G15" s="74">
        <v>78.0</v>
      </c>
      <c r="H15" s="74">
        <v>5.09</v>
      </c>
      <c r="I15" s="51">
        <f t="shared" si="2"/>
        <v>19.64636542</v>
      </c>
      <c r="J15" s="40">
        <v>32.0</v>
      </c>
      <c r="K15" s="40">
        <v>41.0</v>
      </c>
      <c r="L15" s="40">
        <v>36.0</v>
      </c>
      <c r="M15" s="40">
        <v>234.0</v>
      </c>
      <c r="N15" s="40">
        <v>187.0</v>
      </c>
      <c r="O15" s="40">
        <v>39.6</v>
      </c>
      <c r="P15" s="30"/>
      <c r="Q15" s="30"/>
      <c r="R15" s="30"/>
      <c r="S15" s="30"/>
    </row>
    <row r="16">
      <c r="A16" s="30"/>
      <c r="B16" s="40">
        <v>6.0</v>
      </c>
      <c r="C16" s="40">
        <v>1460.0</v>
      </c>
      <c r="D16" s="40">
        <v>10.0</v>
      </c>
      <c r="E16" s="40">
        <v>0.0</v>
      </c>
      <c r="F16" s="68">
        <f t="shared" si="1"/>
        <v>10</v>
      </c>
      <c r="G16" s="74">
        <v>78.0</v>
      </c>
      <c r="H16" s="74">
        <v>5.0</v>
      </c>
      <c r="I16" s="51">
        <f t="shared" si="2"/>
        <v>20</v>
      </c>
      <c r="J16" s="40">
        <v>32.0</v>
      </c>
      <c r="K16" s="40">
        <v>42.0</v>
      </c>
      <c r="L16" s="40">
        <v>36.0</v>
      </c>
      <c r="M16" s="40">
        <v>267.0</v>
      </c>
      <c r="N16" s="40">
        <v>214.0</v>
      </c>
      <c r="O16" s="40">
        <v>36.7</v>
      </c>
      <c r="P16" s="30"/>
      <c r="Q16" s="30"/>
      <c r="R16" s="30"/>
      <c r="S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59"/>
      <c r="P17" s="30"/>
      <c r="Q17" s="30"/>
      <c r="R17" s="30"/>
      <c r="S17" s="30"/>
    </row>
    <row r="18" ht="1.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ht="1.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>
      <c r="A21" s="76"/>
      <c r="B21" s="77" t="s">
        <v>28</v>
      </c>
      <c r="C21" s="78" t="s">
        <v>66</v>
      </c>
      <c r="D21" s="78" t="s">
        <v>65</v>
      </c>
      <c r="E21" s="78" t="s">
        <v>67</v>
      </c>
      <c r="F21" s="78" t="s">
        <v>92</v>
      </c>
      <c r="G21" s="78" t="s">
        <v>93</v>
      </c>
      <c r="H21" s="78" t="s">
        <v>94</v>
      </c>
      <c r="I21" s="78" t="s">
        <v>95</v>
      </c>
      <c r="J21" s="78" t="s">
        <v>96</v>
      </c>
      <c r="K21" s="78" t="s">
        <v>97</v>
      </c>
      <c r="L21" s="78" t="s">
        <v>98</v>
      </c>
      <c r="M21" s="76"/>
      <c r="N21" s="76"/>
      <c r="O21" s="76"/>
      <c r="P21" s="76"/>
      <c r="Q21" s="76"/>
      <c r="R21" s="76"/>
      <c r="S21" s="76"/>
    </row>
    <row r="22">
      <c r="A22" s="76"/>
      <c r="B22" s="78">
        <v>1.0</v>
      </c>
      <c r="C22" s="51">
        <f t="shared" ref="C22:C27" si="3">(2*pi()*C11*F11*((0.33+0.03)/2)*9.81)/60000</f>
        <v>0</v>
      </c>
      <c r="D22" s="46">
        <f t="shared" ref="D22:D27" si="4">(0.82*3600*10)/(1000*O11)</f>
        <v>0.4049382716</v>
      </c>
      <c r="E22" s="46" t="str">
        <f t="shared" ref="E22:E27" si="5">D22/C22</f>
        <v>#DIV/0!</v>
      </c>
      <c r="F22" s="79">
        <f t="shared" ref="F22:F27" si="6">(D22*45200)/60</f>
        <v>305.0534979</v>
      </c>
      <c r="G22" s="68">
        <f t="shared" ref="G22:G27" si="7">C22*60</f>
        <v>0</v>
      </c>
      <c r="H22" s="46">
        <f t="shared" ref="H22:H27" si="8">1000*G11*(10^(-6))*60</f>
        <v>4.68</v>
      </c>
      <c r="I22" s="46">
        <f t="shared" ref="I22:I27" si="9">H22*4.187*(K11-J11)</f>
        <v>97.9758</v>
      </c>
      <c r="J22" s="46">
        <f t="shared" ref="J22:J27" si="10">1000*I11*(10^(-6))*60</f>
        <v>1.02739726</v>
      </c>
      <c r="K22" s="46">
        <f t="shared" ref="K22:K27" si="11">J22*4.187*(L11-J11)*(M11-$O$23)/(M11-N11)</f>
        <v>31.72512842</v>
      </c>
      <c r="L22" s="46">
        <f t="shared" ref="L22:L27" si="12">F22-(G22+I22+K22)</f>
        <v>175.3525695</v>
      </c>
      <c r="M22" s="76"/>
      <c r="N22" s="80" t="s">
        <v>99</v>
      </c>
      <c r="O22" s="76"/>
      <c r="P22" s="76"/>
      <c r="Q22" s="76"/>
      <c r="R22" s="76"/>
      <c r="S22" s="76"/>
    </row>
    <row r="23">
      <c r="A23" s="76"/>
      <c r="B23" s="78">
        <v>2.0</v>
      </c>
      <c r="C23" s="51">
        <f t="shared" si="3"/>
        <v>0.5602898551</v>
      </c>
      <c r="D23" s="46">
        <f t="shared" si="4"/>
        <v>0.4670886076</v>
      </c>
      <c r="E23" s="46">
        <f t="shared" si="5"/>
        <v>0.8336553007</v>
      </c>
      <c r="F23" s="79">
        <f t="shared" si="6"/>
        <v>351.8734177</v>
      </c>
      <c r="G23" s="70">
        <f t="shared" si="7"/>
        <v>33.6173913</v>
      </c>
      <c r="H23" s="46">
        <f t="shared" si="8"/>
        <v>4.68</v>
      </c>
      <c r="I23" s="46">
        <f t="shared" si="9"/>
        <v>117.57096</v>
      </c>
      <c r="J23" s="46">
        <f t="shared" si="10"/>
        <v>1.071428571</v>
      </c>
      <c r="K23" s="46">
        <f t="shared" si="11"/>
        <v>53.04119748</v>
      </c>
      <c r="L23" s="46">
        <f t="shared" si="12"/>
        <v>147.6438689</v>
      </c>
      <c r="M23" s="76"/>
      <c r="N23" s="81" t="s">
        <v>100</v>
      </c>
      <c r="O23" s="81">
        <v>34.0</v>
      </c>
      <c r="P23" s="76"/>
      <c r="Q23" s="76"/>
      <c r="R23" s="76"/>
      <c r="S23" s="76"/>
    </row>
    <row r="24">
      <c r="A24" s="76"/>
      <c r="B24" s="78">
        <v>3.0</v>
      </c>
      <c r="C24" s="51">
        <f t="shared" si="3"/>
        <v>1.115402114</v>
      </c>
      <c r="D24" s="46">
        <f t="shared" si="4"/>
        <v>0.5318918919</v>
      </c>
      <c r="E24" s="46">
        <f t="shared" si="5"/>
        <v>0.4768611115</v>
      </c>
      <c r="F24" s="79">
        <f t="shared" si="6"/>
        <v>400.6918919</v>
      </c>
      <c r="G24" s="70">
        <f t="shared" si="7"/>
        <v>66.92412685</v>
      </c>
      <c r="H24" s="46">
        <f t="shared" si="8"/>
        <v>4.68</v>
      </c>
      <c r="I24" s="46">
        <f t="shared" si="9"/>
        <v>137.16612</v>
      </c>
      <c r="J24" s="46">
        <f t="shared" si="10"/>
        <v>1.090909091</v>
      </c>
      <c r="K24" s="46">
        <f t="shared" si="11"/>
        <v>54.10892308</v>
      </c>
      <c r="L24" s="46">
        <f t="shared" si="12"/>
        <v>142.492722</v>
      </c>
      <c r="M24" s="76"/>
      <c r="N24" s="76"/>
      <c r="O24" s="76"/>
      <c r="P24" s="76"/>
      <c r="Q24" s="76"/>
      <c r="R24" s="76"/>
      <c r="S24" s="76"/>
    </row>
    <row r="25">
      <c r="A25" s="76"/>
      <c r="B25" s="78">
        <v>4.0</v>
      </c>
      <c r="C25" s="51">
        <f t="shared" si="3"/>
        <v>1.658679868</v>
      </c>
      <c r="D25" s="46">
        <f t="shared" si="4"/>
        <v>0.6111801242</v>
      </c>
      <c r="E25" s="46">
        <f t="shared" si="5"/>
        <v>0.3684738303</v>
      </c>
      <c r="F25" s="79">
        <f t="shared" si="6"/>
        <v>460.4223602</v>
      </c>
      <c r="G25" s="70">
        <f t="shared" si="7"/>
        <v>99.52079208</v>
      </c>
      <c r="H25" s="46">
        <f t="shared" si="8"/>
        <v>4.68</v>
      </c>
      <c r="I25" s="46">
        <f t="shared" si="9"/>
        <v>156.76128</v>
      </c>
      <c r="J25" s="46">
        <f t="shared" si="10"/>
        <v>1.038062284</v>
      </c>
      <c r="K25" s="46">
        <f t="shared" si="11"/>
        <v>51.5499316</v>
      </c>
      <c r="L25" s="46">
        <f t="shared" si="12"/>
        <v>152.5903566</v>
      </c>
      <c r="M25" s="76"/>
      <c r="N25" s="76"/>
      <c r="O25" s="76"/>
      <c r="P25" s="76"/>
      <c r="Q25" s="76"/>
      <c r="R25" s="76"/>
      <c r="S25" s="76"/>
    </row>
    <row r="26">
      <c r="A26" s="76"/>
      <c r="B26" s="78">
        <v>5.0</v>
      </c>
      <c r="C26" s="51">
        <f t="shared" si="3"/>
        <v>2.174590329</v>
      </c>
      <c r="D26" s="46">
        <f t="shared" si="4"/>
        <v>0.7454545455</v>
      </c>
      <c r="E26" s="46">
        <f t="shared" si="5"/>
        <v>0.3428022905</v>
      </c>
      <c r="F26" s="79">
        <f t="shared" si="6"/>
        <v>561.5757576</v>
      </c>
      <c r="G26" s="70">
        <f t="shared" si="7"/>
        <v>130.4754197</v>
      </c>
      <c r="H26" s="46">
        <f t="shared" si="8"/>
        <v>4.68</v>
      </c>
      <c r="I26" s="46">
        <f t="shared" si="9"/>
        <v>176.35644</v>
      </c>
      <c r="J26" s="46">
        <f t="shared" si="10"/>
        <v>1.178781925</v>
      </c>
      <c r="K26" s="46">
        <f t="shared" si="11"/>
        <v>84.00953058</v>
      </c>
      <c r="L26" s="46">
        <f t="shared" si="12"/>
        <v>170.7343673</v>
      </c>
      <c r="M26" s="76"/>
      <c r="N26" s="76"/>
      <c r="O26" s="76"/>
      <c r="P26" s="76"/>
      <c r="Q26" s="76"/>
      <c r="R26" s="76"/>
      <c r="S26" s="76"/>
    </row>
    <row r="27">
      <c r="A27" s="76"/>
      <c r="B27" s="78">
        <v>6.0</v>
      </c>
      <c r="C27" s="51">
        <f t="shared" si="3"/>
        <v>2.699746496</v>
      </c>
      <c r="D27" s="46">
        <f t="shared" si="4"/>
        <v>0.804359673</v>
      </c>
      <c r="E27" s="46">
        <f t="shared" si="5"/>
        <v>0.2979389636</v>
      </c>
      <c r="F27" s="79">
        <f t="shared" si="6"/>
        <v>605.9509537</v>
      </c>
      <c r="G27" s="70">
        <f t="shared" si="7"/>
        <v>161.9847898</v>
      </c>
      <c r="H27" s="46">
        <f t="shared" si="8"/>
        <v>4.68</v>
      </c>
      <c r="I27" s="46">
        <f t="shared" si="9"/>
        <v>195.9516</v>
      </c>
      <c r="J27" s="46">
        <f t="shared" si="10"/>
        <v>1.2</v>
      </c>
      <c r="K27" s="46">
        <f t="shared" si="11"/>
        <v>88.3536</v>
      </c>
      <c r="L27" s="82">
        <f t="shared" si="12"/>
        <v>159.6609639</v>
      </c>
      <c r="M27" s="76"/>
      <c r="N27" s="76"/>
      <c r="O27" s="76"/>
      <c r="P27" s="76"/>
      <c r="Q27" s="76"/>
      <c r="R27" s="76"/>
      <c r="S27" s="76"/>
    </row>
    <row r="28" ht="15.75" customHeight="1">
      <c r="A28" s="30"/>
      <c r="B28" s="30"/>
      <c r="C28" s="30"/>
      <c r="E28" s="30"/>
      <c r="F28" s="59"/>
      <c r="G28" s="30"/>
      <c r="H28" s="30"/>
      <c r="I28" s="30"/>
      <c r="J28" s="60"/>
      <c r="K28" s="30"/>
      <c r="L28" s="83"/>
      <c r="M28" s="30"/>
      <c r="N28" s="30"/>
      <c r="O28" s="30"/>
      <c r="P28" s="30"/>
      <c r="Q28" s="30"/>
      <c r="R28" s="30"/>
      <c r="S28" s="30"/>
    </row>
    <row r="29" ht="15.75" customHeight="1">
      <c r="A29" s="30"/>
      <c r="B29" s="30"/>
      <c r="C29" s="30"/>
      <c r="D29" s="59"/>
      <c r="E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</row>
    <row r="30" ht="30.0" customHeight="1">
      <c r="A30" s="30"/>
      <c r="B30" s="48" t="s">
        <v>28</v>
      </c>
      <c r="C30" s="49" t="s">
        <v>102</v>
      </c>
      <c r="D30" s="34"/>
      <c r="E30" s="35"/>
      <c r="F30" s="49" t="s">
        <v>103</v>
      </c>
      <c r="G30" s="35"/>
      <c r="H30" s="85" t="s">
        <v>104</v>
      </c>
      <c r="I30" s="30"/>
      <c r="J30" s="86"/>
      <c r="K30" s="35"/>
      <c r="L30" s="40" t="s">
        <v>105</v>
      </c>
      <c r="M30" s="40" t="s">
        <v>106</v>
      </c>
      <c r="N30" s="40" t="s">
        <v>107</v>
      </c>
      <c r="O30" s="40" t="s">
        <v>108</v>
      </c>
      <c r="P30" s="40" t="s">
        <v>109</v>
      </c>
      <c r="Q30" s="40" t="s">
        <v>110</v>
      </c>
      <c r="R30" s="30"/>
      <c r="S30" s="30"/>
    </row>
    <row r="31" ht="15.75" customHeight="1">
      <c r="A31" s="30"/>
      <c r="B31" s="40">
        <v>1.0</v>
      </c>
      <c r="C31" s="87" t="s">
        <v>111</v>
      </c>
      <c r="D31" s="34"/>
      <c r="E31" s="35"/>
      <c r="F31" s="88">
        <f>F24</f>
        <v>400.6918919</v>
      </c>
      <c r="G31" s="35"/>
      <c r="H31" s="85">
        <v>1.0</v>
      </c>
      <c r="I31" s="30"/>
      <c r="J31" s="49" t="s">
        <v>112</v>
      </c>
      <c r="K31" s="35"/>
      <c r="L31" s="40">
        <v>0.0</v>
      </c>
      <c r="M31" s="40">
        <v>2.0</v>
      </c>
      <c r="N31" s="40">
        <v>4.0</v>
      </c>
      <c r="O31" s="40">
        <v>6.0</v>
      </c>
      <c r="P31" s="40">
        <v>8.0</v>
      </c>
      <c r="Q31" s="40">
        <v>10.0</v>
      </c>
      <c r="R31" s="30"/>
      <c r="S31" s="30"/>
    </row>
    <row r="32" ht="15.75" customHeight="1">
      <c r="A32" s="30"/>
      <c r="B32" s="40">
        <v>2.0</v>
      </c>
      <c r="C32" s="87" t="s">
        <v>113</v>
      </c>
      <c r="D32" s="34"/>
      <c r="E32" s="35"/>
      <c r="F32" s="88">
        <f>G24</f>
        <v>66.92412685</v>
      </c>
      <c r="G32" s="35"/>
      <c r="H32" s="89">
        <f>F32/F31</f>
        <v>0.1670214152</v>
      </c>
      <c r="I32" s="90" t="s">
        <v>114</v>
      </c>
      <c r="J32" s="91" t="str">
        <f>F21</f>
        <v>Heat Input, Qin        KJ/min</v>
      </c>
      <c r="K32" s="92"/>
      <c r="L32" s="93">
        <f t="array" ref="L32:Q32">TRANSPOSE(F22:F27)</f>
        <v>305.0534979</v>
      </c>
      <c r="M32" s="93">
        <v>351.873417721519</v>
      </c>
      <c r="N32" s="93">
        <v>400.6918918918919</v>
      </c>
      <c r="O32" s="93">
        <v>460.4223602484472</v>
      </c>
      <c r="P32" s="93">
        <v>561.5757575757576</v>
      </c>
      <c r="Q32" s="93">
        <v>605.9509536784741</v>
      </c>
      <c r="R32" s="30"/>
      <c r="S32" s="30"/>
    </row>
    <row r="33" ht="15.75" customHeight="1">
      <c r="A33" s="30"/>
      <c r="B33" s="40">
        <v>3.0</v>
      </c>
      <c r="C33" s="87" t="s">
        <v>115</v>
      </c>
      <c r="D33" s="34"/>
      <c r="E33" s="35"/>
      <c r="F33" s="88">
        <f>I24</f>
        <v>137.16612</v>
      </c>
      <c r="G33" s="35"/>
      <c r="H33" s="89">
        <f>F33/F31</f>
        <v>0.3423231734</v>
      </c>
      <c r="I33" s="90" t="s">
        <v>116</v>
      </c>
      <c r="J33" s="66"/>
      <c r="K33" s="67"/>
      <c r="L33" s="89">
        <f t="shared" ref="L33:Q33" si="13">L32/L32</f>
        <v>1</v>
      </c>
      <c r="M33" s="89">
        <f t="shared" si="13"/>
        <v>1</v>
      </c>
      <c r="N33" s="89">
        <f t="shared" si="13"/>
        <v>1</v>
      </c>
      <c r="O33" s="89">
        <f t="shared" si="13"/>
        <v>1</v>
      </c>
      <c r="P33" s="89">
        <f t="shared" si="13"/>
        <v>1</v>
      </c>
      <c r="Q33" s="89">
        <f t="shared" si="13"/>
        <v>1</v>
      </c>
      <c r="R33" s="30"/>
      <c r="S33" s="30"/>
    </row>
    <row r="34" ht="15.75" customHeight="1">
      <c r="A34" s="30"/>
      <c r="B34" s="40">
        <v>4.0</v>
      </c>
      <c r="C34" s="87" t="s">
        <v>117</v>
      </c>
      <c r="D34" s="34"/>
      <c r="E34" s="35"/>
      <c r="F34" s="88">
        <f>K24</f>
        <v>54.10892308</v>
      </c>
      <c r="G34" s="35"/>
      <c r="H34" s="89">
        <f>F34/F31</f>
        <v>0.1350387272</v>
      </c>
      <c r="I34" s="90" t="s">
        <v>118</v>
      </c>
      <c r="J34" s="91" t="str">
        <f>G21</f>
        <v>Heat Equivalent to Brake Power, Qbp</v>
      </c>
      <c r="K34" s="92"/>
      <c r="L34" s="100">
        <f t="array" ref="L34:Q34">TRANSPOSE(G22:G27)</f>
        <v>0</v>
      </c>
      <c r="M34" s="93">
        <v>33.61739130471568</v>
      </c>
      <c r="N34" s="93">
        <v>66.92412684819965</v>
      </c>
      <c r="O34" s="93">
        <v>99.52079208029689</v>
      </c>
      <c r="P34" s="93">
        <v>130.4754197173123</v>
      </c>
      <c r="Q34" s="93">
        <v>161.98478978509863</v>
      </c>
      <c r="R34" s="30"/>
      <c r="S34" s="30"/>
    </row>
    <row r="35" ht="15.75" customHeight="1">
      <c r="A35" s="30"/>
      <c r="B35" s="40">
        <v>5.0</v>
      </c>
      <c r="C35" s="87" t="s">
        <v>119</v>
      </c>
      <c r="D35" s="34"/>
      <c r="E35" s="35"/>
      <c r="F35" s="88">
        <f>L24</f>
        <v>142.492722</v>
      </c>
      <c r="G35" s="35"/>
      <c r="H35" s="89">
        <f>F35/F31</f>
        <v>0.3556166842</v>
      </c>
      <c r="I35" s="90" t="s">
        <v>120</v>
      </c>
      <c r="J35" s="66"/>
      <c r="K35" s="67"/>
      <c r="L35" s="89">
        <f t="shared" ref="L35:Q35" si="14">L34/L32</f>
        <v>0</v>
      </c>
      <c r="M35" s="89">
        <f t="shared" si="14"/>
        <v>0.09553830898</v>
      </c>
      <c r="N35" s="89">
        <f t="shared" si="14"/>
        <v>0.1670214152</v>
      </c>
      <c r="O35" s="89">
        <f t="shared" si="14"/>
        <v>0.2161510836</v>
      </c>
      <c r="P35" s="89">
        <f t="shared" si="14"/>
        <v>0.2323380558</v>
      </c>
      <c r="Q35" s="89">
        <f t="shared" si="14"/>
        <v>0.267323269</v>
      </c>
      <c r="R35" s="30"/>
      <c r="S35" s="30"/>
    </row>
    <row r="36" ht="15.75" customHeight="1">
      <c r="A36" s="30"/>
      <c r="B36" s="30"/>
      <c r="C36" s="30"/>
      <c r="D36" s="59"/>
      <c r="E36" s="30"/>
      <c r="G36" s="30"/>
      <c r="H36" s="30"/>
      <c r="I36" s="30"/>
      <c r="J36" s="91" t="str">
        <f>I21</f>
        <v>Heat Carried away by cooling water, Qw</v>
      </c>
      <c r="K36" s="92"/>
      <c r="L36" s="94">
        <f t="array" ref="L36:Q36">TRANSPOSE(I22:I27)</f>
        <v>97.9758</v>
      </c>
      <c r="M36" s="94">
        <v>117.57096</v>
      </c>
      <c r="N36" s="94">
        <v>137.16612</v>
      </c>
      <c r="O36" s="94">
        <v>156.76128</v>
      </c>
      <c r="P36" s="94">
        <v>176.35644</v>
      </c>
      <c r="Q36" s="94">
        <v>195.95159999999998</v>
      </c>
      <c r="R36" s="30"/>
      <c r="S36" s="30"/>
    </row>
    <row r="37" ht="15.75" customHeight="1">
      <c r="A37" s="30"/>
      <c r="B37" s="30"/>
      <c r="C37" s="30"/>
      <c r="D37" s="59"/>
      <c r="E37" s="30"/>
      <c r="G37" s="30"/>
      <c r="H37" s="30"/>
      <c r="I37" s="30"/>
      <c r="J37" s="66"/>
      <c r="K37" s="67"/>
      <c r="L37" s="89">
        <f t="shared" ref="L37:Q37" si="15">L36/L32</f>
        <v>0.3211757959</v>
      </c>
      <c r="M37" s="89">
        <f t="shared" si="15"/>
        <v>0.3341285646</v>
      </c>
      <c r="N37" s="89">
        <f t="shared" si="15"/>
        <v>0.3423231734</v>
      </c>
      <c r="O37" s="89">
        <f t="shared" si="15"/>
        <v>0.3404727779</v>
      </c>
      <c r="P37" s="89">
        <f t="shared" si="15"/>
        <v>0.314038556</v>
      </c>
      <c r="Q37" s="89">
        <f t="shared" si="15"/>
        <v>0.3233786477</v>
      </c>
      <c r="R37" s="30"/>
      <c r="S37" s="30"/>
    </row>
    <row r="38" ht="15.75" customHeight="1">
      <c r="A38" s="30"/>
      <c r="B38" s="30"/>
      <c r="C38" s="30"/>
      <c r="D38" s="59"/>
      <c r="E38" s="30"/>
      <c r="G38" s="30"/>
      <c r="H38" s="30"/>
      <c r="I38" s="30"/>
      <c r="J38" s="91" t="str">
        <f>K21</f>
        <v>Heat Carried away by exhaust gas, Qe</v>
      </c>
      <c r="K38" s="92"/>
      <c r="L38" s="94">
        <f t="array" ref="L38:Q38">TRANSPOSE(K22:K27)</f>
        <v>31.72512842</v>
      </c>
      <c r="M38" s="94">
        <v>53.041197478991606</v>
      </c>
      <c r="N38" s="94">
        <v>54.10892307692309</v>
      </c>
      <c r="O38" s="94">
        <v>51.54993160054719</v>
      </c>
      <c r="P38" s="94">
        <v>84.00953057726876</v>
      </c>
      <c r="Q38" s="94">
        <v>88.35359999999999</v>
      </c>
      <c r="R38" s="30"/>
      <c r="S38" s="30"/>
    </row>
    <row r="39" ht="15.75" customHeight="1">
      <c r="A39" s="30"/>
      <c r="B39" s="30"/>
      <c r="C39" s="30"/>
      <c r="D39" s="59"/>
      <c r="E39" s="30"/>
      <c r="G39" s="30"/>
      <c r="H39" s="30"/>
      <c r="I39" s="30"/>
      <c r="J39" s="66"/>
      <c r="K39" s="67"/>
      <c r="L39" s="89">
        <f t="shared" ref="L39:Q39" si="16">L38/L32</f>
        <v>0.1039985728</v>
      </c>
      <c r="M39" s="89">
        <f t="shared" si="16"/>
        <v>0.1507394273</v>
      </c>
      <c r="N39" s="89">
        <f t="shared" si="16"/>
        <v>0.1350387272</v>
      </c>
      <c r="O39" s="89">
        <f t="shared" si="16"/>
        <v>0.1119622678</v>
      </c>
      <c r="P39" s="89">
        <f t="shared" si="16"/>
        <v>0.1495960775</v>
      </c>
      <c r="Q39" s="89">
        <f t="shared" si="16"/>
        <v>0.1458098209</v>
      </c>
      <c r="R39" s="30"/>
      <c r="S39" s="30"/>
    </row>
    <row r="40" ht="15.75" customHeight="1">
      <c r="A40" s="30"/>
      <c r="B40" s="30"/>
      <c r="C40" s="30"/>
      <c r="D40" s="59"/>
      <c r="E40" s="30"/>
      <c r="G40" s="30"/>
      <c r="H40" s="30"/>
      <c r="I40" s="30"/>
      <c r="J40" s="91" t="str">
        <f>L21</f>
        <v>Unaccounted heat / heat due to radiation,  Qun</v>
      </c>
      <c r="K40" s="92"/>
      <c r="L40" s="94">
        <f t="array" ref="L40:Q40">TRANSPOSE(L22:L27)</f>
        <v>175.3525695</v>
      </c>
      <c r="M40" s="94">
        <v>147.6438689378117</v>
      </c>
      <c r="N40" s="94">
        <v>142.49272196676912</v>
      </c>
      <c r="O40" s="94">
        <v>152.59035656760312</v>
      </c>
      <c r="P40" s="94">
        <v>170.73436728117656</v>
      </c>
      <c r="Q40" s="94">
        <v>159.66096389337548</v>
      </c>
      <c r="R40" s="30"/>
      <c r="S40" s="30"/>
    </row>
    <row r="41">
      <c r="A41" s="30"/>
      <c r="B41" s="29" t="s">
        <v>121</v>
      </c>
      <c r="C41" s="30"/>
      <c r="D41" s="59"/>
      <c r="E41" s="30"/>
      <c r="G41" s="30"/>
      <c r="H41" s="30"/>
      <c r="I41" s="30"/>
      <c r="J41" s="66"/>
      <c r="K41" s="67"/>
      <c r="L41" s="89">
        <f t="shared" ref="L41:Q41" si="17">L40/L32</f>
        <v>0.5748256312</v>
      </c>
      <c r="M41" s="89">
        <f t="shared" si="17"/>
        <v>0.419593699</v>
      </c>
      <c r="N41" s="89">
        <f t="shared" si="17"/>
        <v>0.3556166842</v>
      </c>
      <c r="O41" s="89">
        <f t="shared" si="17"/>
        <v>0.3314138707</v>
      </c>
      <c r="P41" s="89">
        <f t="shared" si="17"/>
        <v>0.3040273106</v>
      </c>
      <c r="Q41" s="89">
        <f t="shared" si="17"/>
        <v>0.2634882624</v>
      </c>
      <c r="R41" s="30"/>
      <c r="S41" s="30"/>
    </row>
    <row r="42">
      <c r="A42" s="30"/>
      <c r="B42" s="30"/>
      <c r="C42" s="30"/>
      <c r="D42" s="59"/>
      <c r="E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</row>
    <row r="43" ht="1.5" customHeight="1">
      <c r="A43" s="30"/>
      <c r="B43" s="30"/>
      <c r="C43" s="30"/>
      <c r="E43" s="30"/>
      <c r="F43" s="5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</row>
    <row r="44" ht="1.5" customHeight="1">
      <c r="A44" s="30"/>
      <c r="B44" s="30"/>
      <c r="C44" s="30"/>
      <c r="D44" s="59"/>
      <c r="E44" s="30"/>
      <c r="F44" s="5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</row>
    <row r="45">
      <c r="A45" s="30"/>
      <c r="B45" s="30"/>
      <c r="C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</row>
    <row r="46">
      <c r="A46" s="30"/>
      <c r="B46" s="30"/>
      <c r="C46" s="30"/>
      <c r="D46" s="59"/>
      <c r="E46" s="59" t="s">
        <v>122</v>
      </c>
      <c r="F46" s="59" t="s">
        <v>123</v>
      </c>
      <c r="G46" s="59" t="s">
        <v>124</v>
      </c>
      <c r="H46" s="59" t="s">
        <v>125</v>
      </c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</row>
    <row r="47">
      <c r="A47" s="30"/>
      <c r="B47" s="30"/>
      <c r="C47" s="30"/>
      <c r="E47" s="95">
        <f t="array" ref="E47:E52">TRANSPOSE(L35:Q35)</f>
        <v>0</v>
      </c>
      <c r="F47" s="96">
        <f t="shared" ref="F47:H47" si="18">I47+E47</f>
        <v>0.3211757959</v>
      </c>
      <c r="G47" s="97">
        <f t="shared" si="18"/>
        <v>0.4251743688</v>
      </c>
      <c r="H47" s="98">
        <f t="shared" si="18"/>
        <v>1</v>
      </c>
      <c r="I47" s="99">
        <f t="array" ref="I47:I52">transpose(L37:Q37)</f>
        <v>0.3211757959</v>
      </c>
      <c r="J47" s="99">
        <f t="array" ref="J47:J52">TRANSPOSE(L39:Q39)</f>
        <v>0.1039985728</v>
      </c>
      <c r="K47" s="99">
        <f t="array" ref="K47:K52">TRANSPOSE(L41:Q41)</f>
        <v>0.5748256312</v>
      </c>
      <c r="L47" s="30"/>
      <c r="M47" s="30"/>
      <c r="N47" s="30"/>
      <c r="O47" s="30"/>
      <c r="P47" s="30"/>
      <c r="Q47" s="30"/>
      <c r="R47" s="30"/>
      <c r="S47" s="30"/>
    </row>
    <row r="48">
      <c r="A48" s="30"/>
      <c r="B48" s="30"/>
      <c r="C48" s="30"/>
      <c r="D48" s="59"/>
      <c r="E48" s="95">
        <v>0.09553830898167275</v>
      </c>
      <c r="F48" s="96">
        <f t="shared" ref="F48:H48" si="19">I48+E48</f>
        <v>0.4296668736</v>
      </c>
      <c r="G48" s="97">
        <f t="shared" si="19"/>
        <v>0.580406301</v>
      </c>
      <c r="H48" s="98">
        <f t="shared" si="19"/>
        <v>1</v>
      </c>
      <c r="I48" s="99">
        <v>0.3341285646449385</v>
      </c>
      <c r="J48" s="99">
        <v>0.15073942732715795</v>
      </c>
      <c r="K48" s="99">
        <v>0.41959369904623084</v>
      </c>
      <c r="L48" s="30"/>
      <c r="M48" s="30"/>
      <c r="N48" s="30"/>
      <c r="O48" s="30"/>
      <c r="P48" s="30"/>
      <c r="Q48" s="30"/>
      <c r="R48" s="30"/>
      <c r="S48" s="30"/>
    </row>
    <row r="49">
      <c r="A49" s="30"/>
      <c r="B49" s="30"/>
      <c r="C49" s="30"/>
      <c r="E49" s="95">
        <v>0.16702141521310349</v>
      </c>
      <c r="F49" s="96">
        <f t="shared" ref="F49:H49" si="20">I49+E49</f>
        <v>0.5093445886</v>
      </c>
      <c r="G49" s="97">
        <f t="shared" si="20"/>
        <v>0.6443833158</v>
      </c>
      <c r="H49" s="98">
        <f t="shared" si="20"/>
        <v>1</v>
      </c>
      <c r="I49" s="99">
        <v>0.34232317342974317</v>
      </c>
      <c r="J49" s="99">
        <v>0.1350387271912202</v>
      </c>
      <c r="K49" s="99">
        <v>0.3556166841659331</v>
      </c>
      <c r="L49" s="30"/>
      <c r="M49" s="30"/>
      <c r="N49" s="30"/>
      <c r="O49" s="30"/>
      <c r="P49" s="30"/>
      <c r="Q49" s="30"/>
      <c r="R49" s="30"/>
      <c r="S49" s="30"/>
    </row>
    <row r="50">
      <c r="A50" s="30"/>
      <c r="B50" s="30"/>
      <c r="C50" s="30"/>
      <c r="D50" s="59"/>
      <c r="E50" s="95">
        <v>0.2161510835976662</v>
      </c>
      <c r="F50" s="96">
        <f t="shared" ref="F50:H50" si="21">I50+E50</f>
        <v>0.5566238615</v>
      </c>
      <c r="G50" s="97">
        <f t="shared" si="21"/>
        <v>0.6685861293</v>
      </c>
      <c r="H50" s="98">
        <f t="shared" si="21"/>
        <v>1</v>
      </c>
      <c r="I50" s="99">
        <v>0.3404727778976905</v>
      </c>
      <c r="J50" s="99">
        <v>0.11196226780282886</v>
      </c>
      <c r="K50" s="99">
        <v>0.3314138707018145</v>
      </c>
      <c r="L50" s="30"/>
      <c r="M50" s="30"/>
      <c r="N50" s="30"/>
      <c r="O50" s="30"/>
      <c r="P50" s="30"/>
      <c r="Q50" s="30"/>
      <c r="R50" s="30"/>
      <c r="S50" s="30"/>
    </row>
    <row r="51">
      <c r="A51" s="30"/>
      <c r="B51" s="30"/>
      <c r="C51" s="30"/>
      <c r="E51" s="95">
        <v>0.23233805583160508</v>
      </c>
      <c r="F51" s="96">
        <f t="shared" ref="F51:H51" si="22">I51+E51</f>
        <v>0.5463766118</v>
      </c>
      <c r="G51" s="97">
        <f t="shared" si="22"/>
        <v>0.6959726894</v>
      </c>
      <c r="H51" s="98">
        <f t="shared" si="22"/>
        <v>1</v>
      </c>
      <c r="I51" s="99">
        <v>0.31403855601122377</v>
      </c>
      <c r="J51" s="99">
        <v>0.1495960775442407</v>
      </c>
      <c r="K51" s="99">
        <v>0.30402731061293037</v>
      </c>
      <c r="L51" s="30"/>
      <c r="M51" s="30"/>
      <c r="N51" s="30"/>
      <c r="O51" s="30"/>
      <c r="P51" s="30"/>
      <c r="Q51" s="30"/>
      <c r="R51" s="30"/>
      <c r="S51" s="30"/>
    </row>
    <row r="52">
      <c r="A52" s="30"/>
      <c r="B52" s="30"/>
      <c r="C52" s="30"/>
      <c r="D52" s="30"/>
      <c r="E52" s="95">
        <v>0.2673232689902655</v>
      </c>
      <c r="F52" s="96">
        <f t="shared" ref="F52:H52" si="23">I52+E52</f>
        <v>0.5907019167</v>
      </c>
      <c r="G52" s="97">
        <f t="shared" si="23"/>
        <v>0.7365117376</v>
      </c>
      <c r="H52" s="98">
        <f t="shared" si="23"/>
        <v>1</v>
      </c>
      <c r="I52" s="99">
        <v>0.323378647744442</v>
      </c>
      <c r="J52" s="99">
        <v>0.14580982085042088</v>
      </c>
      <c r="K52" s="99">
        <v>0.2634882624148716</v>
      </c>
      <c r="L52" s="30"/>
      <c r="M52" s="30"/>
      <c r="N52" s="30"/>
      <c r="O52" s="30"/>
      <c r="P52" s="30"/>
      <c r="Q52" s="30"/>
      <c r="R52" s="30"/>
      <c r="S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</row>
  </sheetData>
  <mergeCells count="27">
    <mergeCell ref="B2:Q2"/>
    <mergeCell ref="B9:B10"/>
    <mergeCell ref="D9:F9"/>
    <mergeCell ref="G9:G10"/>
    <mergeCell ref="H9:I9"/>
    <mergeCell ref="J9:N9"/>
    <mergeCell ref="O9:O10"/>
    <mergeCell ref="C9:C10"/>
    <mergeCell ref="C30:E30"/>
    <mergeCell ref="F30:G30"/>
    <mergeCell ref="J30:K30"/>
    <mergeCell ref="C31:E31"/>
    <mergeCell ref="F31:G31"/>
    <mergeCell ref="J31:K31"/>
    <mergeCell ref="C34:E34"/>
    <mergeCell ref="C35:E35"/>
    <mergeCell ref="J34:K35"/>
    <mergeCell ref="J36:K37"/>
    <mergeCell ref="J38:K39"/>
    <mergeCell ref="J40:K41"/>
    <mergeCell ref="C32:E32"/>
    <mergeCell ref="F32:G32"/>
    <mergeCell ref="J32:K33"/>
    <mergeCell ref="C33:E33"/>
    <mergeCell ref="F33:G33"/>
    <mergeCell ref="F34:G34"/>
    <mergeCell ref="F35:G35"/>
  </mergeCells>
  <hyperlinks>
    <hyperlink display="&lt;-- Back to Index" location="Index!A1" ref="A1"/>
  </hyperlinks>
  <printOptions horizontalCentered="1" verticalCentered="1"/>
  <pageMargins bottom="0.75" footer="0.0" header="0.0" left="0.25" right="0.25" top="0.75"/>
  <pageSetup paperSize="9" cellComments="atEnd" orientation="portrait" pageOrder="overThenDown"/>
  <rowBreaks count="3" manualBreakCount="3">
    <brk man="1"/>
    <brk id="39" man="1"/>
    <brk id="79" man="1"/>
  </rowBreaks>
  <colBreaks count="2" manualBreakCount="2">
    <brk man="1"/>
    <brk id="14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25"/>
    <col customWidth="1" min="3" max="3" width="8.25"/>
    <col customWidth="1" min="4" max="6" width="8.5"/>
    <col customWidth="1" min="7" max="9" width="5.63"/>
    <col customWidth="1" min="10" max="10" width="7.63"/>
    <col customWidth="1" min="11" max="11" width="6.13"/>
    <col customWidth="1" min="12" max="12" width="6.25"/>
    <col customWidth="1" min="13" max="19" width="8.63"/>
  </cols>
  <sheetData>
    <row r="1">
      <c r="A1" s="28" t="s">
        <v>25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>
      <c r="A2" s="30"/>
      <c r="B2" s="104" t="s">
        <v>136</v>
      </c>
      <c r="T2" s="30"/>
      <c r="U2" s="30"/>
      <c r="V2" s="30"/>
      <c r="W2" s="30"/>
      <c r="X2" s="30"/>
    </row>
    <row r="3">
      <c r="A3" s="30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>
      <c r="A4" s="30"/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</row>
    <row r="5">
      <c r="A5" s="30"/>
      <c r="B5" s="29" t="s">
        <v>27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</row>
    <row r="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ht="26.25" customHeight="1">
      <c r="A7" s="30"/>
      <c r="B7" s="32" t="s">
        <v>28</v>
      </c>
      <c r="C7" s="32" t="s">
        <v>137</v>
      </c>
      <c r="D7" s="32" t="s">
        <v>138</v>
      </c>
      <c r="E7" s="32" t="s">
        <v>139</v>
      </c>
      <c r="F7" s="32" t="s">
        <v>140</v>
      </c>
      <c r="G7" s="33" t="s">
        <v>60</v>
      </c>
      <c r="H7" s="34"/>
      <c r="I7" s="35"/>
      <c r="J7" s="37" t="s">
        <v>127</v>
      </c>
      <c r="K7" s="37" t="s">
        <v>128</v>
      </c>
      <c r="L7" s="37" t="s">
        <v>129</v>
      </c>
      <c r="M7" s="65" t="s">
        <v>64</v>
      </c>
      <c r="N7" s="65" t="s">
        <v>65</v>
      </c>
      <c r="O7" s="65" t="s">
        <v>66</v>
      </c>
      <c r="P7" s="65" t="s">
        <v>67</v>
      </c>
      <c r="Q7" s="49" t="s">
        <v>68</v>
      </c>
      <c r="R7" s="34"/>
      <c r="S7" s="35"/>
      <c r="T7" s="30"/>
      <c r="U7" s="30"/>
      <c r="V7" s="30"/>
      <c r="W7" s="30"/>
      <c r="X7" s="30"/>
    </row>
    <row r="8">
      <c r="A8" s="30"/>
      <c r="B8" s="38"/>
      <c r="C8" s="38"/>
      <c r="D8" s="38"/>
      <c r="E8" s="38"/>
      <c r="F8" s="38"/>
      <c r="G8" s="39" t="s">
        <v>69</v>
      </c>
      <c r="H8" s="39" t="s">
        <v>70</v>
      </c>
      <c r="I8" s="39" t="s">
        <v>71</v>
      </c>
      <c r="J8" s="38"/>
      <c r="K8" s="38"/>
      <c r="L8" s="38"/>
      <c r="M8" s="38"/>
      <c r="N8" s="38"/>
      <c r="O8" s="38"/>
      <c r="P8" s="38"/>
      <c r="Q8" s="40" t="s">
        <v>72</v>
      </c>
      <c r="R8" s="40" t="s">
        <v>73</v>
      </c>
      <c r="S8" s="40" t="s">
        <v>74</v>
      </c>
      <c r="T8" s="30"/>
      <c r="U8" s="30"/>
      <c r="V8" s="30"/>
      <c r="W8" s="30"/>
      <c r="X8" s="30"/>
    </row>
    <row r="9">
      <c r="A9" s="30"/>
      <c r="B9" s="40">
        <v>1.0</v>
      </c>
      <c r="C9" s="40">
        <v>0.0</v>
      </c>
      <c r="D9" s="40">
        <v>280.0</v>
      </c>
      <c r="E9" s="40">
        <v>1.0</v>
      </c>
      <c r="F9" s="40">
        <v>2000.0</v>
      </c>
      <c r="G9" s="40">
        <v>4.0</v>
      </c>
      <c r="H9" s="40">
        <v>-4.0</v>
      </c>
      <c r="I9" s="68">
        <f t="shared" ref="I9:I14" si="1">G9-H9</f>
        <v>8</v>
      </c>
      <c r="J9" s="46">
        <f t="shared" ref="J9:J14" si="2">(I9*13600)/(1000*1.193)</f>
        <v>91.19865884</v>
      </c>
      <c r="K9" s="46">
        <f t="shared" ref="K9:K14" si="3">0.62*(0.00049)*((2*9.8*J9)^(1/2))*3600</f>
        <v>46.23943639</v>
      </c>
      <c r="L9" s="46">
        <f t="shared" ref="L9:L14" si="4">((PI()*((0.073)^2))/4)*(0.0889*(F9/2)*60)*4</f>
        <v>89.29941304</v>
      </c>
      <c r="M9" s="40">
        <v>20.0</v>
      </c>
      <c r="N9" s="46">
        <f t="shared" ref="N9:N14" si="5">(0.82*3600*10)/(1000*M9)</f>
        <v>1.476</v>
      </c>
      <c r="O9" s="51">
        <f t="shared" ref="O9:O14" si="6">(((3)^(1/2))*D9*E9*1)/1000</f>
        <v>0.4849742261</v>
      </c>
      <c r="P9" s="46">
        <f t="shared" ref="P9:P14" si="7">N9/O9</f>
        <v>3.043460705</v>
      </c>
      <c r="Q9" s="70">
        <f t="shared" ref="Q9:Q14" si="8">(O9*3600*100)/(N9*45200)</f>
        <v>2.616955677</v>
      </c>
      <c r="R9" s="70">
        <f t="shared" ref="R9:R14" si="9">(K9/L9)*100</f>
        <v>51.78022432</v>
      </c>
      <c r="S9" s="70">
        <f t="shared" ref="S9:S14" si="10">O9*100/(O9+2.4)</f>
        <v>16.81034866</v>
      </c>
      <c r="T9" s="30"/>
      <c r="U9" s="30"/>
      <c r="V9" s="30"/>
      <c r="W9" s="30"/>
      <c r="X9" s="30"/>
    </row>
    <row r="10">
      <c r="A10" s="30"/>
      <c r="B10" s="40">
        <v>2.0</v>
      </c>
      <c r="C10" s="40">
        <v>1.5</v>
      </c>
      <c r="D10" s="40">
        <v>280.0</v>
      </c>
      <c r="E10" s="40">
        <v>1.3</v>
      </c>
      <c r="F10" s="40">
        <v>2000.0</v>
      </c>
      <c r="G10" s="40">
        <v>5.0</v>
      </c>
      <c r="H10" s="40">
        <v>-5.0</v>
      </c>
      <c r="I10" s="68">
        <f t="shared" si="1"/>
        <v>10</v>
      </c>
      <c r="J10" s="46">
        <f t="shared" si="2"/>
        <v>113.9983236</v>
      </c>
      <c r="K10" s="46">
        <f t="shared" si="3"/>
        <v>51.6972615</v>
      </c>
      <c r="L10" s="46">
        <f t="shared" si="4"/>
        <v>89.29941304</v>
      </c>
      <c r="M10" s="40">
        <v>18.0</v>
      </c>
      <c r="N10" s="46">
        <f t="shared" si="5"/>
        <v>1.64</v>
      </c>
      <c r="O10" s="51">
        <f t="shared" si="6"/>
        <v>0.630466494</v>
      </c>
      <c r="P10" s="46">
        <f t="shared" si="7"/>
        <v>2.601248466</v>
      </c>
      <c r="Q10" s="70">
        <f t="shared" si="8"/>
        <v>3.061838142</v>
      </c>
      <c r="R10" s="70">
        <f t="shared" si="9"/>
        <v>57.89205073</v>
      </c>
      <c r="S10" s="70">
        <f t="shared" si="10"/>
        <v>20.80427206</v>
      </c>
      <c r="T10" s="30"/>
      <c r="U10" s="30"/>
      <c r="V10" s="30"/>
      <c r="W10" s="30"/>
      <c r="X10" s="30"/>
    </row>
    <row r="11">
      <c r="A11" s="30"/>
      <c r="B11" s="40">
        <v>3.0</v>
      </c>
      <c r="C11" s="40">
        <v>3.0</v>
      </c>
      <c r="D11" s="40">
        <v>280.0</v>
      </c>
      <c r="E11" s="40">
        <v>3.0</v>
      </c>
      <c r="F11" s="40">
        <v>2000.0</v>
      </c>
      <c r="G11" s="40">
        <v>6.0</v>
      </c>
      <c r="H11" s="40">
        <v>-6.0</v>
      </c>
      <c r="I11" s="68">
        <f t="shared" si="1"/>
        <v>12</v>
      </c>
      <c r="J11" s="46">
        <f t="shared" si="2"/>
        <v>136.7979883</v>
      </c>
      <c r="K11" s="46">
        <f t="shared" si="3"/>
        <v>56.63151257</v>
      </c>
      <c r="L11" s="46">
        <f t="shared" si="4"/>
        <v>89.29941304</v>
      </c>
      <c r="M11" s="40">
        <v>16.0</v>
      </c>
      <c r="N11" s="46">
        <f t="shared" si="5"/>
        <v>1.845</v>
      </c>
      <c r="O11" s="51">
        <f t="shared" si="6"/>
        <v>1.454922678</v>
      </c>
      <c r="P11" s="46">
        <f t="shared" si="7"/>
        <v>1.268108627</v>
      </c>
      <c r="Q11" s="70">
        <f t="shared" si="8"/>
        <v>6.280693626</v>
      </c>
      <c r="R11" s="70">
        <f t="shared" si="9"/>
        <v>63.41756417</v>
      </c>
      <c r="S11" s="70">
        <f t="shared" si="10"/>
        <v>37.74194192</v>
      </c>
      <c r="T11" s="30"/>
      <c r="U11" s="30"/>
      <c r="V11" s="30"/>
      <c r="W11" s="30"/>
      <c r="X11" s="30"/>
    </row>
    <row r="12">
      <c r="A12" s="30"/>
      <c r="B12" s="40">
        <v>4.0</v>
      </c>
      <c r="C12" s="40">
        <v>4.5</v>
      </c>
      <c r="D12" s="40">
        <v>280.0</v>
      </c>
      <c r="E12" s="40">
        <v>4.3</v>
      </c>
      <c r="F12" s="40">
        <v>2000.0</v>
      </c>
      <c r="G12" s="40">
        <v>7.0</v>
      </c>
      <c r="H12" s="40">
        <v>-7.0</v>
      </c>
      <c r="I12" s="68">
        <f t="shared" si="1"/>
        <v>14</v>
      </c>
      <c r="J12" s="46">
        <f t="shared" si="2"/>
        <v>159.597653</v>
      </c>
      <c r="K12" s="46">
        <f t="shared" si="3"/>
        <v>61.16902472</v>
      </c>
      <c r="L12" s="46">
        <f t="shared" si="4"/>
        <v>89.29941304</v>
      </c>
      <c r="M12" s="40">
        <v>14.0</v>
      </c>
      <c r="N12" s="46">
        <f t="shared" si="5"/>
        <v>2.108571429</v>
      </c>
      <c r="O12" s="51">
        <f t="shared" si="6"/>
        <v>2.085389172</v>
      </c>
      <c r="P12" s="46">
        <f t="shared" si="7"/>
        <v>1.011116513</v>
      </c>
      <c r="Q12" s="70">
        <f t="shared" si="8"/>
        <v>7.877036589</v>
      </c>
      <c r="R12" s="70">
        <f t="shared" si="9"/>
        <v>68.49879819</v>
      </c>
      <c r="S12" s="70">
        <f t="shared" si="10"/>
        <v>46.49293723</v>
      </c>
      <c r="T12" s="30"/>
      <c r="U12" s="30"/>
      <c r="V12" s="30"/>
      <c r="W12" s="30"/>
      <c r="X12" s="30"/>
    </row>
    <row r="13">
      <c r="A13" s="30"/>
      <c r="B13" s="40">
        <v>5.0</v>
      </c>
      <c r="C13" s="40">
        <v>6.0</v>
      </c>
      <c r="D13" s="40">
        <v>280.0</v>
      </c>
      <c r="E13" s="40">
        <v>5.6</v>
      </c>
      <c r="F13" s="40">
        <v>2000.0</v>
      </c>
      <c r="G13" s="40">
        <v>8.0</v>
      </c>
      <c r="H13" s="40">
        <v>-8.0</v>
      </c>
      <c r="I13" s="68">
        <f t="shared" si="1"/>
        <v>16</v>
      </c>
      <c r="J13" s="46">
        <f t="shared" si="2"/>
        <v>182.3973177</v>
      </c>
      <c r="K13" s="46">
        <f t="shared" si="3"/>
        <v>65.39243805</v>
      </c>
      <c r="L13" s="46">
        <f t="shared" si="4"/>
        <v>89.29941304</v>
      </c>
      <c r="M13" s="40">
        <v>12.0</v>
      </c>
      <c r="N13" s="46">
        <f t="shared" si="5"/>
        <v>2.46</v>
      </c>
      <c r="O13" s="51">
        <f t="shared" si="6"/>
        <v>2.715855666</v>
      </c>
      <c r="P13" s="46">
        <f t="shared" si="7"/>
        <v>0.9057918764</v>
      </c>
      <c r="Q13" s="70">
        <f t="shared" si="8"/>
        <v>8.792971076</v>
      </c>
      <c r="R13" s="70">
        <f t="shared" si="9"/>
        <v>73.2282955</v>
      </c>
      <c r="S13" s="70">
        <f t="shared" si="10"/>
        <v>53.08702675</v>
      </c>
      <c r="T13" s="30"/>
      <c r="U13" s="30"/>
      <c r="V13" s="30"/>
      <c r="W13" s="30"/>
      <c r="X13" s="30"/>
    </row>
    <row r="14">
      <c r="A14" s="30"/>
      <c r="B14" s="40">
        <v>6.0</v>
      </c>
      <c r="C14" s="40">
        <v>7.5</v>
      </c>
      <c r="D14" s="40">
        <v>280.0</v>
      </c>
      <c r="E14" s="40">
        <v>6.2</v>
      </c>
      <c r="F14" s="40">
        <v>2000.0</v>
      </c>
      <c r="G14" s="40">
        <v>9.0</v>
      </c>
      <c r="H14" s="40">
        <v>-9.0</v>
      </c>
      <c r="I14" s="68">
        <f t="shared" si="1"/>
        <v>18</v>
      </c>
      <c r="J14" s="46">
        <f t="shared" si="2"/>
        <v>205.1969824</v>
      </c>
      <c r="K14" s="46">
        <f t="shared" si="3"/>
        <v>69.35915458</v>
      </c>
      <c r="L14" s="46">
        <f t="shared" si="4"/>
        <v>89.29941304</v>
      </c>
      <c r="M14" s="40">
        <v>10.0</v>
      </c>
      <c r="N14" s="46">
        <f t="shared" si="5"/>
        <v>2.952</v>
      </c>
      <c r="O14" s="51">
        <f t="shared" si="6"/>
        <v>3.006840202</v>
      </c>
      <c r="P14" s="46">
        <f t="shared" si="7"/>
        <v>0.9817615177</v>
      </c>
      <c r="Q14" s="70">
        <f t="shared" si="8"/>
        <v>8.1125626</v>
      </c>
      <c r="R14" s="70">
        <f t="shared" si="9"/>
        <v>77.67033648</v>
      </c>
      <c r="S14" s="70">
        <f t="shared" si="10"/>
        <v>55.61178229</v>
      </c>
      <c r="T14" s="30"/>
      <c r="U14" s="30"/>
      <c r="V14" s="30"/>
      <c r="W14" s="30"/>
      <c r="X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71"/>
      <c r="L15" s="30"/>
      <c r="M15" s="30"/>
      <c r="O15" s="59" t="s">
        <v>53</v>
      </c>
      <c r="P15" s="30"/>
      <c r="Q15" s="72">
        <f t="shared" ref="Q15:S15" si="11">AVERAGE(Q9:Q14)</f>
        <v>6.123676285</v>
      </c>
      <c r="R15" s="72">
        <f t="shared" si="11"/>
        <v>65.4145449</v>
      </c>
      <c r="S15" s="72">
        <f t="shared" si="11"/>
        <v>38.42471815</v>
      </c>
      <c r="T15" s="30"/>
      <c r="U15" s="30"/>
      <c r="V15" s="30"/>
      <c r="W15" s="30"/>
      <c r="X15" s="30"/>
    </row>
    <row r="16">
      <c r="A16" s="30"/>
      <c r="B16" s="30"/>
      <c r="C16" s="30"/>
      <c r="D16" s="59"/>
      <c r="E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>
      <c r="A17" s="30"/>
      <c r="B17" s="30"/>
      <c r="C17" s="30"/>
      <c r="D17" s="59"/>
      <c r="E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</row>
    <row r="18">
      <c r="A18" s="30"/>
      <c r="B18" s="29" t="s">
        <v>54</v>
      </c>
      <c r="C18" s="30"/>
      <c r="D18" s="59"/>
      <c r="E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>
      <c r="A19" s="30"/>
      <c r="B19" s="30"/>
      <c r="C19" s="30"/>
      <c r="D19" s="59"/>
      <c r="E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>
      <c r="A20" s="30"/>
      <c r="B20" s="30"/>
      <c r="C20" s="30"/>
      <c r="E20" s="30"/>
      <c r="F20" s="5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>
      <c r="A21" s="30"/>
      <c r="B21" s="30"/>
      <c r="C21" s="30"/>
      <c r="D21" s="59"/>
      <c r="E21" s="30"/>
      <c r="F21" s="5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>
      <c r="A22" s="30"/>
      <c r="B22" s="30"/>
      <c r="C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>
      <c r="A23" s="30"/>
      <c r="B23" s="30"/>
      <c r="C23" s="30"/>
      <c r="D23" s="59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  <row r="24">
      <c r="A24" s="30"/>
      <c r="B24" s="30"/>
      <c r="C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>
      <c r="A25" s="30"/>
      <c r="B25" s="30"/>
      <c r="C25" s="30"/>
      <c r="D25" s="5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>
      <c r="A26" s="30"/>
      <c r="B26" s="30"/>
      <c r="C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</row>
    <row r="27">
      <c r="A27" s="30"/>
      <c r="B27" s="30"/>
      <c r="C27" s="30"/>
      <c r="D27" s="59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</row>
    <row r="28">
      <c r="A28" s="30"/>
      <c r="B28" s="30"/>
      <c r="C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</row>
  </sheetData>
  <mergeCells count="15">
    <mergeCell ref="J7:J8"/>
    <mergeCell ref="K7:K8"/>
    <mergeCell ref="L7:L8"/>
    <mergeCell ref="M7:M8"/>
    <mergeCell ref="N7:N8"/>
    <mergeCell ref="O7:O8"/>
    <mergeCell ref="P7:P8"/>
    <mergeCell ref="Q7:S7"/>
    <mergeCell ref="B2:S2"/>
    <mergeCell ref="B7:B8"/>
    <mergeCell ref="C7:C8"/>
    <mergeCell ref="D7:D8"/>
    <mergeCell ref="E7:E8"/>
    <mergeCell ref="F7:F8"/>
    <mergeCell ref="G7:I7"/>
  </mergeCells>
  <hyperlinks>
    <hyperlink display="&lt;-- Back to Index" location="Index!A1" ref="A1"/>
  </hyperlinks>
  <printOptions horizontalCentered="1" vertic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25"/>
    <col customWidth="1" min="3" max="3" width="8.25"/>
    <col customWidth="1" min="4" max="6" width="8.5"/>
    <col customWidth="1" min="7" max="9" width="8.25"/>
    <col customWidth="1" min="10" max="10" width="8.5"/>
    <col customWidth="1" min="11" max="13" width="9.25"/>
    <col customWidth="1" min="14" max="14" width="9.63"/>
    <col customWidth="1" min="15" max="17" width="10.13"/>
  </cols>
  <sheetData>
    <row r="1">
      <c r="A1" s="28" t="s">
        <v>25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>
      <c r="A2" s="30"/>
      <c r="B2" s="31" t="s">
        <v>141</v>
      </c>
      <c r="R2" s="30"/>
      <c r="S2" s="30"/>
    </row>
    <row r="3">
      <c r="A3" s="30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ht="1.5" customHeight="1">
      <c r="A4" s="30"/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ht="1.5" customHeight="1">
      <c r="A5" s="30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</row>
    <row r="6">
      <c r="A6" s="30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>
      <c r="A7" s="30"/>
      <c r="B7" s="29" t="s">
        <v>27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ht="26.25" customHeight="1">
      <c r="A9" s="30"/>
      <c r="B9" s="32" t="s">
        <v>28</v>
      </c>
      <c r="C9" s="32" t="s">
        <v>33</v>
      </c>
      <c r="D9" s="32" t="s">
        <v>142</v>
      </c>
      <c r="E9" s="36" t="s">
        <v>143</v>
      </c>
      <c r="F9" s="36" t="s">
        <v>144</v>
      </c>
      <c r="G9" s="73" t="s">
        <v>80</v>
      </c>
      <c r="H9" s="102" t="s">
        <v>145</v>
      </c>
      <c r="I9" s="35"/>
      <c r="J9" s="33" t="s">
        <v>82</v>
      </c>
      <c r="K9" s="34"/>
      <c r="L9" s="34"/>
      <c r="M9" s="34"/>
      <c r="N9" s="35"/>
      <c r="O9" s="65" t="s">
        <v>83</v>
      </c>
      <c r="P9" s="65" t="s">
        <v>66</v>
      </c>
      <c r="Q9" s="30"/>
      <c r="R9" s="30"/>
      <c r="S9" s="30"/>
    </row>
    <row r="10">
      <c r="A10" s="30"/>
      <c r="B10" s="38"/>
      <c r="C10" s="38"/>
      <c r="D10" s="38"/>
      <c r="E10" s="38"/>
      <c r="F10" s="38"/>
      <c r="G10" s="38"/>
      <c r="H10" s="103" t="s">
        <v>146</v>
      </c>
      <c r="I10" s="103" t="s">
        <v>147</v>
      </c>
      <c r="J10" s="39" t="s">
        <v>87</v>
      </c>
      <c r="K10" s="39" t="s">
        <v>88</v>
      </c>
      <c r="L10" s="39" t="s">
        <v>89</v>
      </c>
      <c r="M10" s="39" t="s">
        <v>90</v>
      </c>
      <c r="N10" s="39" t="s">
        <v>91</v>
      </c>
      <c r="O10" s="38"/>
      <c r="P10" s="38"/>
      <c r="Q10" s="30"/>
      <c r="R10" s="30"/>
      <c r="S10" s="30"/>
    </row>
    <row r="11">
      <c r="A11" s="30"/>
      <c r="B11" s="40">
        <v>1.0</v>
      </c>
      <c r="C11" s="40">
        <v>2000.0</v>
      </c>
      <c r="D11" s="40">
        <v>253.6</v>
      </c>
      <c r="E11" s="40">
        <v>0.1</v>
      </c>
      <c r="F11" s="40">
        <v>0.0</v>
      </c>
      <c r="G11" s="74">
        <v>50.0</v>
      </c>
      <c r="H11" s="74">
        <v>25.37</v>
      </c>
      <c r="I11" s="51">
        <f t="shared" ref="I11:I16" si="1">1000/H11</f>
        <v>39.41663382</v>
      </c>
      <c r="J11" s="40">
        <v>28.0</v>
      </c>
      <c r="K11" s="40">
        <v>34.0</v>
      </c>
      <c r="L11" s="40">
        <v>31.0</v>
      </c>
      <c r="M11" s="40">
        <v>114.0</v>
      </c>
      <c r="N11" s="40">
        <v>101.0</v>
      </c>
      <c r="O11" s="40">
        <v>20.94</v>
      </c>
      <c r="P11" s="51">
        <f t="shared" ref="P11:P16" si="2">D11*E11*((3)^(1/2))*COS(0)/1000</f>
        <v>0.04392480848</v>
      </c>
      <c r="Q11" s="30"/>
      <c r="R11" s="30"/>
      <c r="S11" s="30"/>
    </row>
    <row r="12">
      <c r="A12" s="30"/>
      <c r="B12" s="40">
        <v>2.0</v>
      </c>
      <c r="C12" s="40">
        <v>2000.0</v>
      </c>
      <c r="D12" s="40">
        <v>262.3</v>
      </c>
      <c r="E12" s="40">
        <v>1.1</v>
      </c>
      <c r="F12" s="40">
        <v>1.5</v>
      </c>
      <c r="G12" s="74">
        <v>50.0</v>
      </c>
      <c r="H12" s="74">
        <v>25.47</v>
      </c>
      <c r="I12" s="51">
        <f t="shared" si="1"/>
        <v>39.26187672</v>
      </c>
      <c r="J12" s="40">
        <v>29.0</v>
      </c>
      <c r="K12" s="40">
        <v>35.0</v>
      </c>
      <c r="L12" s="40">
        <v>34.0</v>
      </c>
      <c r="M12" s="40">
        <v>122.0</v>
      </c>
      <c r="N12" s="40">
        <v>109.0</v>
      </c>
      <c r="O12" s="40">
        <v>20.42</v>
      </c>
      <c r="P12" s="51">
        <f t="shared" si="2"/>
        <v>0.4997486195</v>
      </c>
      <c r="Q12" s="30"/>
      <c r="R12" s="30"/>
      <c r="S12" s="30"/>
    </row>
    <row r="13">
      <c r="A13" s="30"/>
      <c r="B13" s="40">
        <v>3.0</v>
      </c>
      <c r="C13" s="40">
        <v>2000.0</v>
      </c>
      <c r="D13" s="40">
        <v>242.6</v>
      </c>
      <c r="E13" s="40">
        <v>2.6</v>
      </c>
      <c r="F13" s="40">
        <v>3.0</v>
      </c>
      <c r="G13" s="74">
        <v>50.0</v>
      </c>
      <c r="H13" s="74">
        <v>25.56</v>
      </c>
      <c r="I13" s="51">
        <f t="shared" si="1"/>
        <v>39.12363067</v>
      </c>
      <c r="J13" s="40">
        <v>29.0</v>
      </c>
      <c r="K13" s="40">
        <v>36.0</v>
      </c>
      <c r="L13" s="40">
        <v>36.0</v>
      </c>
      <c r="M13" s="40">
        <v>130.0</v>
      </c>
      <c r="N13" s="40">
        <v>116.0</v>
      </c>
      <c r="O13" s="40">
        <v>18.56</v>
      </c>
      <c r="P13" s="51">
        <f t="shared" si="2"/>
        <v>1.092508367</v>
      </c>
      <c r="Q13" s="30"/>
      <c r="R13" s="30"/>
      <c r="S13" s="30"/>
    </row>
    <row r="14">
      <c r="A14" s="30"/>
      <c r="B14" s="40">
        <v>4.0</v>
      </c>
      <c r="C14" s="40">
        <v>2000.0</v>
      </c>
      <c r="D14" s="40">
        <v>243.0</v>
      </c>
      <c r="E14" s="40">
        <v>3.6</v>
      </c>
      <c r="F14" s="40">
        <v>4.5</v>
      </c>
      <c r="G14" s="74">
        <v>50.0</v>
      </c>
      <c r="H14" s="74">
        <v>25.09</v>
      </c>
      <c r="I14" s="51">
        <f t="shared" si="1"/>
        <v>39.85651654</v>
      </c>
      <c r="J14" s="40">
        <v>29.0</v>
      </c>
      <c r="K14" s="40">
        <v>36.0</v>
      </c>
      <c r="L14" s="40">
        <v>38.0</v>
      </c>
      <c r="M14" s="40">
        <v>134.0</v>
      </c>
      <c r="N14" s="40">
        <v>119.0</v>
      </c>
      <c r="O14" s="40">
        <v>19.08</v>
      </c>
      <c r="P14" s="51">
        <f t="shared" si="2"/>
        <v>1.515198046</v>
      </c>
      <c r="Q14" s="30"/>
      <c r="R14" s="30"/>
      <c r="S14" s="30"/>
    </row>
    <row r="15">
      <c r="A15" s="30"/>
      <c r="B15" s="40">
        <v>5.0</v>
      </c>
      <c r="C15" s="40">
        <v>2000.0</v>
      </c>
      <c r="D15" s="40">
        <v>225.3</v>
      </c>
      <c r="E15" s="40">
        <v>4.8</v>
      </c>
      <c r="F15" s="40">
        <v>6.0</v>
      </c>
      <c r="G15" s="74">
        <v>50.0</v>
      </c>
      <c r="H15" s="74">
        <v>25.09</v>
      </c>
      <c r="I15" s="51">
        <f t="shared" si="1"/>
        <v>39.85651654</v>
      </c>
      <c r="J15" s="40">
        <v>30.0</v>
      </c>
      <c r="K15" s="40">
        <v>37.0</v>
      </c>
      <c r="L15" s="40">
        <v>40.0</v>
      </c>
      <c r="M15" s="40">
        <v>136.0</v>
      </c>
      <c r="N15" s="40">
        <v>122.0</v>
      </c>
      <c r="O15" s="40">
        <v>18.44</v>
      </c>
      <c r="P15" s="51">
        <f t="shared" si="2"/>
        <v>1.873109025</v>
      </c>
      <c r="Q15" s="30"/>
      <c r="R15" s="30"/>
      <c r="S15" s="30"/>
    </row>
    <row r="16">
      <c r="A16" s="30"/>
      <c r="B16" s="40">
        <v>6.0</v>
      </c>
      <c r="C16" s="40">
        <v>2000.0</v>
      </c>
      <c r="D16" s="40">
        <v>211.3</v>
      </c>
      <c r="E16" s="40">
        <v>5.5</v>
      </c>
      <c r="F16" s="40">
        <v>7.5</v>
      </c>
      <c r="G16" s="74">
        <v>50.0</v>
      </c>
      <c r="H16" s="74">
        <v>25.09</v>
      </c>
      <c r="I16" s="51">
        <f t="shared" si="1"/>
        <v>39.85651654</v>
      </c>
      <c r="J16" s="40">
        <v>31.0</v>
      </c>
      <c r="K16" s="40">
        <v>37.0</v>
      </c>
      <c r="L16" s="40">
        <v>42.0</v>
      </c>
      <c r="M16" s="40">
        <v>139.0</v>
      </c>
      <c r="N16" s="40">
        <v>124.0</v>
      </c>
      <c r="O16" s="40">
        <v>17.8</v>
      </c>
      <c r="P16" s="51">
        <f t="shared" si="2"/>
        <v>2.012902846</v>
      </c>
      <c r="Q16" s="30"/>
      <c r="R16" s="30"/>
      <c r="S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59"/>
      <c r="P17" s="30"/>
      <c r="Q17" s="30"/>
      <c r="R17" s="30"/>
      <c r="S17" s="30"/>
    </row>
    <row r="18" ht="1.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ht="1.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>
      <c r="A21" s="76"/>
      <c r="B21" s="77" t="s">
        <v>28</v>
      </c>
      <c r="C21" s="78" t="s">
        <v>66</v>
      </c>
      <c r="D21" s="78" t="s">
        <v>65</v>
      </c>
      <c r="E21" s="78" t="s">
        <v>67</v>
      </c>
      <c r="F21" s="78" t="s">
        <v>92</v>
      </c>
      <c r="G21" s="78" t="s">
        <v>93</v>
      </c>
      <c r="H21" s="78" t="s">
        <v>94</v>
      </c>
      <c r="I21" s="78" t="s">
        <v>95</v>
      </c>
      <c r="J21" s="78" t="s">
        <v>96</v>
      </c>
      <c r="K21" s="78" t="s">
        <v>97</v>
      </c>
      <c r="L21" s="78" t="s">
        <v>98</v>
      </c>
      <c r="M21" s="76"/>
      <c r="N21" s="76"/>
      <c r="O21" s="76"/>
      <c r="P21" s="76"/>
      <c r="Q21" s="76"/>
      <c r="R21" s="76"/>
      <c r="S21" s="76"/>
    </row>
    <row r="22">
      <c r="A22" s="76"/>
      <c r="B22" s="78">
        <v>1.0</v>
      </c>
      <c r="C22" s="51">
        <f t="shared" ref="C22:C27" si="3">P11</f>
        <v>0.04392480848</v>
      </c>
      <c r="D22" s="46">
        <f t="shared" ref="D22:D27" si="4">(0.82*3600*10)/(1000*O11)</f>
        <v>1.40974212</v>
      </c>
      <c r="E22" s="46">
        <f t="shared" ref="E22:E27" si="5">D22/C22</f>
        <v>32.09443977</v>
      </c>
      <c r="F22" s="79">
        <f t="shared" ref="F22:F27" si="6">(D22*45200)/60</f>
        <v>1062.005731</v>
      </c>
      <c r="G22" s="70">
        <f t="shared" ref="G22:G27" si="7">C22*60</f>
        <v>2.635488509</v>
      </c>
      <c r="H22" s="46">
        <f t="shared" ref="H22:H27" si="8">1000*I11*(10^(-6))*60</f>
        <v>2.364998029</v>
      </c>
      <c r="I22" s="46">
        <f t="shared" ref="I22:I27" si="9">H22*4.187*(K11-J11)</f>
        <v>59.41348049</v>
      </c>
      <c r="J22" s="46">
        <f t="shared" ref="J22:J27" si="10">1000*G11*(10^(-6))*60</f>
        <v>3</v>
      </c>
      <c r="K22" s="46">
        <f t="shared" ref="K22:K27" si="11">J22*4.187*(L11-J11)*(M11-$O$23)/(M11-N11)</f>
        <v>231.8953846</v>
      </c>
      <c r="L22" s="46">
        <f t="shared" ref="L22:L27" si="12">F22-(G22+I22+K22)</f>
        <v>768.061377</v>
      </c>
      <c r="M22" s="76"/>
      <c r="N22" s="80" t="s">
        <v>99</v>
      </c>
      <c r="O22" s="76"/>
      <c r="P22" s="76"/>
      <c r="Q22" s="76"/>
      <c r="R22" s="76"/>
      <c r="S22" s="76"/>
    </row>
    <row r="23">
      <c r="A23" s="76"/>
      <c r="B23" s="78">
        <v>2.0</v>
      </c>
      <c r="C23" s="51">
        <f t="shared" si="3"/>
        <v>0.4997486195</v>
      </c>
      <c r="D23" s="46">
        <f t="shared" si="4"/>
        <v>1.445641528</v>
      </c>
      <c r="E23" s="46">
        <f t="shared" si="5"/>
        <v>2.892737411</v>
      </c>
      <c r="F23" s="79">
        <f t="shared" si="6"/>
        <v>1089.049951</v>
      </c>
      <c r="G23" s="70">
        <f t="shared" si="7"/>
        <v>29.98491717</v>
      </c>
      <c r="H23" s="46">
        <f t="shared" si="8"/>
        <v>2.355712603</v>
      </c>
      <c r="I23" s="46">
        <f t="shared" si="9"/>
        <v>59.18021201</v>
      </c>
      <c r="J23" s="46">
        <f t="shared" si="10"/>
        <v>3</v>
      </c>
      <c r="K23" s="46">
        <f t="shared" si="11"/>
        <v>425.1415385</v>
      </c>
      <c r="L23" s="46">
        <f t="shared" si="12"/>
        <v>574.7432834</v>
      </c>
      <c r="M23" s="76"/>
      <c r="N23" s="81" t="s">
        <v>100</v>
      </c>
      <c r="O23" s="81">
        <v>34.0</v>
      </c>
      <c r="P23" s="76"/>
      <c r="Q23" s="76"/>
      <c r="R23" s="76"/>
      <c r="S23" s="76"/>
    </row>
    <row r="24">
      <c r="A24" s="76"/>
      <c r="B24" s="78">
        <v>3.0</v>
      </c>
      <c r="C24" s="51">
        <f t="shared" si="3"/>
        <v>1.092508367</v>
      </c>
      <c r="D24" s="46">
        <f t="shared" si="4"/>
        <v>1.590517241</v>
      </c>
      <c r="E24" s="46">
        <f t="shared" si="5"/>
        <v>1.455839872</v>
      </c>
      <c r="F24" s="79">
        <f t="shared" si="6"/>
        <v>1198.189655</v>
      </c>
      <c r="G24" s="70">
        <f t="shared" si="7"/>
        <v>65.55050204</v>
      </c>
      <c r="H24" s="46">
        <f t="shared" si="8"/>
        <v>2.34741784</v>
      </c>
      <c r="I24" s="46">
        <f t="shared" si="9"/>
        <v>68.80046948</v>
      </c>
      <c r="J24" s="46">
        <f t="shared" si="10"/>
        <v>3</v>
      </c>
      <c r="K24" s="46">
        <f t="shared" si="11"/>
        <v>602.928</v>
      </c>
      <c r="L24" s="46">
        <f t="shared" si="12"/>
        <v>460.9106836</v>
      </c>
      <c r="M24" s="76"/>
      <c r="N24" s="76"/>
      <c r="O24" s="76"/>
      <c r="P24" s="76"/>
      <c r="Q24" s="76"/>
      <c r="R24" s="76"/>
      <c r="S24" s="76"/>
    </row>
    <row r="25">
      <c r="A25" s="76"/>
      <c r="B25" s="78">
        <v>4.0</v>
      </c>
      <c r="C25" s="51">
        <f t="shared" si="3"/>
        <v>1.515198046</v>
      </c>
      <c r="D25" s="46">
        <f t="shared" si="4"/>
        <v>1.547169811</v>
      </c>
      <c r="E25" s="46">
        <f t="shared" si="5"/>
        <v>1.021100717</v>
      </c>
      <c r="F25" s="79">
        <f t="shared" si="6"/>
        <v>1165.534591</v>
      </c>
      <c r="G25" s="70">
        <f t="shared" si="7"/>
        <v>90.91188279</v>
      </c>
      <c r="H25" s="46">
        <f t="shared" si="8"/>
        <v>2.391390992</v>
      </c>
      <c r="I25" s="46">
        <f t="shared" si="9"/>
        <v>70.0892786</v>
      </c>
      <c r="J25" s="46">
        <f t="shared" si="10"/>
        <v>3</v>
      </c>
      <c r="K25" s="46">
        <f t="shared" si="11"/>
        <v>753.66</v>
      </c>
      <c r="L25" s="46">
        <f t="shared" si="12"/>
        <v>250.8734298</v>
      </c>
      <c r="M25" s="76"/>
      <c r="N25" s="76"/>
      <c r="O25" s="76"/>
      <c r="P25" s="76"/>
      <c r="Q25" s="76"/>
      <c r="R25" s="76"/>
      <c r="S25" s="76"/>
    </row>
    <row r="26">
      <c r="A26" s="76"/>
      <c r="B26" s="78">
        <v>5.0</v>
      </c>
      <c r="C26" s="51">
        <f t="shared" si="3"/>
        <v>1.873109025</v>
      </c>
      <c r="D26" s="46">
        <f t="shared" si="4"/>
        <v>1.600867679</v>
      </c>
      <c r="E26" s="46">
        <f t="shared" si="5"/>
        <v>0.854658035</v>
      </c>
      <c r="F26" s="79">
        <f t="shared" si="6"/>
        <v>1205.986985</v>
      </c>
      <c r="G26" s="70">
        <f t="shared" si="7"/>
        <v>112.3865415</v>
      </c>
      <c r="H26" s="46">
        <f t="shared" si="8"/>
        <v>2.391390992</v>
      </c>
      <c r="I26" s="46">
        <f t="shared" si="9"/>
        <v>70.0892786</v>
      </c>
      <c r="J26" s="46">
        <f t="shared" si="10"/>
        <v>3</v>
      </c>
      <c r="K26" s="46">
        <f t="shared" si="11"/>
        <v>915.1585714</v>
      </c>
      <c r="L26" s="46">
        <f t="shared" si="12"/>
        <v>108.3525933</v>
      </c>
      <c r="M26" s="76"/>
      <c r="N26" s="76"/>
      <c r="O26" s="76"/>
      <c r="P26" s="76"/>
      <c r="Q26" s="76"/>
      <c r="R26" s="76"/>
      <c r="S26" s="76"/>
    </row>
    <row r="27">
      <c r="A27" s="76"/>
      <c r="B27" s="78">
        <v>6.0</v>
      </c>
      <c r="C27" s="51">
        <f t="shared" si="3"/>
        <v>2.012902846</v>
      </c>
      <c r="D27" s="46">
        <f t="shared" si="4"/>
        <v>1.658426966</v>
      </c>
      <c r="E27" s="46">
        <f t="shared" si="5"/>
        <v>0.8238981676</v>
      </c>
      <c r="F27" s="79">
        <f t="shared" si="6"/>
        <v>1249.348315</v>
      </c>
      <c r="G27" s="70">
        <f t="shared" si="7"/>
        <v>120.7741708</v>
      </c>
      <c r="H27" s="46">
        <f t="shared" si="8"/>
        <v>2.391390992</v>
      </c>
      <c r="I27" s="46">
        <f t="shared" si="9"/>
        <v>60.07652451</v>
      </c>
      <c r="J27" s="46">
        <f t="shared" si="10"/>
        <v>3</v>
      </c>
      <c r="K27" s="46">
        <f t="shared" si="11"/>
        <v>967.197</v>
      </c>
      <c r="L27" s="82">
        <f t="shared" si="12"/>
        <v>101.3006193</v>
      </c>
      <c r="M27" s="76"/>
      <c r="N27" s="76"/>
      <c r="O27" s="76"/>
      <c r="P27" s="76"/>
      <c r="Q27" s="76"/>
      <c r="R27" s="76"/>
      <c r="S27" s="76"/>
    </row>
    <row r="28" ht="15.75" customHeight="1">
      <c r="A28" s="30"/>
      <c r="B28" s="30"/>
      <c r="C28" s="30"/>
      <c r="E28" s="30"/>
      <c r="F28" s="59"/>
      <c r="G28" s="30"/>
      <c r="H28" s="30"/>
      <c r="I28" s="30"/>
      <c r="J28" s="60"/>
      <c r="K28" s="30"/>
      <c r="L28" s="83"/>
      <c r="M28" s="30"/>
      <c r="N28" s="30"/>
      <c r="O28" s="30"/>
      <c r="P28" s="30"/>
      <c r="Q28" s="30"/>
      <c r="R28" s="30"/>
      <c r="S28" s="30"/>
    </row>
    <row r="29" ht="15.75" customHeight="1">
      <c r="A29" s="30"/>
      <c r="B29" s="30"/>
      <c r="C29" s="30"/>
      <c r="D29" s="59"/>
      <c r="E29" s="30"/>
      <c r="F29" s="84" t="s">
        <v>101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</row>
    <row r="30" ht="30.0" customHeight="1">
      <c r="A30" s="30"/>
      <c r="B30" s="48" t="s">
        <v>28</v>
      </c>
      <c r="C30" s="49" t="s">
        <v>102</v>
      </c>
      <c r="D30" s="34"/>
      <c r="E30" s="35"/>
      <c r="F30" s="49" t="s">
        <v>103</v>
      </c>
      <c r="G30" s="35"/>
      <c r="H30" s="85" t="s">
        <v>104</v>
      </c>
      <c r="I30" s="30"/>
      <c r="J30" s="86"/>
      <c r="K30" s="35"/>
      <c r="L30" s="40" t="s">
        <v>105</v>
      </c>
      <c r="M30" s="40" t="s">
        <v>106</v>
      </c>
      <c r="N30" s="40" t="s">
        <v>107</v>
      </c>
      <c r="O30" s="40" t="s">
        <v>108</v>
      </c>
      <c r="P30" s="40" t="s">
        <v>109</v>
      </c>
      <c r="Q30" s="40" t="s">
        <v>110</v>
      </c>
      <c r="R30" s="30"/>
      <c r="S30" s="30"/>
    </row>
    <row r="31" ht="15.75" customHeight="1">
      <c r="A31" s="30"/>
      <c r="B31" s="40">
        <v>1.0</v>
      </c>
      <c r="C31" s="87" t="s">
        <v>111</v>
      </c>
      <c r="D31" s="34"/>
      <c r="E31" s="35"/>
      <c r="F31" s="88">
        <f>F24</f>
        <v>1198.189655</v>
      </c>
      <c r="G31" s="35"/>
      <c r="H31" s="85">
        <v>1.0</v>
      </c>
      <c r="I31" s="30"/>
      <c r="J31" s="49" t="s">
        <v>112</v>
      </c>
      <c r="K31" s="35"/>
      <c r="L31" s="40">
        <v>0.0</v>
      </c>
      <c r="M31" s="40">
        <v>2.0</v>
      </c>
      <c r="N31" s="40">
        <v>4.0</v>
      </c>
      <c r="O31" s="40">
        <v>6.0</v>
      </c>
      <c r="P31" s="40">
        <v>8.0</v>
      </c>
      <c r="Q31" s="40">
        <v>10.0</v>
      </c>
      <c r="R31" s="30"/>
      <c r="S31" s="30"/>
    </row>
    <row r="32" ht="15.75" customHeight="1">
      <c r="A32" s="30"/>
      <c r="B32" s="40">
        <v>2.0</v>
      </c>
      <c r="C32" s="87" t="s">
        <v>113</v>
      </c>
      <c r="D32" s="34"/>
      <c r="E32" s="35"/>
      <c r="F32" s="88">
        <f>G24</f>
        <v>65.55050204</v>
      </c>
      <c r="G32" s="35"/>
      <c r="H32" s="89">
        <f>F32/F31</f>
        <v>0.05470795192</v>
      </c>
      <c r="I32" s="90" t="s">
        <v>114</v>
      </c>
      <c r="J32" s="91" t="str">
        <f>F21</f>
        <v>Heat Input, Qin        KJ/min</v>
      </c>
      <c r="K32" s="92"/>
      <c r="L32" s="93">
        <f t="array" ref="L32:Q32">TRANSPOSE(F22:F27)</f>
        <v>1062.005731</v>
      </c>
      <c r="M32" s="93">
        <v>1089.0499510284035</v>
      </c>
      <c r="N32" s="93">
        <v>1198.1896551724137</v>
      </c>
      <c r="O32" s="93">
        <v>1165.5345911949687</v>
      </c>
      <c r="P32" s="93">
        <v>1205.9869848156184</v>
      </c>
      <c r="Q32" s="93">
        <v>1249.3483146067415</v>
      </c>
      <c r="R32" s="30"/>
      <c r="S32" s="30"/>
    </row>
    <row r="33" ht="15.75" customHeight="1">
      <c r="A33" s="30"/>
      <c r="B33" s="40">
        <v>3.0</v>
      </c>
      <c r="C33" s="87" t="s">
        <v>115</v>
      </c>
      <c r="D33" s="34"/>
      <c r="E33" s="35"/>
      <c r="F33" s="88">
        <f>I24</f>
        <v>68.80046948</v>
      </c>
      <c r="G33" s="35"/>
      <c r="H33" s="89">
        <f>F33/F31</f>
        <v>0.0574203501</v>
      </c>
      <c r="I33" s="90" t="s">
        <v>116</v>
      </c>
      <c r="J33" s="66"/>
      <c r="K33" s="67"/>
      <c r="L33" s="89">
        <f t="shared" ref="L33:Q33" si="13">L32/L32</f>
        <v>1</v>
      </c>
      <c r="M33" s="89">
        <f t="shared" si="13"/>
        <v>1</v>
      </c>
      <c r="N33" s="89">
        <f t="shared" si="13"/>
        <v>1</v>
      </c>
      <c r="O33" s="89">
        <f t="shared" si="13"/>
        <v>1</v>
      </c>
      <c r="P33" s="89">
        <f t="shared" si="13"/>
        <v>1</v>
      </c>
      <c r="Q33" s="89">
        <f t="shared" si="13"/>
        <v>1</v>
      </c>
      <c r="R33" s="30"/>
      <c r="S33" s="30"/>
    </row>
    <row r="34" ht="15.75" customHeight="1">
      <c r="A34" s="30"/>
      <c r="B34" s="40">
        <v>4.0</v>
      </c>
      <c r="C34" s="87" t="s">
        <v>117</v>
      </c>
      <c r="D34" s="34"/>
      <c r="E34" s="35"/>
      <c r="F34" s="88">
        <f>K24</f>
        <v>602.928</v>
      </c>
      <c r="G34" s="35"/>
      <c r="H34" s="89">
        <f>F34/F31</f>
        <v>0.5031991366</v>
      </c>
      <c r="I34" s="90" t="s">
        <v>118</v>
      </c>
      <c r="J34" s="91" t="str">
        <f>G21</f>
        <v>Heat Equivalent to Brake Power, Qbp</v>
      </c>
      <c r="K34" s="92"/>
      <c r="L34" s="93">
        <f t="array" ref="L34:Q34">TRANSPOSE(G22:G27)</f>
        <v>2.635488509</v>
      </c>
      <c r="M34" s="93">
        <v>29.98491717047089</v>
      </c>
      <c r="N34" s="93">
        <v>65.5505020429287</v>
      </c>
      <c r="O34" s="93">
        <v>90.91188278767522</v>
      </c>
      <c r="P34" s="93">
        <v>112.3865415202372</v>
      </c>
      <c r="Q34" s="93">
        <v>120.77417076097025</v>
      </c>
      <c r="R34" s="30"/>
      <c r="S34" s="30"/>
    </row>
    <row r="35" ht="15.75" customHeight="1">
      <c r="A35" s="30"/>
      <c r="B35" s="40">
        <v>5.0</v>
      </c>
      <c r="C35" s="87" t="s">
        <v>119</v>
      </c>
      <c r="D35" s="34"/>
      <c r="E35" s="35"/>
      <c r="F35" s="88">
        <f>L24</f>
        <v>460.9106836</v>
      </c>
      <c r="G35" s="35"/>
      <c r="H35" s="89">
        <f>F35/F31</f>
        <v>0.3846725614</v>
      </c>
      <c r="I35" s="90" t="s">
        <v>120</v>
      </c>
      <c r="J35" s="66"/>
      <c r="K35" s="67"/>
      <c r="L35" s="89">
        <f t="shared" ref="L35:Q35" si="14">L34/L32</f>
        <v>0.002481614207</v>
      </c>
      <c r="M35" s="89">
        <f t="shared" si="14"/>
        <v>0.02753309629</v>
      </c>
      <c r="N35" s="89">
        <f t="shared" si="14"/>
        <v>0.05470795192</v>
      </c>
      <c r="O35" s="89">
        <f t="shared" si="14"/>
        <v>0.07800015845</v>
      </c>
      <c r="P35" s="89">
        <f t="shared" si="14"/>
        <v>0.09319050946</v>
      </c>
      <c r="Q35" s="89">
        <f t="shared" si="14"/>
        <v>0.09666973521</v>
      </c>
      <c r="R35" s="30"/>
      <c r="S35" s="30"/>
    </row>
    <row r="36" ht="15.75" customHeight="1">
      <c r="A36" s="30"/>
      <c r="B36" s="30"/>
      <c r="C36" s="30"/>
      <c r="D36" s="59"/>
      <c r="E36" s="30"/>
      <c r="G36" s="30"/>
      <c r="H36" s="30"/>
      <c r="I36" s="30"/>
      <c r="J36" s="91" t="str">
        <f>I21</f>
        <v>Heat Carried away by cooling water, Qw</v>
      </c>
      <c r="K36" s="92"/>
      <c r="L36" s="94">
        <f t="array" ref="L36:Q36">TRANSPOSE(I22:I27)</f>
        <v>59.41348049</v>
      </c>
      <c r="M36" s="94">
        <v>59.18021201413429</v>
      </c>
      <c r="N36" s="94">
        <v>68.8004694835681</v>
      </c>
      <c r="O36" s="94">
        <v>70.08927859705062</v>
      </c>
      <c r="P36" s="94">
        <v>70.08927859705062</v>
      </c>
      <c r="Q36" s="94">
        <v>60.07652451175767</v>
      </c>
      <c r="R36" s="30"/>
      <c r="S36" s="30"/>
    </row>
    <row r="37" ht="15.75" customHeight="1">
      <c r="A37" s="30"/>
      <c r="B37" s="30"/>
      <c r="C37" s="30"/>
      <c r="D37" s="59"/>
      <c r="E37" s="30"/>
      <c r="G37" s="30"/>
      <c r="H37" s="30"/>
      <c r="I37" s="30"/>
      <c r="J37" s="66"/>
      <c r="K37" s="67"/>
      <c r="L37" s="89">
        <f t="shared" ref="L37:Q37" si="15">L36/L32</f>
        <v>0.055944595</v>
      </c>
      <c r="M37" s="89">
        <f t="shared" si="15"/>
        <v>0.05434113647</v>
      </c>
      <c r="N37" s="89">
        <f t="shared" si="15"/>
        <v>0.0574203501</v>
      </c>
      <c r="O37" s="89">
        <f t="shared" si="15"/>
        <v>0.06013487641</v>
      </c>
      <c r="P37" s="89">
        <f t="shared" si="15"/>
        <v>0.05811777364</v>
      </c>
      <c r="Q37" s="89">
        <f t="shared" si="15"/>
        <v>0.04808628932</v>
      </c>
      <c r="R37" s="30"/>
      <c r="S37" s="30"/>
    </row>
    <row r="38" ht="15.75" customHeight="1">
      <c r="A38" s="30"/>
      <c r="B38" s="30"/>
      <c r="C38" s="30"/>
      <c r="D38" s="59"/>
      <c r="E38" s="30"/>
      <c r="G38" s="30"/>
      <c r="H38" s="30"/>
      <c r="I38" s="30"/>
      <c r="J38" s="91" t="str">
        <f>K21</f>
        <v>Heat Carried away by exhaust gas, Qe</v>
      </c>
      <c r="K38" s="92"/>
      <c r="L38" s="94">
        <f t="array" ref="L38:Q38">TRANSPOSE(K22:K27)</f>
        <v>231.8953846</v>
      </c>
      <c r="M38" s="94">
        <v>425.1415384615384</v>
      </c>
      <c r="N38" s="94">
        <v>602.9279999999999</v>
      </c>
      <c r="O38" s="94">
        <v>753.6599999999999</v>
      </c>
      <c r="P38" s="94">
        <v>915.1585714285713</v>
      </c>
      <c r="Q38" s="94">
        <v>967.197</v>
      </c>
      <c r="R38" s="30"/>
      <c r="S38" s="30"/>
    </row>
    <row r="39" ht="15.75" customHeight="1">
      <c r="A39" s="30"/>
      <c r="B39" s="30"/>
      <c r="C39" s="30"/>
      <c r="D39" s="59"/>
      <c r="E39" s="30"/>
      <c r="G39" s="30"/>
      <c r="H39" s="30"/>
      <c r="I39" s="30"/>
      <c r="J39" s="66"/>
      <c r="K39" s="67"/>
      <c r="L39" s="89">
        <f t="shared" ref="L39:Q39" si="16">L38/L32</f>
        <v>0.2183560577</v>
      </c>
      <c r="M39" s="89">
        <f t="shared" si="16"/>
        <v>0.3903783642</v>
      </c>
      <c r="N39" s="89">
        <f t="shared" si="16"/>
        <v>0.5031991366</v>
      </c>
      <c r="O39" s="89">
        <f t="shared" si="16"/>
        <v>0.6466217354</v>
      </c>
      <c r="P39" s="89">
        <f t="shared" si="16"/>
        <v>0.7588461426</v>
      </c>
      <c r="Q39" s="89">
        <f t="shared" si="16"/>
        <v>0.7741612076</v>
      </c>
      <c r="R39" s="30"/>
      <c r="S39" s="30"/>
    </row>
    <row r="40" ht="15.75" customHeight="1">
      <c r="A40" s="30"/>
      <c r="B40" s="30"/>
      <c r="C40" s="30"/>
      <c r="D40" s="59"/>
      <c r="E40" s="30"/>
      <c r="G40" s="30"/>
      <c r="H40" s="30"/>
      <c r="I40" s="30"/>
      <c r="J40" s="91" t="str">
        <f>L21</f>
        <v>Unaccounted heat / heat due to radiation,  Qun</v>
      </c>
      <c r="K40" s="92"/>
      <c r="L40" s="94">
        <f t="array" ref="L40:Q40">TRANSPOSE(L22:L27)</f>
        <v>768.061377</v>
      </c>
      <c r="M40" s="94">
        <v>574.74328338226</v>
      </c>
      <c r="N40" s="94">
        <v>460.91068364591706</v>
      </c>
      <c r="O40" s="94">
        <v>250.873429810243</v>
      </c>
      <c r="P40" s="94">
        <v>108.35259326975915</v>
      </c>
      <c r="Q40" s="94">
        <v>101.30061933401362</v>
      </c>
      <c r="R40" s="30"/>
      <c r="S40" s="30"/>
    </row>
    <row r="41">
      <c r="A41" s="30"/>
      <c r="B41" s="29" t="s">
        <v>121</v>
      </c>
      <c r="C41" s="30"/>
      <c r="D41" s="59"/>
      <c r="E41" s="30"/>
      <c r="G41" s="30"/>
      <c r="H41" s="30"/>
      <c r="I41" s="30"/>
      <c r="J41" s="66"/>
      <c r="K41" s="67"/>
      <c r="L41" s="89">
        <f t="shared" ref="L41:Q41" si="17">L40/L32</f>
        <v>0.7232177331</v>
      </c>
      <c r="M41" s="89">
        <f t="shared" si="17"/>
        <v>0.527747403</v>
      </c>
      <c r="N41" s="89">
        <f t="shared" si="17"/>
        <v>0.3846725614</v>
      </c>
      <c r="O41" s="89">
        <f t="shared" si="17"/>
        <v>0.2152432298</v>
      </c>
      <c r="P41" s="89">
        <f t="shared" si="17"/>
        <v>0.08984557432</v>
      </c>
      <c r="Q41" s="89">
        <f t="shared" si="17"/>
        <v>0.08108276783</v>
      </c>
      <c r="R41" s="30"/>
      <c r="S41" s="30"/>
    </row>
    <row r="42">
      <c r="A42" s="30"/>
      <c r="B42" s="30"/>
      <c r="C42" s="30"/>
      <c r="D42" s="59"/>
      <c r="E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</row>
    <row r="43" ht="1.5" customHeight="1">
      <c r="A43" s="30"/>
      <c r="B43" s="30"/>
      <c r="C43" s="30"/>
      <c r="E43" s="30"/>
      <c r="F43" s="5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</row>
    <row r="44" ht="1.5" customHeight="1">
      <c r="A44" s="30"/>
      <c r="B44" s="30"/>
      <c r="C44" s="30"/>
      <c r="D44" s="59"/>
      <c r="E44" s="30"/>
      <c r="F44" s="5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</row>
    <row r="45">
      <c r="A45" s="30"/>
      <c r="B45" s="30"/>
      <c r="C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</row>
    <row r="46">
      <c r="A46" s="30"/>
      <c r="B46" s="30"/>
      <c r="C46" s="30"/>
      <c r="D46" s="59"/>
      <c r="E46" s="59" t="s">
        <v>122</v>
      </c>
      <c r="F46" s="59" t="s">
        <v>123</v>
      </c>
      <c r="G46" s="59" t="s">
        <v>124</v>
      </c>
      <c r="H46" s="59" t="s">
        <v>125</v>
      </c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</row>
    <row r="47">
      <c r="A47" s="30"/>
      <c r="B47" s="30"/>
      <c r="C47" s="30"/>
      <c r="E47" s="95">
        <f t="array" ref="E47:E52">TRANSPOSE(L35:Q35)</f>
        <v>0.002481614207</v>
      </c>
      <c r="F47" s="96">
        <f t="shared" ref="F47:H47" si="18">I47+E47</f>
        <v>0.05842620921</v>
      </c>
      <c r="G47" s="97">
        <f t="shared" si="18"/>
        <v>0.2767822669</v>
      </c>
      <c r="H47" s="98">
        <f t="shared" si="18"/>
        <v>1</v>
      </c>
      <c r="I47" s="99">
        <f t="array" ref="I47:I52">transpose(L37:Q37)</f>
        <v>0.055944595</v>
      </c>
      <c r="J47" s="99">
        <f t="array" ref="J47:J52">TRANSPOSE(L39:Q39)</f>
        <v>0.2183560577</v>
      </c>
      <c r="K47" s="99">
        <f t="array" ref="K47:K52">TRANSPOSE(L41:Q41)</f>
        <v>0.7232177331</v>
      </c>
      <c r="L47" s="30"/>
      <c r="M47" s="30"/>
      <c r="N47" s="30"/>
      <c r="O47" s="30"/>
      <c r="P47" s="30"/>
      <c r="Q47" s="30"/>
      <c r="R47" s="30"/>
      <c r="S47" s="30"/>
    </row>
    <row r="48">
      <c r="A48" s="30"/>
      <c r="B48" s="30"/>
      <c r="C48" s="30"/>
      <c r="D48" s="59"/>
      <c r="E48" s="95">
        <v>0.027533096293843783</v>
      </c>
      <c r="F48" s="96">
        <f t="shared" ref="F48:H48" si="19">I48+E48</f>
        <v>0.08187423277</v>
      </c>
      <c r="G48" s="97">
        <f t="shared" si="19"/>
        <v>0.472252597</v>
      </c>
      <c r="H48" s="98">
        <f t="shared" si="19"/>
        <v>1</v>
      </c>
      <c r="I48" s="99">
        <v>0.05434113647243607</v>
      </c>
      <c r="J48" s="99">
        <v>0.39037836424313865</v>
      </c>
      <c r="K48" s="99">
        <v>0.5277474029905815</v>
      </c>
      <c r="L48" s="30"/>
      <c r="M48" s="30"/>
      <c r="N48" s="30"/>
      <c r="O48" s="30"/>
      <c r="P48" s="30"/>
      <c r="Q48" s="30"/>
      <c r="R48" s="30"/>
      <c r="S48" s="30"/>
    </row>
    <row r="49">
      <c r="A49" s="30"/>
      <c r="B49" s="30"/>
      <c r="C49" s="30"/>
      <c r="E49" s="95">
        <v>0.05470795191725829</v>
      </c>
      <c r="F49" s="96">
        <f t="shared" ref="F49:H49" si="20">I49+E49</f>
        <v>0.112128302</v>
      </c>
      <c r="G49" s="97">
        <f t="shared" si="20"/>
        <v>0.6153274386</v>
      </c>
      <c r="H49" s="98">
        <f t="shared" si="20"/>
        <v>1</v>
      </c>
      <c r="I49" s="99">
        <v>0.05742035009780487</v>
      </c>
      <c r="J49" s="99">
        <v>0.5031991366285343</v>
      </c>
      <c r="K49" s="99">
        <v>0.3846725613564025</v>
      </c>
      <c r="L49" s="30"/>
      <c r="M49" s="30"/>
      <c r="N49" s="30"/>
      <c r="O49" s="30"/>
      <c r="P49" s="30"/>
      <c r="Q49" s="30"/>
      <c r="R49" s="30"/>
      <c r="S49" s="30"/>
    </row>
    <row r="50">
      <c r="A50" s="30"/>
      <c r="B50" s="30"/>
      <c r="C50" s="30"/>
      <c r="D50" s="59"/>
      <c r="E50" s="95">
        <v>0.07800015844614915</v>
      </c>
      <c r="F50" s="96">
        <f t="shared" ref="F50:H50" si="21">I50+E50</f>
        <v>0.1381350349</v>
      </c>
      <c r="G50" s="97">
        <f t="shared" si="21"/>
        <v>0.7847567702</v>
      </c>
      <c r="H50" s="98">
        <f t="shared" si="21"/>
        <v>1</v>
      </c>
      <c r="I50" s="99">
        <v>0.0601348764133987</v>
      </c>
      <c r="J50" s="99">
        <v>0.6466217353766456</v>
      </c>
      <c r="K50" s="99">
        <v>0.21524322976380658</v>
      </c>
      <c r="L50" s="30"/>
      <c r="M50" s="30"/>
      <c r="N50" s="30"/>
      <c r="O50" s="30"/>
      <c r="P50" s="30"/>
      <c r="Q50" s="30"/>
      <c r="R50" s="30"/>
      <c r="S50" s="30"/>
    </row>
    <row r="51">
      <c r="A51" s="30"/>
      <c r="B51" s="30"/>
      <c r="C51" s="30"/>
      <c r="E51" s="95">
        <v>0.09319050946260404</v>
      </c>
      <c r="F51" s="96">
        <f t="shared" ref="F51:H51" si="22">I51+E51</f>
        <v>0.1513082831</v>
      </c>
      <c r="G51" s="97">
        <f t="shared" si="22"/>
        <v>0.9101544257</v>
      </c>
      <c r="H51" s="98">
        <f t="shared" si="22"/>
        <v>1</v>
      </c>
      <c r="I51" s="99">
        <v>0.058117773640622226</v>
      </c>
      <c r="J51" s="99">
        <v>0.7588461425796305</v>
      </c>
      <c r="K51" s="99">
        <v>0.08984557431714325</v>
      </c>
      <c r="L51" s="30"/>
      <c r="M51" s="30"/>
      <c r="N51" s="30"/>
      <c r="O51" s="30"/>
      <c r="P51" s="30"/>
      <c r="Q51" s="30"/>
      <c r="R51" s="30"/>
      <c r="S51" s="30"/>
    </row>
    <row r="52">
      <c r="A52" s="30"/>
      <c r="B52" s="30"/>
      <c r="C52" s="30"/>
      <c r="D52" s="30"/>
      <c r="E52" s="95">
        <v>0.09666973521230263</v>
      </c>
      <c r="F52" s="96">
        <f t="shared" ref="F52:H52" si="23">I52+E52</f>
        <v>0.1447560245</v>
      </c>
      <c r="G52" s="97">
        <f t="shared" si="23"/>
        <v>0.9189172322</v>
      </c>
      <c r="H52" s="98">
        <f t="shared" si="23"/>
        <v>1</v>
      </c>
      <c r="I52" s="99">
        <v>0.04808628931529636</v>
      </c>
      <c r="J52" s="99">
        <v>0.7741612076408375</v>
      </c>
      <c r="K52" s="99">
        <v>0.08108276783156354</v>
      </c>
      <c r="L52" s="30"/>
      <c r="M52" s="30"/>
      <c r="N52" s="30"/>
      <c r="O52" s="30"/>
      <c r="P52" s="30"/>
      <c r="Q52" s="30"/>
      <c r="R52" s="30"/>
      <c r="S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</row>
  </sheetData>
  <mergeCells count="30">
    <mergeCell ref="O9:O10"/>
    <mergeCell ref="P9:P10"/>
    <mergeCell ref="B2:Q2"/>
    <mergeCell ref="B9:B10"/>
    <mergeCell ref="C9:C10"/>
    <mergeCell ref="D9:D10"/>
    <mergeCell ref="E9:E10"/>
    <mergeCell ref="F9:F10"/>
    <mergeCell ref="G9:G10"/>
    <mergeCell ref="H9:I9"/>
    <mergeCell ref="J9:N9"/>
    <mergeCell ref="C30:E30"/>
    <mergeCell ref="F30:G30"/>
    <mergeCell ref="J30:K30"/>
    <mergeCell ref="F31:G31"/>
    <mergeCell ref="J31:K31"/>
    <mergeCell ref="J32:K33"/>
    <mergeCell ref="J34:K35"/>
    <mergeCell ref="J36:K37"/>
    <mergeCell ref="J38:K39"/>
    <mergeCell ref="J40:K41"/>
    <mergeCell ref="C35:E35"/>
    <mergeCell ref="F35:G35"/>
    <mergeCell ref="C31:E31"/>
    <mergeCell ref="C32:E32"/>
    <mergeCell ref="F32:G32"/>
    <mergeCell ref="C33:E33"/>
    <mergeCell ref="F33:G33"/>
    <mergeCell ref="C34:E34"/>
    <mergeCell ref="F34:G34"/>
  </mergeCells>
  <hyperlinks>
    <hyperlink display="&lt;-- Back to Index" location="Index!A1" ref="A1"/>
  </hyperlinks>
  <printOptions horizontalCentered="1" verticalCentered="1"/>
  <pageMargins bottom="0.75" footer="0.0" header="0.0" left="0.25" right="0.25" top="0.75"/>
  <pageSetup paperSize="9" cellComments="atEnd" orientation="portrait" pageOrder="overThenDown"/>
  <rowBreaks count="3" manualBreakCount="3">
    <brk man="1"/>
    <brk id="39" man="1"/>
    <brk id="79" man="1"/>
  </rowBreaks>
  <colBreaks count="2" manualBreakCount="2">
    <brk man="1"/>
    <brk id="14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5.0"/>
    <col customWidth="1" min="3" max="3" width="11.13"/>
    <col customWidth="1" min="4" max="4" width="9.38"/>
    <col customWidth="1" min="5" max="5" width="8.13"/>
    <col customWidth="1" min="6" max="6" width="9.0"/>
    <col customWidth="1" min="7" max="9" width="9.25"/>
    <col customWidth="1" min="10" max="10" width="7.63"/>
    <col customWidth="1" min="11" max="12" width="7.13"/>
    <col customWidth="1" min="13" max="14" width="8.38"/>
    <col customWidth="1" min="15" max="15" width="8.88"/>
    <col customWidth="1" min="16" max="17" width="9.5"/>
    <col customWidth="1" min="18" max="18" width="4.38"/>
    <col customWidth="1" min="19" max="20" width="11.75"/>
    <col customWidth="1" min="21" max="21" width="9.88"/>
    <col customWidth="1" min="22" max="23" width="10.13"/>
    <col customWidth="1" min="24" max="24" width="8.63"/>
    <col customWidth="1" min="25" max="27" width="10.13"/>
  </cols>
  <sheetData>
    <row r="1">
      <c r="A1" s="28" t="s">
        <v>25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>
      <c r="A2" s="30"/>
      <c r="B2" s="31" t="s">
        <v>148</v>
      </c>
      <c r="Y2" s="30"/>
      <c r="Z2" s="30"/>
      <c r="AA2" s="30"/>
      <c r="AB2" s="30"/>
      <c r="AC2" s="30"/>
      <c r="AD2" s="30"/>
      <c r="AE2" s="30"/>
      <c r="AF2" s="30"/>
      <c r="AG2" s="30"/>
    </row>
    <row r="3">
      <c r="A3" s="30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>
      <c r="A4" s="30"/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>
      <c r="A5" s="30"/>
      <c r="B5" s="29" t="s">
        <v>56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P5" s="30"/>
      <c r="Q5" s="30"/>
      <c r="R5" s="30"/>
      <c r="S5" s="29" t="s">
        <v>57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</row>
    <row r="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61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</row>
    <row r="7" ht="26.25" customHeight="1">
      <c r="A7" s="30"/>
      <c r="B7" s="32" t="s">
        <v>28</v>
      </c>
      <c r="C7" s="32" t="s">
        <v>149</v>
      </c>
      <c r="D7" s="105" t="s">
        <v>150</v>
      </c>
      <c r="E7" s="102" t="s">
        <v>151</v>
      </c>
      <c r="F7" s="35"/>
      <c r="G7" s="106" t="s">
        <v>152</v>
      </c>
      <c r="H7" s="35"/>
      <c r="I7" s="32" t="s">
        <v>153</v>
      </c>
      <c r="J7" s="33" t="s">
        <v>60</v>
      </c>
      <c r="K7" s="34"/>
      <c r="L7" s="35"/>
      <c r="M7" s="36" t="s">
        <v>154</v>
      </c>
      <c r="N7" s="36" t="s">
        <v>155</v>
      </c>
      <c r="O7" s="107" t="s">
        <v>156</v>
      </c>
      <c r="P7" s="107" t="s">
        <v>157</v>
      </c>
      <c r="Q7" s="62" t="s">
        <v>158</v>
      </c>
      <c r="R7" s="63"/>
      <c r="S7" s="32" t="s">
        <v>28</v>
      </c>
      <c r="T7" s="64" t="s">
        <v>159</v>
      </c>
      <c r="U7" s="65" t="s">
        <v>160</v>
      </c>
      <c r="V7" s="65" t="s">
        <v>161</v>
      </c>
      <c r="W7" s="49" t="s">
        <v>162</v>
      </c>
      <c r="X7" s="35"/>
      <c r="Y7" s="65" t="s">
        <v>163</v>
      </c>
      <c r="Z7" s="49" t="s">
        <v>68</v>
      </c>
      <c r="AA7" s="34"/>
      <c r="AB7" s="35"/>
      <c r="AC7" s="30"/>
      <c r="AD7" s="30"/>
      <c r="AE7" s="30"/>
      <c r="AF7" s="30"/>
      <c r="AG7" s="30"/>
    </row>
    <row r="8">
      <c r="A8" s="30"/>
      <c r="B8" s="38"/>
      <c r="C8" s="38"/>
      <c r="D8" s="38"/>
      <c r="E8" s="108" t="s">
        <v>164</v>
      </c>
      <c r="F8" s="108" t="s">
        <v>165</v>
      </c>
      <c r="G8" s="108" t="s">
        <v>164</v>
      </c>
      <c r="H8" s="108" t="s">
        <v>165</v>
      </c>
      <c r="I8" s="38"/>
      <c r="J8" s="39" t="s">
        <v>69</v>
      </c>
      <c r="K8" s="39" t="s">
        <v>70</v>
      </c>
      <c r="L8" s="39" t="s">
        <v>166</v>
      </c>
      <c r="M8" s="38"/>
      <c r="N8" s="38"/>
      <c r="O8" s="66"/>
      <c r="P8" s="66"/>
      <c r="Q8" s="66"/>
      <c r="R8" s="63"/>
      <c r="S8" s="38"/>
      <c r="T8" s="67"/>
      <c r="U8" s="38"/>
      <c r="V8" s="38"/>
      <c r="W8" s="109" t="s">
        <v>167</v>
      </c>
      <c r="X8" s="40" t="s">
        <v>168</v>
      </c>
      <c r="Y8" s="38"/>
      <c r="Z8" s="40" t="s">
        <v>169</v>
      </c>
      <c r="AA8" s="40" t="s">
        <v>170</v>
      </c>
      <c r="AB8" s="40" t="s">
        <v>171</v>
      </c>
      <c r="AC8" s="30"/>
      <c r="AD8" s="30"/>
      <c r="AE8" s="30"/>
      <c r="AF8" s="30"/>
      <c r="AG8" s="30"/>
    </row>
    <row r="9">
      <c r="A9" s="30"/>
      <c r="B9" s="40">
        <v>1.0</v>
      </c>
      <c r="C9" s="40">
        <v>796.0</v>
      </c>
      <c r="D9" s="40">
        <v>1.013</v>
      </c>
      <c r="E9" s="40">
        <v>4.5</v>
      </c>
      <c r="F9" s="51">
        <f t="shared" ref="F9:F12" si="1">E9*0.980665+1.013</f>
        <v>5.4259925</v>
      </c>
      <c r="G9" s="40">
        <v>4.0</v>
      </c>
      <c r="H9" s="51">
        <f t="shared" ref="H9:H12" si="2">G9*0.980665+1.013</f>
        <v>4.93566</v>
      </c>
      <c r="I9" s="40">
        <v>21.56</v>
      </c>
      <c r="J9" s="40">
        <v>115.0</v>
      </c>
      <c r="K9" s="110">
        <v>108.0</v>
      </c>
      <c r="L9" s="46">
        <f t="shared" ref="L9:L12" si="3">IF((J9-K9)&gt;0,(J9-K9)/1.293,(K9-J9)/1.293)</f>
        <v>5.413766435</v>
      </c>
      <c r="M9" s="42">
        <v>306.4</v>
      </c>
      <c r="N9" s="42">
        <v>343.0</v>
      </c>
      <c r="O9" s="111">
        <v>1440.0</v>
      </c>
      <c r="P9" s="112">
        <v>4.0</v>
      </c>
      <c r="Q9" s="113">
        <f t="shared" ref="Q9:Q12" si="4">F9/D9</f>
        <v>5.356359822</v>
      </c>
      <c r="R9" s="63"/>
      <c r="S9" s="40">
        <v>1.0</v>
      </c>
      <c r="T9" s="114">
        <f t="shared" ref="T9:T12" si="5">0.62*(PI()/4)*((0.02)^2)*((2*9.81*L9)^(1/2))*1000</f>
        <v>2.0074319</v>
      </c>
      <c r="U9" s="46">
        <f t="shared" ref="U9:U12" si="6">((PI()/4)*((0.08*C9)/60)*(((0.1)^2)))*1000</f>
        <v>8.335692508</v>
      </c>
      <c r="V9" s="51">
        <f t="shared" ref="V9:V12" si="7">(1.239*T9*0.287*M9*LN(Q9))/1000</f>
        <v>0.3670695814</v>
      </c>
      <c r="W9" s="46">
        <f t="shared" ref="W9:W12" si="8">(5*3600)/(640*I9)</f>
        <v>1.304499072</v>
      </c>
      <c r="X9" s="46">
        <f t="shared" ref="X9:X12" si="9">Y9*0.8</f>
        <v>0.8994223944</v>
      </c>
      <c r="Y9" s="46">
        <f t="shared" ref="Y9:Y12" si="10">(2*PI()*O9*P9*9.81*0.19)/60000</f>
        <v>1.124277993</v>
      </c>
      <c r="Z9" s="70">
        <f t="shared" ref="Z9:Z12" si="11">(V9/X9)*100</f>
        <v>40.81170134</v>
      </c>
      <c r="AA9" s="70">
        <f t="shared" ref="AA9:AA12" si="12">(T9/U9)*100</f>
        <v>24.08236506</v>
      </c>
      <c r="AB9" s="70">
        <f t="shared" ref="AB9:AB12" si="13">V9*100/(W9)</f>
        <v>28.1387384</v>
      </c>
      <c r="AC9" s="30"/>
      <c r="AD9" s="30"/>
      <c r="AE9" s="30"/>
      <c r="AF9" s="30"/>
      <c r="AG9" s="30"/>
    </row>
    <row r="10">
      <c r="A10" s="30"/>
      <c r="B10" s="40">
        <v>2.0</v>
      </c>
      <c r="C10" s="40">
        <v>796.0</v>
      </c>
      <c r="D10" s="40">
        <v>1.013</v>
      </c>
      <c r="E10" s="40">
        <v>3.5</v>
      </c>
      <c r="F10" s="51">
        <f t="shared" si="1"/>
        <v>4.4453275</v>
      </c>
      <c r="G10" s="40">
        <v>3.0</v>
      </c>
      <c r="H10" s="51">
        <f t="shared" si="2"/>
        <v>3.954995</v>
      </c>
      <c r="I10" s="40">
        <v>26.0</v>
      </c>
      <c r="J10" s="40">
        <v>116.0</v>
      </c>
      <c r="K10" s="115">
        <v>107.0</v>
      </c>
      <c r="L10" s="46">
        <f t="shared" si="3"/>
        <v>6.960556845</v>
      </c>
      <c r="M10" s="42">
        <v>306.4</v>
      </c>
      <c r="N10" s="42">
        <v>347.0</v>
      </c>
      <c r="O10" s="111">
        <v>1448.0</v>
      </c>
      <c r="P10" s="112">
        <v>3.8</v>
      </c>
      <c r="Q10" s="113">
        <f t="shared" si="4"/>
        <v>4.388279862</v>
      </c>
      <c r="R10" s="63"/>
      <c r="S10" s="40">
        <v>2.0</v>
      </c>
      <c r="T10" s="114">
        <f t="shared" si="5"/>
        <v>2.276213821</v>
      </c>
      <c r="U10" s="46">
        <f t="shared" si="6"/>
        <v>8.335692508</v>
      </c>
      <c r="V10" s="51">
        <f t="shared" si="7"/>
        <v>0.3667792753</v>
      </c>
      <c r="W10" s="46">
        <f t="shared" si="8"/>
        <v>1.081730769</v>
      </c>
      <c r="X10" s="46">
        <f t="shared" si="9"/>
        <v>0.8591982262</v>
      </c>
      <c r="Y10" s="46">
        <f t="shared" si="10"/>
        <v>1.073997783</v>
      </c>
      <c r="Z10" s="70">
        <f t="shared" si="11"/>
        <v>42.68855127</v>
      </c>
      <c r="AA10" s="70">
        <f t="shared" si="12"/>
        <v>27.30683526</v>
      </c>
      <c r="AB10" s="70">
        <f t="shared" si="13"/>
        <v>33.90670634</v>
      </c>
      <c r="AC10" s="30"/>
      <c r="AD10" s="30"/>
      <c r="AE10" s="30"/>
      <c r="AF10" s="30"/>
      <c r="AG10" s="30"/>
    </row>
    <row r="11">
      <c r="A11" s="30"/>
      <c r="B11" s="40">
        <v>3.0</v>
      </c>
      <c r="C11" s="40">
        <v>799.0</v>
      </c>
      <c r="D11" s="40">
        <v>1.013</v>
      </c>
      <c r="E11" s="40">
        <v>2.2</v>
      </c>
      <c r="F11" s="51">
        <f t="shared" si="1"/>
        <v>3.170463</v>
      </c>
      <c r="G11" s="40">
        <v>2.0</v>
      </c>
      <c r="H11" s="51">
        <f t="shared" si="2"/>
        <v>2.97433</v>
      </c>
      <c r="I11" s="40">
        <v>27.78</v>
      </c>
      <c r="J11" s="40">
        <v>116.0</v>
      </c>
      <c r="K11" s="115">
        <v>109.0</v>
      </c>
      <c r="L11" s="46">
        <f t="shared" si="3"/>
        <v>5.413766435</v>
      </c>
      <c r="M11" s="42">
        <v>306.3</v>
      </c>
      <c r="N11" s="42">
        <v>348.0</v>
      </c>
      <c r="O11" s="111">
        <v>1453.0</v>
      </c>
      <c r="P11" s="112">
        <v>3.6</v>
      </c>
      <c r="Q11" s="113">
        <f t="shared" si="4"/>
        <v>3.129775913</v>
      </c>
      <c r="R11" s="63"/>
      <c r="S11" s="40">
        <v>3.0</v>
      </c>
      <c r="T11" s="114">
        <f t="shared" si="5"/>
        <v>2.0074319</v>
      </c>
      <c r="U11" s="46">
        <f t="shared" si="6"/>
        <v>8.367108434</v>
      </c>
      <c r="V11" s="51">
        <f t="shared" si="7"/>
        <v>0.2494663521</v>
      </c>
      <c r="W11" s="46">
        <f t="shared" si="8"/>
        <v>1.012419006</v>
      </c>
      <c r="X11" s="46">
        <f t="shared" si="9"/>
        <v>0.8167879619</v>
      </c>
      <c r="Y11" s="46">
        <f t="shared" si="10"/>
        <v>1.020984952</v>
      </c>
      <c r="Z11" s="70">
        <f t="shared" si="11"/>
        <v>30.54236396</v>
      </c>
      <c r="AA11" s="70">
        <f t="shared" si="12"/>
        <v>23.99194317</v>
      </c>
      <c r="AB11" s="70">
        <f t="shared" si="13"/>
        <v>24.64062315</v>
      </c>
      <c r="AC11" s="30"/>
      <c r="AD11" s="30"/>
      <c r="AE11" s="30"/>
      <c r="AF11" s="30"/>
      <c r="AG11" s="30"/>
    </row>
    <row r="12">
      <c r="A12" s="30"/>
      <c r="B12" s="40">
        <v>4.0</v>
      </c>
      <c r="C12" s="40">
        <v>803.0</v>
      </c>
      <c r="D12" s="40">
        <v>1.013</v>
      </c>
      <c r="E12" s="40">
        <v>1.6</v>
      </c>
      <c r="F12" s="51">
        <f t="shared" si="1"/>
        <v>2.582064</v>
      </c>
      <c r="G12" s="40">
        <v>1.0</v>
      </c>
      <c r="H12" s="51">
        <f t="shared" si="2"/>
        <v>1.993665</v>
      </c>
      <c r="I12" s="40">
        <v>29.08</v>
      </c>
      <c r="J12" s="40">
        <v>117.0</v>
      </c>
      <c r="K12" s="115">
        <v>110.0</v>
      </c>
      <c r="L12" s="46">
        <f t="shared" si="3"/>
        <v>5.413766435</v>
      </c>
      <c r="M12" s="42">
        <v>305.0</v>
      </c>
      <c r="N12" s="42">
        <v>343.0</v>
      </c>
      <c r="O12" s="111">
        <v>1454.0</v>
      </c>
      <c r="P12" s="112">
        <v>3.4</v>
      </c>
      <c r="Q12" s="113">
        <f t="shared" si="4"/>
        <v>2.548927937</v>
      </c>
      <c r="R12" s="63"/>
      <c r="S12" s="40">
        <v>4.0</v>
      </c>
      <c r="T12" s="114">
        <f t="shared" si="5"/>
        <v>2.0074319</v>
      </c>
      <c r="U12" s="46">
        <f t="shared" si="6"/>
        <v>8.408996336</v>
      </c>
      <c r="V12" s="51">
        <f t="shared" si="7"/>
        <v>0.2037126008</v>
      </c>
      <c r="W12" s="46">
        <f t="shared" si="8"/>
        <v>0.9671595598</v>
      </c>
      <c r="X12" s="46">
        <f t="shared" si="9"/>
        <v>0.771941762</v>
      </c>
      <c r="Y12" s="46">
        <f t="shared" si="10"/>
        <v>0.9649272025</v>
      </c>
      <c r="Z12" s="70">
        <f t="shared" si="11"/>
        <v>26.38963337</v>
      </c>
      <c r="AA12" s="70">
        <f t="shared" si="12"/>
        <v>23.87243162</v>
      </c>
      <c r="AB12" s="70">
        <f t="shared" si="13"/>
        <v>21.06297753</v>
      </c>
      <c r="AC12" s="30"/>
      <c r="AD12" s="30"/>
      <c r="AE12" s="30"/>
      <c r="AF12" s="30"/>
      <c r="AG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71"/>
      <c r="L13" s="30"/>
      <c r="M13" s="30"/>
      <c r="N13" s="30"/>
      <c r="O13" s="30"/>
      <c r="P13" s="30"/>
      <c r="T13" s="30"/>
      <c r="U13" s="30"/>
      <c r="Y13" s="59" t="s">
        <v>53</v>
      </c>
      <c r="Z13" s="72">
        <f t="shared" ref="Z13:AB13" si="14">AVERAGE(Z9:Z12)</f>
        <v>35.10806248</v>
      </c>
      <c r="AA13" s="72">
        <f t="shared" si="14"/>
        <v>24.81339378</v>
      </c>
      <c r="AB13" s="72">
        <f t="shared" si="14"/>
        <v>26.93726136</v>
      </c>
      <c r="AC13" s="30"/>
      <c r="AD13" s="30"/>
      <c r="AE13" s="30"/>
      <c r="AF13" s="30"/>
      <c r="AG13" s="30"/>
    </row>
    <row r="14">
      <c r="A14" s="30"/>
      <c r="B14" s="30"/>
      <c r="C14" s="30"/>
      <c r="D14" s="59"/>
      <c r="E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T14" s="30"/>
      <c r="U14" s="30"/>
      <c r="Y14" s="59" t="s">
        <v>172</v>
      </c>
      <c r="Z14" s="72">
        <f t="shared" ref="Z14:AB14" si="15">MAX(Z9:Z12)</f>
        <v>42.68855127</v>
      </c>
      <c r="AA14" s="72">
        <f t="shared" si="15"/>
        <v>27.30683526</v>
      </c>
      <c r="AB14" s="72">
        <f t="shared" si="15"/>
        <v>33.90670634</v>
      </c>
      <c r="AC14" s="30"/>
      <c r="AD14" s="30"/>
      <c r="AE14" s="30"/>
      <c r="AF14" s="30"/>
      <c r="AG14" s="30"/>
    </row>
    <row r="15">
      <c r="A15" s="30"/>
      <c r="B15" s="30"/>
      <c r="C15" s="30"/>
      <c r="D15" s="59"/>
      <c r="E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</row>
    <row r="16">
      <c r="A16" s="30"/>
      <c r="B16" s="29" t="s">
        <v>54</v>
      </c>
      <c r="C16" s="30"/>
      <c r="D16" s="59"/>
      <c r="E16" s="30"/>
      <c r="G16" s="30"/>
      <c r="H16" s="30"/>
      <c r="I16" s="30"/>
      <c r="J16" s="30"/>
      <c r="K16" s="30"/>
      <c r="L16" s="30"/>
      <c r="M16" s="30"/>
      <c r="N16" s="30"/>
      <c r="O16" s="30"/>
      <c r="P16" s="59"/>
      <c r="Q16" s="59"/>
      <c r="R16" s="59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</row>
    <row r="17">
      <c r="A17" s="30"/>
      <c r="B17" s="30"/>
      <c r="C17" s="30"/>
      <c r="D17" s="59"/>
      <c r="E17" s="30"/>
      <c r="G17" s="30"/>
      <c r="H17" s="30"/>
      <c r="I17" s="30"/>
      <c r="J17" s="30"/>
      <c r="K17" s="30"/>
      <c r="L17" s="30"/>
      <c r="M17" s="30"/>
      <c r="N17" s="30"/>
      <c r="O17" s="30"/>
      <c r="P17" s="59"/>
      <c r="Q17" s="6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</row>
    <row r="18">
      <c r="A18" s="30"/>
      <c r="B18" s="30"/>
      <c r="C18" s="30"/>
      <c r="E18" s="30"/>
      <c r="F18" s="5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</row>
    <row r="19">
      <c r="A19" s="30"/>
      <c r="B19" s="30"/>
      <c r="C19" s="30"/>
      <c r="D19" s="59"/>
      <c r="E19" s="30"/>
      <c r="F19" s="59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</row>
    <row r="20">
      <c r="A20" s="30"/>
      <c r="B20" s="30"/>
      <c r="C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</row>
    <row r="21">
      <c r="A21" s="30"/>
      <c r="B21" s="30"/>
      <c r="C21" s="30"/>
      <c r="D21" s="59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</row>
    <row r="22">
      <c r="A22" s="30"/>
      <c r="B22" s="30"/>
      <c r="C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</row>
    <row r="23">
      <c r="A23" s="30"/>
      <c r="B23" s="30"/>
      <c r="C23" s="30"/>
      <c r="D23" s="59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</row>
    <row r="24">
      <c r="A24" s="30"/>
      <c r="B24" s="30"/>
      <c r="C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</row>
    <row r="25">
      <c r="A25" s="30"/>
      <c r="B25" s="30"/>
      <c r="C25" s="30"/>
      <c r="D25" s="5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</row>
    <row r="26">
      <c r="A26" s="30"/>
      <c r="B26" s="30"/>
      <c r="C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</row>
  </sheetData>
  <mergeCells count="20">
    <mergeCell ref="J7:L7"/>
    <mergeCell ref="M7:M8"/>
    <mergeCell ref="N7:N8"/>
    <mergeCell ref="O7:O8"/>
    <mergeCell ref="P7:P8"/>
    <mergeCell ref="Q7:Q8"/>
    <mergeCell ref="S7:S8"/>
    <mergeCell ref="T7:T8"/>
    <mergeCell ref="U7:U8"/>
    <mergeCell ref="V7:V8"/>
    <mergeCell ref="Y7:Y8"/>
    <mergeCell ref="Z7:AB7"/>
    <mergeCell ref="B2:X2"/>
    <mergeCell ref="B7:B8"/>
    <mergeCell ref="C7:C8"/>
    <mergeCell ref="D7:D8"/>
    <mergeCell ref="E7:F7"/>
    <mergeCell ref="G7:H7"/>
    <mergeCell ref="I7:I8"/>
    <mergeCell ref="W7:X7"/>
  </mergeCells>
  <hyperlinks>
    <hyperlink display="&lt;-- Back to Index" location="Index!A1" ref="A1"/>
  </hyperlinks>
  <printOptions horizontalCentered="1" vertic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5.0"/>
    <col customWidth="1" min="3" max="3" width="11.13"/>
    <col customWidth="1" min="4" max="5" width="8.13"/>
    <col customWidth="1" min="6" max="6" width="8.5"/>
    <col customWidth="1" min="7" max="9" width="5.63"/>
    <col customWidth="1" min="10" max="10" width="7.63"/>
    <col customWidth="1" min="11" max="12" width="7.13"/>
    <col customWidth="1" min="13" max="13" width="7.88"/>
    <col customWidth="1" min="14" max="14" width="1.5"/>
    <col customWidth="1" min="15" max="15" width="5.0"/>
    <col customWidth="1" min="16" max="17" width="11.0"/>
    <col customWidth="1" min="18" max="18" width="9.13"/>
    <col customWidth="1" min="19" max="20" width="10.0"/>
    <col customWidth="1" min="21" max="21" width="9.88"/>
    <col customWidth="1" min="22" max="22" width="11.0"/>
    <col customWidth="1" min="23" max="23" width="9.25"/>
    <col customWidth="1" min="24" max="24" width="8.63"/>
  </cols>
  <sheetData>
    <row r="1">
      <c r="A1" s="28" t="s">
        <v>25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>
      <c r="A2" s="30"/>
      <c r="B2" s="31" t="s">
        <v>148</v>
      </c>
      <c r="Y2" s="30"/>
      <c r="Z2" s="30"/>
      <c r="AA2" s="30"/>
      <c r="AB2" s="30"/>
      <c r="AC2" s="30"/>
    </row>
    <row r="3">
      <c r="A3" s="30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>
      <c r="A4" s="30"/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>
      <c r="A5" s="30"/>
      <c r="B5" s="29" t="s">
        <v>56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29" t="s">
        <v>57</v>
      </c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61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ht="26.25" customHeight="1">
      <c r="A7" s="30"/>
      <c r="B7" s="32" t="s">
        <v>28</v>
      </c>
      <c r="C7" s="32" t="s">
        <v>173</v>
      </c>
      <c r="D7" s="106" t="s">
        <v>152</v>
      </c>
      <c r="E7" s="35"/>
      <c r="F7" s="32" t="s">
        <v>174</v>
      </c>
      <c r="G7" s="33" t="s">
        <v>60</v>
      </c>
      <c r="H7" s="34"/>
      <c r="I7" s="35"/>
      <c r="J7" s="36" t="s">
        <v>154</v>
      </c>
      <c r="K7" s="36" t="s">
        <v>155</v>
      </c>
      <c r="L7" s="107" t="s">
        <v>156</v>
      </c>
      <c r="M7" s="107" t="s">
        <v>157</v>
      </c>
      <c r="N7" s="63"/>
      <c r="O7" s="32" t="s">
        <v>28</v>
      </c>
      <c r="P7" s="64" t="s">
        <v>159</v>
      </c>
      <c r="Q7" s="65" t="s">
        <v>160</v>
      </c>
      <c r="R7" s="65" t="s">
        <v>161</v>
      </c>
      <c r="S7" s="49" t="s">
        <v>162</v>
      </c>
      <c r="T7" s="35"/>
      <c r="U7" s="65" t="s">
        <v>163</v>
      </c>
      <c r="V7" s="49" t="s">
        <v>68</v>
      </c>
      <c r="W7" s="34"/>
      <c r="X7" s="35"/>
      <c r="Y7" s="30"/>
      <c r="Z7" s="30"/>
      <c r="AA7" s="30"/>
      <c r="AB7" s="30"/>
      <c r="AC7" s="30"/>
    </row>
    <row r="8">
      <c r="A8" s="30"/>
      <c r="B8" s="38"/>
      <c r="C8" s="38"/>
      <c r="D8" s="108" t="s">
        <v>164</v>
      </c>
      <c r="E8" s="108" t="s">
        <v>165</v>
      </c>
      <c r="F8" s="38"/>
      <c r="G8" s="39" t="s">
        <v>69</v>
      </c>
      <c r="H8" s="39" t="s">
        <v>70</v>
      </c>
      <c r="I8" s="39" t="s">
        <v>166</v>
      </c>
      <c r="J8" s="38"/>
      <c r="K8" s="38"/>
      <c r="L8" s="66"/>
      <c r="M8" s="66"/>
      <c r="N8" s="63"/>
      <c r="O8" s="38"/>
      <c r="P8" s="67"/>
      <c r="Q8" s="38"/>
      <c r="R8" s="38"/>
      <c r="S8" s="109" t="s">
        <v>167</v>
      </c>
      <c r="T8" s="40" t="s">
        <v>168</v>
      </c>
      <c r="U8" s="38"/>
      <c r="V8" s="40" t="s">
        <v>169</v>
      </c>
      <c r="W8" s="40" t="s">
        <v>73</v>
      </c>
      <c r="X8" s="40" t="s">
        <v>171</v>
      </c>
      <c r="Y8" s="30"/>
      <c r="Z8" s="30"/>
      <c r="AA8" s="30"/>
      <c r="AB8" s="30"/>
      <c r="AC8" s="30"/>
    </row>
    <row r="9">
      <c r="A9" s="30"/>
      <c r="B9" s="40">
        <v>1.0</v>
      </c>
      <c r="C9" s="40">
        <v>722.4</v>
      </c>
      <c r="D9" s="40">
        <v>1.0</v>
      </c>
      <c r="E9" s="51">
        <f t="shared" ref="E9:E14" si="1">D9*0.980665+1.013</f>
        <v>1.993665</v>
      </c>
      <c r="F9" s="40">
        <v>24.78</v>
      </c>
      <c r="G9" s="40">
        <v>111.0</v>
      </c>
      <c r="H9" s="116">
        <v>103.0</v>
      </c>
      <c r="I9" s="46">
        <f t="shared" ref="I9:I14" si="2">IF((G9-H9)&gt;0,(G9-H9)/1.225,(H9-G9)/1.225)</f>
        <v>6.530612245</v>
      </c>
      <c r="J9" s="45">
        <v>310.0</v>
      </c>
      <c r="K9" s="45">
        <v>332.0</v>
      </c>
      <c r="L9" s="111">
        <v>1470.0</v>
      </c>
      <c r="M9" s="112">
        <v>2.1</v>
      </c>
      <c r="N9" s="63"/>
      <c r="O9" s="40">
        <v>1.0</v>
      </c>
      <c r="P9" s="114">
        <f t="shared" ref="P9:P14" si="3">0.62*(PI()/4)*((0.02)^2)*((2*9.81*I9)^(1/2))*1000</f>
        <v>2.204793972</v>
      </c>
      <c r="Q9" s="46">
        <f t="shared" ref="Q9:Q14" si="4">((PI()/4)*((0.062*C9)/60)*(((0.06033)^2)+((0.057)^2)))*1000</f>
        <v>4.038739953</v>
      </c>
      <c r="R9" s="51">
        <f t="shared" ref="R9:R14" si="5">(1.225*P9*0.287*J9*LN(E9/1.013))/1000</f>
        <v>0.1626948631</v>
      </c>
      <c r="S9" s="46">
        <f t="shared" ref="S9:S14" si="6">(1*3600)/(200*F9)</f>
        <v>0.7263922518</v>
      </c>
      <c r="T9" s="46">
        <f t="shared" ref="T9:T14" si="7">U9*0.75</f>
        <v>0.4519070527</v>
      </c>
      <c r="U9" s="46">
        <f t="shared" ref="U9:U14" si="8">(2*PI()*L9*M9*9.81*0.19)/60000</f>
        <v>0.6025427369</v>
      </c>
      <c r="V9" s="70">
        <f t="shared" ref="V9:V14" si="9">(R9/T9)*100</f>
        <v>36.001842</v>
      </c>
      <c r="W9" s="70">
        <f t="shared" ref="W9:W14" si="10">(P9/Q9)*100</f>
        <v>54.5911348</v>
      </c>
      <c r="X9" s="70">
        <f t="shared" ref="X9:X14" si="11">R9*100/(S9)</f>
        <v>22.39765948</v>
      </c>
      <c r="Y9" s="30"/>
      <c r="Z9" s="30"/>
      <c r="AA9" s="30"/>
      <c r="AB9" s="30"/>
      <c r="AC9" s="30"/>
    </row>
    <row r="10">
      <c r="A10" s="30"/>
      <c r="B10" s="40">
        <v>2.0</v>
      </c>
      <c r="C10" s="40">
        <v>721.7</v>
      </c>
      <c r="D10" s="40">
        <v>2.0</v>
      </c>
      <c r="E10" s="51">
        <f t="shared" si="1"/>
        <v>2.97433</v>
      </c>
      <c r="F10" s="40">
        <v>22.53</v>
      </c>
      <c r="G10" s="40">
        <v>111.0</v>
      </c>
      <c r="H10" s="117">
        <v>102.0</v>
      </c>
      <c r="I10" s="46">
        <f t="shared" si="2"/>
        <v>7.346938776</v>
      </c>
      <c r="J10" s="45">
        <v>311.0</v>
      </c>
      <c r="K10" s="45">
        <v>333.0</v>
      </c>
      <c r="L10" s="111">
        <v>1468.0</v>
      </c>
      <c r="M10" s="112">
        <v>2.65</v>
      </c>
      <c r="N10" s="63"/>
      <c r="O10" s="40">
        <v>2.0</v>
      </c>
      <c r="P10" s="114">
        <f t="shared" si="3"/>
        <v>2.338537153</v>
      </c>
      <c r="Q10" s="46">
        <f t="shared" si="4"/>
        <v>4.034826446</v>
      </c>
      <c r="R10" s="51">
        <f t="shared" si="5"/>
        <v>0.2754100056</v>
      </c>
      <c r="S10" s="46">
        <f t="shared" si="6"/>
        <v>0.7989347537</v>
      </c>
      <c r="T10" s="46">
        <f t="shared" si="7"/>
        <v>0.5694877928</v>
      </c>
      <c r="U10" s="46">
        <f t="shared" si="8"/>
        <v>0.759317057</v>
      </c>
      <c r="V10" s="70">
        <f t="shared" si="9"/>
        <v>48.36100248</v>
      </c>
      <c r="W10" s="70">
        <f t="shared" si="10"/>
        <v>57.95880404</v>
      </c>
      <c r="X10" s="70">
        <f t="shared" si="11"/>
        <v>34.47215236</v>
      </c>
      <c r="Y10" s="30"/>
      <c r="Z10" s="30"/>
      <c r="AA10" s="30"/>
      <c r="AB10" s="30"/>
      <c r="AC10" s="30"/>
    </row>
    <row r="11">
      <c r="A11" s="30"/>
      <c r="B11" s="40">
        <v>3.0</v>
      </c>
      <c r="C11" s="40">
        <v>717.3</v>
      </c>
      <c r="D11" s="40">
        <v>4.0</v>
      </c>
      <c r="E11" s="51">
        <f t="shared" si="1"/>
        <v>4.93566</v>
      </c>
      <c r="F11" s="40">
        <v>19.44</v>
      </c>
      <c r="G11" s="40">
        <v>110.0</v>
      </c>
      <c r="H11" s="117">
        <v>101.0</v>
      </c>
      <c r="I11" s="46">
        <f t="shared" si="2"/>
        <v>7.346938776</v>
      </c>
      <c r="J11" s="45">
        <v>311.0</v>
      </c>
      <c r="K11" s="45">
        <v>335.0</v>
      </c>
      <c r="L11" s="111">
        <v>1458.0</v>
      </c>
      <c r="M11" s="112">
        <v>2.9</v>
      </c>
      <c r="N11" s="63"/>
      <c r="O11" s="40">
        <v>3.0</v>
      </c>
      <c r="P11" s="114">
        <f t="shared" si="3"/>
        <v>2.338537153</v>
      </c>
      <c r="Q11" s="46">
        <f t="shared" si="4"/>
        <v>4.010227254</v>
      </c>
      <c r="R11" s="51">
        <f t="shared" si="5"/>
        <v>0.4049113614</v>
      </c>
      <c r="S11" s="46">
        <f t="shared" si="6"/>
        <v>0.9259259259</v>
      </c>
      <c r="T11" s="46">
        <f t="shared" si="7"/>
        <v>0.6189677357</v>
      </c>
      <c r="U11" s="46">
        <f t="shared" si="8"/>
        <v>0.8252903143</v>
      </c>
      <c r="V11" s="70">
        <f t="shared" si="9"/>
        <v>65.41719997</v>
      </c>
      <c r="W11" s="70">
        <f t="shared" si="10"/>
        <v>58.31432996</v>
      </c>
      <c r="X11" s="70">
        <f t="shared" si="11"/>
        <v>43.73042703</v>
      </c>
      <c r="Y11" s="30"/>
      <c r="Z11" s="30"/>
      <c r="AA11" s="30"/>
      <c r="AB11" s="30"/>
      <c r="AC11" s="30"/>
    </row>
    <row r="12">
      <c r="A12" s="30"/>
      <c r="B12" s="40">
        <v>4.0</v>
      </c>
      <c r="C12" s="40">
        <v>712.8</v>
      </c>
      <c r="D12" s="40">
        <v>6.0</v>
      </c>
      <c r="E12" s="51">
        <f t="shared" si="1"/>
        <v>6.89699</v>
      </c>
      <c r="F12" s="40">
        <v>17.47</v>
      </c>
      <c r="G12" s="40">
        <v>111.0</v>
      </c>
      <c r="H12" s="117">
        <v>102.0</v>
      </c>
      <c r="I12" s="46">
        <f t="shared" si="2"/>
        <v>7.346938776</v>
      </c>
      <c r="J12" s="45">
        <v>312.0</v>
      </c>
      <c r="K12" s="45">
        <v>337.0</v>
      </c>
      <c r="L12" s="111">
        <v>1453.0</v>
      </c>
      <c r="M12" s="112">
        <v>3.1</v>
      </c>
      <c r="N12" s="63"/>
      <c r="O12" s="40">
        <v>4.0</v>
      </c>
      <c r="P12" s="114">
        <f t="shared" si="3"/>
        <v>2.338537153</v>
      </c>
      <c r="Q12" s="46">
        <f t="shared" si="4"/>
        <v>3.985068991</v>
      </c>
      <c r="R12" s="51">
        <f t="shared" si="5"/>
        <v>0.4920437159</v>
      </c>
      <c r="S12" s="46">
        <f t="shared" si="6"/>
        <v>1.030337722</v>
      </c>
      <c r="T12" s="46">
        <f t="shared" si="7"/>
        <v>0.6593861151</v>
      </c>
      <c r="U12" s="46">
        <f t="shared" si="8"/>
        <v>0.8791814868</v>
      </c>
      <c r="V12" s="70">
        <f t="shared" si="9"/>
        <v>74.62148575</v>
      </c>
      <c r="W12" s="70">
        <f t="shared" si="10"/>
        <v>58.68247598</v>
      </c>
      <c r="X12" s="70">
        <f t="shared" si="11"/>
        <v>47.75557621</v>
      </c>
      <c r="Y12" s="30"/>
      <c r="Z12" s="30"/>
      <c r="AA12" s="30"/>
      <c r="AB12" s="30"/>
      <c r="AC12" s="30"/>
    </row>
    <row r="13">
      <c r="A13" s="30"/>
      <c r="B13" s="40">
        <v>5.0</v>
      </c>
      <c r="C13" s="40">
        <v>710.9</v>
      </c>
      <c r="D13" s="40">
        <v>8.0</v>
      </c>
      <c r="E13" s="51">
        <f t="shared" si="1"/>
        <v>8.85832</v>
      </c>
      <c r="F13" s="40">
        <v>15.87</v>
      </c>
      <c r="G13" s="40">
        <v>111.0</v>
      </c>
      <c r="H13" s="117">
        <v>102.0</v>
      </c>
      <c r="I13" s="46">
        <f t="shared" si="2"/>
        <v>7.346938776</v>
      </c>
      <c r="J13" s="45">
        <v>312.0</v>
      </c>
      <c r="K13" s="45">
        <v>338.0</v>
      </c>
      <c r="L13" s="111">
        <v>1449.0</v>
      </c>
      <c r="M13" s="112">
        <v>3.35</v>
      </c>
      <c r="N13" s="63"/>
      <c r="O13" s="40">
        <v>5.0</v>
      </c>
      <c r="P13" s="114">
        <f t="shared" si="3"/>
        <v>2.338537153</v>
      </c>
      <c r="Q13" s="46">
        <f t="shared" si="4"/>
        <v>3.974446613</v>
      </c>
      <c r="R13" s="51">
        <f t="shared" si="5"/>
        <v>0.556242854</v>
      </c>
      <c r="S13" s="46">
        <f t="shared" si="6"/>
        <v>1.134215501</v>
      </c>
      <c r="T13" s="46">
        <f t="shared" si="7"/>
        <v>0.7106007838</v>
      </c>
      <c r="U13" s="46">
        <f t="shared" si="8"/>
        <v>0.9474677118</v>
      </c>
      <c r="V13" s="70">
        <f t="shared" si="9"/>
        <v>78.27782725</v>
      </c>
      <c r="W13" s="70">
        <f t="shared" si="10"/>
        <v>58.83931478</v>
      </c>
      <c r="X13" s="70">
        <f t="shared" si="11"/>
        <v>49.04207829</v>
      </c>
      <c r="Y13" s="30"/>
      <c r="Z13" s="30"/>
      <c r="AA13" s="30"/>
      <c r="AB13" s="30"/>
      <c r="AC13" s="30"/>
    </row>
    <row r="14">
      <c r="A14" s="30"/>
      <c r="B14" s="40">
        <v>6.0</v>
      </c>
      <c r="C14" s="40">
        <v>706.3</v>
      </c>
      <c r="D14" s="40">
        <v>10.0</v>
      </c>
      <c r="E14" s="51">
        <f t="shared" si="1"/>
        <v>10.81965</v>
      </c>
      <c r="F14" s="40">
        <v>14.72</v>
      </c>
      <c r="G14" s="40">
        <v>111.0</v>
      </c>
      <c r="H14" s="117">
        <v>103.0</v>
      </c>
      <c r="I14" s="46">
        <f t="shared" si="2"/>
        <v>6.530612245</v>
      </c>
      <c r="J14" s="45">
        <v>312.0</v>
      </c>
      <c r="K14" s="45">
        <v>340.0</v>
      </c>
      <c r="L14" s="111">
        <v>1438.0</v>
      </c>
      <c r="M14" s="112">
        <v>3.5</v>
      </c>
      <c r="N14" s="63"/>
      <c r="O14" s="40">
        <v>6.0</v>
      </c>
      <c r="P14" s="114">
        <f t="shared" si="3"/>
        <v>2.204793972</v>
      </c>
      <c r="Q14" s="46">
        <f t="shared" si="4"/>
        <v>3.948729276</v>
      </c>
      <c r="R14" s="51">
        <f t="shared" si="5"/>
        <v>0.5728018229</v>
      </c>
      <c r="S14" s="46">
        <f t="shared" si="6"/>
        <v>1.222826087</v>
      </c>
      <c r="T14" s="46">
        <f t="shared" si="7"/>
        <v>0.7367827004</v>
      </c>
      <c r="U14" s="46">
        <f t="shared" si="8"/>
        <v>0.9823769338</v>
      </c>
      <c r="V14" s="70">
        <f t="shared" si="9"/>
        <v>77.74365802</v>
      </c>
      <c r="W14" s="70">
        <f t="shared" si="10"/>
        <v>55.83553133</v>
      </c>
      <c r="X14" s="70">
        <f t="shared" si="11"/>
        <v>46.84246019</v>
      </c>
      <c r="Y14" s="30"/>
      <c r="Z14" s="30"/>
      <c r="AA14" s="30"/>
      <c r="AB14" s="30"/>
      <c r="AC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71"/>
      <c r="L15" s="30"/>
      <c r="M15" s="30"/>
      <c r="N15" s="30"/>
      <c r="O15" s="30"/>
      <c r="P15" s="30"/>
      <c r="S15" s="30"/>
      <c r="T15" s="30"/>
      <c r="U15" s="59" t="s">
        <v>53</v>
      </c>
      <c r="V15" s="72">
        <f t="shared" ref="V15:X15" si="12">AVERAGE(V9:V14)</f>
        <v>63.40383591</v>
      </c>
      <c r="W15" s="72">
        <f t="shared" si="12"/>
        <v>57.37026515</v>
      </c>
      <c r="X15" s="72">
        <f t="shared" si="12"/>
        <v>40.70672559</v>
      </c>
      <c r="Y15" s="30"/>
      <c r="Z15" s="30"/>
      <c r="AA15" s="30"/>
      <c r="AB15" s="30"/>
      <c r="AC15" s="30"/>
    </row>
    <row r="16">
      <c r="A16" s="30"/>
      <c r="B16" s="30"/>
      <c r="C16" s="30"/>
      <c r="D16" s="59"/>
      <c r="E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S16" s="30"/>
      <c r="T16" s="30"/>
      <c r="U16" s="59" t="s">
        <v>172</v>
      </c>
      <c r="V16" s="72">
        <f t="shared" ref="V16:X16" si="13">MAX(V9:V14)</f>
        <v>78.27782725</v>
      </c>
      <c r="W16" s="72">
        <f t="shared" si="13"/>
        <v>58.83931478</v>
      </c>
      <c r="X16" s="72">
        <f t="shared" si="13"/>
        <v>49.04207829</v>
      </c>
      <c r="Y16" s="30"/>
      <c r="Z16" s="30"/>
      <c r="AA16" s="30"/>
      <c r="AB16" s="30"/>
      <c r="AC16" s="30"/>
    </row>
    <row r="17">
      <c r="A17" s="30"/>
      <c r="B17" s="30"/>
      <c r="C17" s="30"/>
      <c r="D17" s="59"/>
      <c r="E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>
      <c r="A18" s="30"/>
      <c r="B18" s="29" t="s">
        <v>54</v>
      </c>
      <c r="C18" s="30"/>
      <c r="D18" s="59"/>
      <c r="E18" s="30"/>
      <c r="G18" s="30"/>
      <c r="H18" s="30"/>
      <c r="I18" s="30"/>
      <c r="J18" s="30"/>
      <c r="K18" s="30"/>
      <c r="L18" s="30"/>
      <c r="M18" s="30"/>
      <c r="N18" s="30"/>
      <c r="O18" s="30"/>
      <c r="P18" s="59"/>
      <c r="Q18" s="59"/>
      <c r="R18" s="59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>
      <c r="A19" s="30"/>
      <c r="B19" s="30"/>
      <c r="C19" s="30"/>
      <c r="D19" s="59"/>
      <c r="E19" s="30"/>
      <c r="G19" s="30"/>
      <c r="H19" s="30"/>
      <c r="I19" s="30"/>
      <c r="J19" s="30"/>
      <c r="K19" s="30"/>
      <c r="L19" s="30"/>
      <c r="M19" s="30"/>
      <c r="N19" s="30"/>
      <c r="O19" s="30"/>
      <c r="P19" s="59"/>
      <c r="Q19" s="6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>
      <c r="A20" s="30"/>
      <c r="B20" s="30"/>
      <c r="C20" s="30"/>
      <c r="E20" s="30"/>
      <c r="F20" s="5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>
      <c r="A21" s="30"/>
      <c r="B21" s="30"/>
      <c r="C21" s="30"/>
      <c r="D21" s="59"/>
      <c r="E21" s="30"/>
      <c r="F21" s="5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>
      <c r="A22" s="30"/>
      <c r="B22" s="30"/>
      <c r="C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>
      <c r="A23" s="30"/>
      <c r="B23" s="30"/>
      <c r="C23" s="30"/>
      <c r="D23" s="59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>
      <c r="A24" s="30"/>
      <c r="B24" s="30"/>
      <c r="C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>
      <c r="A25" s="30"/>
      <c r="B25" s="30"/>
      <c r="C25" s="30"/>
      <c r="D25" s="5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>
      <c r="A26" s="30"/>
      <c r="B26" s="30"/>
      <c r="C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>
      <c r="A27" s="30"/>
      <c r="B27" s="30"/>
      <c r="C27" s="30"/>
      <c r="D27" s="59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>
      <c r="A28" s="30"/>
      <c r="B28" s="30"/>
      <c r="C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</sheetData>
  <mergeCells count="17">
    <mergeCell ref="K7:K8"/>
    <mergeCell ref="L7:L8"/>
    <mergeCell ref="M7:M8"/>
    <mergeCell ref="O7:O8"/>
    <mergeCell ref="P7:P8"/>
    <mergeCell ref="Q7:Q8"/>
    <mergeCell ref="R7:R8"/>
    <mergeCell ref="S7:T7"/>
    <mergeCell ref="U7:U8"/>
    <mergeCell ref="V7:X7"/>
    <mergeCell ref="B2:X2"/>
    <mergeCell ref="B7:B8"/>
    <mergeCell ref="C7:C8"/>
    <mergeCell ref="D7:E7"/>
    <mergeCell ref="F7:F8"/>
    <mergeCell ref="G7:I7"/>
    <mergeCell ref="J7:J8"/>
  </mergeCells>
  <hyperlinks>
    <hyperlink display="&lt;-- Back to Index" location="Index!A1" ref="A1"/>
  </hyperlinks>
  <printOptions horizontalCentered="1" vertic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0"/>
    <col customWidth="1" min="3" max="3" width="7.88"/>
    <col customWidth="1" min="4" max="4" width="9.0"/>
    <col customWidth="1" min="5" max="10" width="8.63"/>
    <col customWidth="1" min="11" max="11" width="3.63"/>
  </cols>
  <sheetData>
    <row r="1">
      <c r="A1" s="28" t="s">
        <v>25</v>
      </c>
      <c r="B1" s="29"/>
      <c r="C1" s="30"/>
      <c r="D1" s="30"/>
      <c r="E1" s="30"/>
      <c r="F1" s="30"/>
      <c r="G1" s="30"/>
      <c r="H1" s="30"/>
      <c r="I1" s="30"/>
      <c r="J1" s="30"/>
      <c r="K1" s="30"/>
    </row>
    <row r="2">
      <c r="A2" s="30"/>
      <c r="B2" s="31" t="s">
        <v>175</v>
      </c>
      <c r="K2" s="30"/>
    </row>
    <row r="3">
      <c r="A3" s="30"/>
      <c r="B3" s="29"/>
      <c r="C3" s="30"/>
      <c r="D3" s="30"/>
      <c r="E3" s="30"/>
      <c r="F3" s="30"/>
      <c r="G3" s="30"/>
      <c r="H3" s="30"/>
      <c r="I3" s="30"/>
      <c r="J3" s="30"/>
      <c r="K3" s="30"/>
    </row>
    <row r="4">
      <c r="A4" s="30"/>
      <c r="B4" s="29"/>
      <c r="C4" s="30"/>
      <c r="D4" s="30"/>
      <c r="E4" s="30"/>
      <c r="F4" s="30"/>
      <c r="G4" s="30"/>
      <c r="H4" s="30"/>
      <c r="I4" s="30"/>
      <c r="J4" s="30"/>
      <c r="K4" s="30"/>
    </row>
    <row r="5">
      <c r="A5" s="30"/>
      <c r="B5" s="29" t="s">
        <v>56</v>
      </c>
      <c r="C5" s="30"/>
      <c r="D5" s="30"/>
      <c r="E5" s="30"/>
      <c r="F5" s="30"/>
      <c r="G5" s="30"/>
      <c r="H5" s="30"/>
      <c r="I5" s="30"/>
      <c r="J5" s="30"/>
      <c r="K5" s="30"/>
    </row>
    <row r="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</row>
    <row r="7" ht="26.25" customHeight="1">
      <c r="A7" s="30"/>
      <c r="B7" s="32" t="s">
        <v>28</v>
      </c>
      <c r="C7" s="36" t="s">
        <v>176</v>
      </c>
      <c r="D7" s="36" t="s">
        <v>177</v>
      </c>
      <c r="E7" s="64" t="s">
        <v>178</v>
      </c>
      <c r="F7" s="65" t="s">
        <v>179</v>
      </c>
      <c r="G7" s="65" t="s">
        <v>180</v>
      </c>
      <c r="H7" s="65" t="s">
        <v>181</v>
      </c>
      <c r="I7" s="118" t="s">
        <v>68</v>
      </c>
      <c r="J7" s="35"/>
      <c r="K7" s="30"/>
    </row>
    <row r="8">
      <c r="A8" s="30"/>
      <c r="B8" s="38"/>
      <c r="C8" s="38"/>
      <c r="D8" s="38"/>
      <c r="E8" s="67"/>
      <c r="F8" s="38"/>
      <c r="G8" s="38"/>
      <c r="H8" s="38"/>
      <c r="I8" s="78" t="s">
        <v>72</v>
      </c>
      <c r="J8" s="78" t="s">
        <v>74</v>
      </c>
      <c r="K8" s="30"/>
    </row>
    <row r="9">
      <c r="A9" s="30"/>
      <c r="B9" s="40">
        <v>1.0</v>
      </c>
      <c r="C9" s="51" t="s">
        <v>182</v>
      </c>
      <c r="D9" s="119"/>
      <c r="E9" s="120">
        <v>10.0</v>
      </c>
      <c r="F9" s="45">
        <v>2000.0</v>
      </c>
      <c r="G9" s="51">
        <f t="shared" ref="G9:G12" si="1">(E9*F9)/3240</f>
        <v>6.172839506</v>
      </c>
      <c r="H9" s="46"/>
      <c r="I9" s="121" t="str">
        <f>G20</f>
        <v/>
      </c>
      <c r="J9" s="121">
        <f>G22</f>
        <v>0.7042253521</v>
      </c>
      <c r="K9" s="30"/>
    </row>
    <row r="10">
      <c r="A10" s="30"/>
      <c r="B10" s="40">
        <v>2.0</v>
      </c>
      <c r="C10" s="51" t="s">
        <v>183</v>
      </c>
      <c r="D10" s="122">
        <v>1.0</v>
      </c>
      <c r="E10" s="120">
        <v>5.4</v>
      </c>
      <c r="F10" s="45">
        <v>2000.0</v>
      </c>
      <c r="G10" s="51">
        <f t="shared" si="1"/>
        <v>3.333333333</v>
      </c>
      <c r="H10" s="46">
        <f t="shared" ref="H10:H12" si="2">$G$9-G10</f>
        <v>2.839506173</v>
      </c>
      <c r="I10" s="123"/>
      <c r="J10" s="123"/>
      <c r="K10" s="30"/>
    </row>
    <row r="11">
      <c r="A11" s="30"/>
      <c r="B11" s="40">
        <v>3.0</v>
      </c>
      <c r="C11" s="51" t="s">
        <v>184</v>
      </c>
      <c r="D11" s="122">
        <v>2.0</v>
      </c>
      <c r="E11" s="120">
        <v>5.4</v>
      </c>
      <c r="F11" s="45">
        <v>2000.0</v>
      </c>
      <c r="G11" s="51">
        <f t="shared" si="1"/>
        <v>3.333333333</v>
      </c>
      <c r="H11" s="46">
        <f t="shared" si="2"/>
        <v>2.839506173</v>
      </c>
      <c r="I11" s="123"/>
      <c r="J11" s="123"/>
      <c r="K11" s="30"/>
    </row>
    <row r="12">
      <c r="A12" s="30"/>
      <c r="B12" s="40">
        <v>4.0</v>
      </c>
      <c r="C12" s="51" t="s">
        <v>185</v>
      </c>
      <c r="D12" s="122">
        <v>3.0</v>
      </c>
      <c r="E12" s="120">
        <v>5.0</v>
      </c>
      <c r="F12" s="45">
        <v>2000.0</v>
      </c>
      <c r="G12" s="51">
        <f t="shared" si="1"/>
        <v>3.086419753</v>
      </c>
      <c r="H12" s="46">
        <f t="shared" si="2"/>
        <v>3.086419753</v>
      </c>
      <c r="I12" s="38"/>
      <c r="J12" s="38"/>
      <c r="K12" s="30"/>
    </row>
    <row r="13">
      <c r="A13" s="30"/>
      <c r="B13" s="30"/>
      <c r="C13" s="30"/>
      <c r="D13" s="71"/>
      <c r="E13" s="30"/>
      <c r="G13" s="59" t="s">
        <v>186</v>
      </c>
      <c r="H13" s="101">
        <f>SUM(H9:H12)</f>
        <v>8.765432099</v>
      </c>
      <c r="I13" s="30"/>
      <c r="J13" s="30"/>
      <c r="K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>
      <c r="A15" s="30"/>
      <c r="B15" s="30"/>
      <c r="C15" s="59" t="s">
        <v>187</v>
      </c>
      <c r="D15" s="60">
        <f t="shared" ref="D15:D17" si="3">H10</f>
        <v>2.839506173</v>
      </c>
      <c r="G15" s="30"/>
      <c r="H15" s="30"/>
      <c r="I15" s="30"/>
      <c r="J15" s="30"/>
      <c r="K15" s="30"/>
    </row>
    <row r="16">
      <c r="A16" s="30"/>
      <c r="B16" s="29"/>
      <c r="C16" s="59" t="s">
        <v>188</v>
      </c>
      <c r="D16" s="124">
        <f t="shared" si="3"/>
        <v>2.839506173</v>
      </c>
      <c r="G16" s="59"/>
      <c r="H16" s="30"/>
      <c r="I16" s="30"/>
      <c r="J16" s="30"/>
      <c r="K16" s="30"/>
    </row>
    <row r="17">
      <c r="A17" s="30"/>
      <c r="B17" s="30"/>
      <c r="C17" s="59" t="s">
        <v>189</v>
      </c>
      <c r="D17" s="60">
        <f t="shared" si="3"/>
        <v>3.086419753</v>
      </c>
      <c r="G17" s="30"/>
      <c r="H17" s="30"/>
      <c r="I17" s="30"/>
      <c r="J17" s="30"/>
      <c r="K17" s="30"/>
    </row>
    <row r="18">
      <c r="A18" s="30"/>
      <c r="B18" s="30"/>
      <c r="C18" s="59" t="s">
        <v>190</v>
      </c>
      <c r="D18" s="60">
        <f>SUM(D15:D17)</f>
        <v>8.765432099</v>
      </c>
      <c r="F18" s="59" t="s">
        <v>191</v>
      </c>
      <c r="G18" s="30"/>
      <c r="H18" s="30"/>
      <c r="I18" s="30"/>
      <c r="J18" s="30"/>
      <c r="K18" s="30"/>
    </row>
    <row r="19">
      <c r="A19" s="30"/>
      <c r="B19" s="30"/>
      <c r="C19" s="30"/>
      <c r="D19" s="30"/>
      <c r="G19" s="30"/>
      <c r="H19" s="30"/>
      <c r="I19" s="30"/>
      <c r="J19" s="30"/>
      <c r="K19" s="30"/>
    </row>
    <row r="20">
      <c r="A20" s="30"/>
      <c r="B20" s="30"/>
      <c r="C20" s="59" t="s">
        <v>192</v>
      </c>
      <c r="D20" s="60">
        <f>G9</f>
        <v>6.172839506</v>
      </c>
      <c r="F20" s="59" t="s">
        <v>193</v>
      </c>
      <c r="G20" s="30"/>
      <c r="H20" s="30"/>
      <c r="I20" s="30"/>
      <c r="J20" s="30"/>
      <c r="K20" s="30"/>
    </row>
    <row r="21">
      <c r="A21" s="30"/>
      <c r="B21" s="30"/>
      <c r="C21" s="30"/>
      <c r="D21" s="30"/>
      <c r="F21" s="30"/>
      <c r="G21" s="30"/>
      <c r="H21" s="30"/>
      <c r="I21" s="30"/>
      <c r="J21" s="30"/>
      <c r="K21" s="30"/>
    </row>
    <row r="22">
      <c r="A22" s="30"/>
      <c r="B22" s="30"/>
      <c r="C22" s="59" t="s">
        <v>194</v>
      </c>
      <c r="D22" s="60">
        <f>D18-D20</f>
        <v>2.592592593</v>
      </c>
      <c r="F22" s="59" t="s">
        <v>195</v>
      </c>
      <c r="G22" s="125">
        <f>D20/D18</f>
        <v>0.7042253521</v>
      </c>
      <c r="H22" s="30"/>
      <c r="I22" s="30"/>
      <c r="J22" s="30"/>
      <c r="K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>
      <c r="A24" s="30"/>
      <c r="B24" s="30"/>
      <c r="C24" s="30"/>
      <c r="D24" s="30"/>
      <c r="G24" s="30"/>
      <c r="H24" s="30"/>
      <c r="I24" s="30"/>
      <c r="J24" s="30"/>
      <c r="K24" s="30"/>
    </row>
    <row r="25">
      <c r="A25" s="30"/>
      <c r="B25" s="30"/>
      <c r="C25" s="30"/>
      <c r="D25" s="30"/>
      <c r="G25" s="30"/>
      <c r="H25" s="30"/>
      <c r="I25" s="30"/>
      <c r="J25" s="30"/>
      <c r="K25" s="30"/>
    </row>
  </sheetData>
  <mergeCells count="11">
    <mergeCell ref="H7:H8"/>
    <mergeCell ref="I7:J7"/>
    <mergeCell ref="I9:I12"/>
    <mergeCell ref="J9:J12"/>
    <mergeCell ref="B2:J2"/>
    <mergeCell ref="B7:B8"/>
    <mergeCell ref="C7:C8"/>
    <mergeCell ref="D7:D8"/>
    <mergeCell ref="E7:E8"/>
    <mergeCell ref="F7:F8"/>
    <mergeCell ref="G7:G8"/>
  </mergeCells>
  <hyperlinks>
    <hyperlink display="&lt;-- Back to Index" location="Index!A1" ref="A1"/>
  </hyperlinks>
  <printOptions horizontalCentered="1" verticalCentered="1"/>
  <pageMargins bottom="0.75" footer="0.0" header="0.0" left="0.7" right="0.7" top="0.75"/>
  <pageSetup fitToHeight="0" paperSize="9" cellComments="atEnd" orientation="portrait" pageOrder="overThenDown"/>
  <drawing r:id="rId1"/>
</worksheet>
</file>