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DM 2024\Zenodo files\2024-NCD-RisC-diabetes-1.0\data\"/>
    </mc:Choice>
  </mc:AlternateContent>
  <xr:revisionPtr revIDLastSave="0" documentId="13_ncr:1_{97D27037-90AB-4C6A-A114-16D8EB0098FF}" xr6:coauthVersionLast="47" xr6:coauthVersionMax="47" xr10:uidLastSave="{00000000-0000-0000-0000-000000000000}"/>
  <bookViews>
    <workbookView xWindow="-120" yWindow="-120" windowWidth="29040" windowHeight="17640" xr2:uid="{4EAD9CDF-2A05-41F3-A188-712FAB0AA4E3}"/>
  </bookViews>
  <sheets>
    <sheet name="Codebook" sheetId="1" r:id="rId1"/>
    <sheet name="Survey metadata" sheetId="2" r:id="rId2"/>
    <sheet name="Survey data" sheetId="3" r:id="rId3"/>
  </sheets>
  <definedNames>
    <definedName name="_xlnm._FilterDatabase" localSheetId="2" hidden="1">'Survey data'!$A$1:$R$1936</definedName>
    <definedName name="_xlnm._FilterDatabase" localSheetId="1" hidden="1">'Survey metadata'!$A$1:$K$1139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09" i="2" l="1"/>
  <c r="K1106" i="2"/>
  <c r="K1105" i="2"/>
  <c r="K1104" i="2"/>
  <c r="K1103" i="2"/>
  <c r="K1102" i="2"/>
  <c r="K1101" i="2"/>
  <c r="K1099" i="2"/>
  <c r="K1098" i="2"/>
  <c r="K1097" i="2"/>
  <c r="K1095" i="2"/>
  <c r="K1092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3" i="2"/>
  <c r="K1066" i="2"/>
  <c r="K1065" i="2"/>
  <c r="K1063" i="2"/>
  <c r="K1060" i="2"/>
  <c r="K1059" i="2"/>
  <c r="K1058" i="2"/>
  <c r="K1055" i="2"/>
  <c r="K1054" i="2"/>
  <c r="K1053" i="2"/>
  <c r="K1051" i="2"/>
  <c r="K1050" i="2"/>
  <c r="K1049" i="2"/>
  <c r="K1048" i="2"/>
  <c r="K1047" i="2"/>
  <c r="K1046" i="2"/>
  <c r="K1045" i="2"/>
  <c r="K1044" i="2"/>
  <c r="K1043" i="2"/>
  <c r="K1041" i="2"/>
  <c r="K1040" i="2"/>
  <c r="K1039" i="2"/>
  <c r="K1038" i="2"/>
  <c r="K1036" i="2"/>
  <c r="K1034" i="2"/>
  <c r="K1033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76" i="2"/>
  <c r="K970" i="2"/>
  <c r="K969" i="2"/>
  <c r="K968" i="2"/>
  <c r="K967" i="2"/>
  <c r="K966" i="2"/>
  <c r="K965" i="2"/>
  <c r="K964" i="2"/>
  <c r="K963" i="2"/>
  <c r="K960" i="2"/>
  <c r="K959" i="2"/>
  <c r="K958" i="2"/>
  <c r="K957" i="2"/>
  <c r="K956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3" i="2"/>
  <c r="K921" i="2"/>
  <c r="K920" i="2"/>
  <c r="K918" i="2"/>
  <c r="K917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7" i="2"/>
  <c r="K896" i="2"/>
  <c r="K895" i="2"/>
  <c r="K894" i="2"/>
  <c r="K893" i="2"/>
  <c r="K890" i="2"/>
  <c r="K889" i="2"/>
  <c r="K888" i="2"/>
  <c r="K887" i="2"/>
  <c r="K886" i="2"/>
  <c r="K885" i="2"/>
  <c r="K884" i="2"/>
  <c r="K883" i="2"/>
  <c r="K882" i="2"/>
  <c r="K881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49" i="2"/>
  <c r="K848" i="2"/>
  <c r="K847" i="2"/>
  <c r="K846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0" i="2"/>
  <c r="K819" i="2"/>
  <c r="K818" i="2"/>
  <c r="K817" i="2"/>
  <c r="K816" i="2"/>
  <c r="K814" i="2"/>
  <c r="K813" i="2"/>
  <c r="K812" i="2"/>
  <c r="K811" i="2"/>
  <c r="K809" i="2"/>
  <c r="K808" i="2"/>
  <c r="K807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1" i="2"/>
  <c r="K780" i="2"/>
  <c r="K779" i="2"/>
  <c r="K778" i="2"/>
  <c r="K777" i="2"/>
  <c r="K776" i="2"/>
  <c r="K775" i="2"/>
  <c r="K773" i="2"/>
  <c r="K772" i="2"/>
  <c r="K770" i="2"/>
  <c r="K769" i="2"/>
  <c r="K768" i="2"/>
  <c r="K767" i="2"/>
  <c r="K766" i="2"/>
  <c r="K765" i="2"/>
  <c r="K764" i="2"/>
  <c r="K763" i="2"/>
  <c r="K761" i="2"/>
  <c r="K756" i="2"/>
  <c r="K755" i="2"/>
  <c r="K754" i="2"/>
  <c r="K753" i="2"/>
  <c r="K752" i="2"/>
  <c r="K748" i="2"/>
  <c r="K747" i="2"/>
  <c r="K746" i="2"/>
  <c r="K745" i="2"/>
  <c r="K744" i="2"/>
  <c r="K740" i="2"/>
  <c r="K739" i="2"/>
  <c r="K737" i="2"/>
  <c r="K733" i="2"/>
  <c r="K732" i="2"/>
  <c r="K731" i="2"/>
  <c r="K730" i="2"/>
  <c r="K729" i="2"/>
  <c r="K728" i="2"/>
  <c r="K727" i="2"/>
  <c r="K724" i="2"/>
  <c r="K722" i="2"/>
  <c r="K721" i="2"/>
  <c r="K720" i="2"/>
  <c r="K719" i="2"/>
  <c r="K714" i="2"/>
  <c r="K707" i="2"/>
  <c r="K706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6" i="2"/>
  <c r="K675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5" i="2"/>
  <c r="K394" i="2"/>
  <c r="K393" i="2"/>
  <c r="K392" i="2"/>
  <c r="K391" i="2"/>
  <c r="K389" i="2"/>
  <c r="K388" i="2"/>
  <c r="K387" i="2"/>
  <c r="K386" i="2"/>
  <c r="K385" i="2"/>
  <c r="K384" i="2"/>
  <c r="K383" i="2"/>
  <c r="K382" i="2"/>
  <c r="K381" i="2"/>
  <c r="K380" i="2"/>
  <c r="K377" i="2"/>
  <c r="K376" i="2"/>
  <c r="K374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1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37" i="2"/>
  <c r="K235" i="2"/>
  <c r="K234" i="2"/>
  <c r="K231" i="2"/>
  <c r="K230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5" i="2"/>
  <c r="K174" i="2"/>
  <c r="K173" i="2"/>
  <c r="K172" i="2"/>
  <c r="K171" i="2"/>
  <c r="K170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5" i="2"/>
  <c r="K123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5" i="2"/>
  <c r="K54" i="2"/>
  <c r="K52" i="2"/>
  <c r="K49" i="2"/>
  <c r="K48" i="2"/>
  <c r="K45" i="2"/>
  <c r="K44" i="2"/>
  <c r="K38" i="2"/>
  <c r="K37" i="2"/>
  <c r="K36" i="2"/>
  <c r="K35" i="2"/>
  <c r="K34" i="2"/>
  <c r="K33" i="2"/>
  <c r="K32" i="2"/>
  <c r="K31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7" i="2"/>
  <c r="K6" i="2"/>
  <c r="K4" i="2"/>
  <c r="K3" i="2"/>
</calcChain>
</file>

<file path=xl/sharedStrings.xml><?xml version="1.0" encoding="utf-8"?>
<sst xmlns="http://schemas.openxmlformats.org/spreadsheetml/2006/main" count="22603" uniqueCount="2502">
  <si>
    <t>iso</t>
  </si>
  <si>
    <t>id_study</t>
  </si>
  <si>
    <t>urban_rural</t>
  </si>
  <si>
    <t>sex</t>
  </si>
  <si>
    <t>age</t>
  </si>
  <si>
    <t>mid_year</t>
  </si>
  <si>
    <t>survey_type</t>
  </si>
  <si>
    <t>Country</t>
  </si>
  <si>
    <t>Region</t>
  </si>
  <si>
    <t>Superregion</t>
  </si>
  <si>
    <t>AFG</t>
  </si>
  <si>
    <t>AFG_2018_STEPS</t>
  </si>
  <si>
    <t>both</t>
  </si>
  <si>
    <t>National</t>
  </si>
  <si>
    <t>Afghanistan</t>
  </si>
  <si>
    <t>South Asia</t>
  </si>
  <si>
    <t>ARE</t>
  </si>
  <si>
    <t>ARE_2018_STEPS</t>
  </si>
  <si>
    <t>United Arab Emirates</t>
  </si>
  <si>
    <t>Middle East and north Africa</t>
  </si>
  <si>
    <t>Central Asia, Middle East and north Africa</t>
  </si>
  <si>
    <t>ARG</t>
  </si>
  <si>
    <t>ARG_2018_ENFR</t>
  </si>
  <si>
    <t>Argentina</t>
  </si>
  <si>
    <t>Southern Latin America</t>
  </si>
  <si>
    <t>Latin America and the Caribbean</t>
  </si>
  <si>
    <t>ARM</t>
  </si>
  <si>
    <t>ARM_2016_STEPS</t>
  </si>
  <si>
    <t>Armenia</t>
  </si>
  <si>
    <t>Central Asia</t>
  </si>
  <si>
    <t>ASM</t>
  </si>
  <si>
    <t>ASM_2004_STEPS</t>
  </si>
  <si>
    <t>American Samoa</t>
  </si>
  <si>
    <t>Polynesia and Micronesia</t>
  </si>
  <si>
    <t>Oceania</t>
  </si>
  <si>
    <t>AZE</t>
  </si>
  <si>
    <t>AZE_2017_STEPS</t>
  </si>
  <si>
    <t>Azerbaijan</t>
  </si>
  <si>
    <t>BEN</t>
  </si>
  <si>
    <t>BEN_2007_STEPS</t>
  </si>
  <si>
    <t>urban</t>
  </si>
  <si>
    <t>Community</t>
  </si>
  <si>
    <t>Benin</t>
  </si>
  <si>
    <t>West Africa</t>
  </si>
  <si>
    <t>Sub-Saharan Africa</t>
  </si>
  <si>
    <t>BEN_2008_STEPS</t>
  </si>
  <si>
    <t>BEN_2015_STEPS</t>
  </si>
  <si>
    <t>BFA</t>
  </si>
  <si>
    <t>BFA_2013_STEPS</t>
  </si>
  <si>
    <t>Burkina Faso</t>
  </si>
  <si>
    <t>BFA_2021_STEPS</t>
  </si>
  <si>
    <t>BGD</t>
  </si>
  <si>
    <t>BGD_2006_UHS</t>
  </si>
  <si>
    <t>Subnational</t>
  </si>
  <si>
    <t>Bangladesh</t>
  </si>
  <si>
    <t>BGD_2011_DHS</t>
  </si>
  <si>
    <t>BGD_2018_DHS</t>
  </si>
  <si>
    <t>BGD_2018_STEPS</t>
  </si>
  <si>
    <t>BHS</t>
  </si>
  <si>
    <t>BHS_2019_STEPS</t>
  </si>
  <si>
    <t>Bahamas</t>
  </si>
  <si>
    <t>The Caribbean</t>
  </si>
  <si>
    <t>BLR</t>
  </si>
  <si>
    <t>BLR_2017_STEPS</t>
  </si>
  <si>
    <t>Belarus</t>
  </si>
  <si>
    <t>Eastern Europe</t>
  </si>
  <si>
    <t>Central and eastern Europe</t>
  </si>
  <si>
    <t>BLR_2020_STEPS</t>
  </si>
  <si>
    <t>BRA</t>
  </si>
  <si>
    <t>BRA_2013_PNS</t>
  </si>
  <si>
    <t>Brazil</t>
  </si>
  <si>
    <t>BTN</t>
  </si>
  <si>
    <t>BTN_2007_STEPS</t>
  </si>
  <si>
    <t>Bhutan</t>
  </si>
  <si>
    <t>BTN_2014_STEPS</t>
  </si>
  <si>
    <t>BTN_2019_STEPS</t>
  </si>
  <si>
    <t>BWA</t>
  </si>
  <si>
    <t>BWA_2014_STEPS</t>
  </si>
  <si>
    <t>Botswana</t>
  </si>
  <si>
    <t>Central and southern Africa</t>
  </si>
  <si>
    <t>CAF</t>
  </si>
  <si>
    <t>CAF_2010_STEPS</t>
  </si>
  <si>
    <t>Central African Republic</t>
  </si>
  <si>
    <t>CHL</t>
  </si>
  <si>
    <t>CHL_2003_ENS</t>
  </si>
  <si>
    <t>Chile</t>
  </si>
  <si>
    <t>CHL_2010_ENS</t>
  </si>
  <si>
    <t>CHL_2016_ENS</t>
  </si>
  <si>
    <t>COK</t>
  </si>
  <si>
    <t>COK_2014_STEPS</t>
  </si>
  <si>
    <t>Cook Islands</t>
  </si>
  <si>
    <t>COM</t>
  </si>
  <si>
    <t>COM_2011_STEPS</t>
  </si>
  <si>
    <t>Comoros</t>
  </si>
  <si>
    <t>East Africa</t>
  </si>
  <si>
    <t>CPV</t>
  </si>
  <si>
    <t>CPV_2007_STEPS</t>
  </si>
  <si>
    <t>Cabo Verde</t>
  </si>
  <si>
    <t>CPV_2020_STEPS</t>
  </si>
  <si>
    <t>DMA</t>
  </si>
  <si>
    <t>DMA_2008_STEPS</t>
  </si>
  <si>
    <t>Dominica</t>
  </si>
  <si>
    <t>DZA</t>
  </si>
  <si>
    <t>DZA_2003_STEPS</t>
  </si>
  <si>
    <t>Algeria</t>
  </si>
  <si>
    <t>DZA_2017_STEPS</t>
  </si>
  <si>
    <t>ECU</t>
  </si>
  <si>
    <t>ECU_2012_ENSANUT</t>
  </si>
  <si>
    <t>Ecuador</t>
  </si>
  <si>
    <t>Andean Latin America</t>
  </si>
  <si>
    <t>ECU_2018_STEPS</t>
  </si>
  <si>
    <t>EGY</t>
  </si>
  <si>
    <t>EGY_2005_STEPS</t>
  </si>
  <si>
    <t>Egypt</t>
  </si>
  <si>
    <t>EGY_2011_STEPS</t>
  </si>
  <si>
    <t>EGY_2017_STEPS</t>
  </si>
  <si>
    <t>ERI</t>
  </si>
  <si>
    <t>ERI_2010_STEPS</t>
  </si>
  <si>
    <t>Eritrea</t>
  </si>
  <si>
    <t>ETH</t>
  </si>
  <si>
    <t>ETH_2015_STEPS</t>
  </si>
  <si>
    <t>Ethiopia</t>
  </si>
  <si>
    <t>FJI</t>
  </si>
  <si>
    <t>FJI_2002_STEPS</t>
  </si>
  <si>
    <t>Fiji</t>
  </si>
  <si>
    <t>Melanesia</t>
  </si>
  <si>
    <t>FJI_2011_STEPS</t>
  </si>
  <si>
    <t>FSM</t>
  </si>
  <si>
    <t>FSM_2002_STEPS_pohnpei</t>
  </si>
  <si>
    <t>Federated States of Micronesia</t>
  </si>
  <si>
    <t>FSM_2006_STEPS_chuuk</t>
  </si>
  <si>
    <t>FSM_2008_STEPS_pohnpei</t>
  </si>
  <si>
    <t>FSM_2009_STEPS_kosrae</t>
  </si>
  <si>
    <t>FSM_2009_STEPS_yap</t>
  </si>
  <si>
    <t>GEO</t>
  </si>
  <si>
    <t>GEO_2010_STEPS</t>
  </si>
  <si>
    <t>Georgia</t>
  </si>
  <si>
    <t>GEO_2016_STEPS</t>
  </si>
  <si>
    <t>GHA</t>
  </si>
  <si>
    <t>GHA_2006_STEPS</t>
  </si>
  <si>
    <t>Ghana</t>
  </si>
  <si>
    <t>GIN</t>
  </si>
  <si>
    <t>GIN_2009_STEPS</t>
  </si>
  <si>
    <t>Guinea</t>
  </si>
  <si>
    <t>GTM</t>
  </si>
  <si>
    <t>GTM_2015_STEPS</t>
  </si>
  <si>
    <t>Guatemala</t>
  </si>
  <si>
    <t>Central Latin America</t>
  </si>
  <si>
    <t>GUY</t>
  </si>
  <si>
    <t>GUY_2016_STEPS</t>
  </si>
  <si>
    <t>Guyana</t>
  </si>
  <si>
    <t>IND</t>
  </si>
  <si>
    <t>IND_2021_STEPS</t>
  </si>
  <si>
    <t>India</t>
  </si>
  <si>
    <t>IRQ</t>
  </si>
  <si>
    <t>IRQ_2015_STEPS</t>
  </si>
  <si>
    <t>Iraq</t>
  </si>
  <si>
    <t>JOR</t>
  </si>
  <si>
    <t>JOR_2019_STEPS</t>
  </si>
  <si>
    <t>Jordan</t>
  </si>
  <si>
    <t>KEN</t>
  </si>
  <si>
    <t>KEN_2015_STEPS</t>
  </si>
  <si>
    <t>Kenya</t>
  </si>
  <si>
    <t>KGZ</t>
  </si>
  <si>
    <t>KGZ_2013_STEPS</t>
  </si>
  <si>
    <t>Kyrgyzstan</t>
  </si>
  <si>
    <t>KHM</t>
  </si>
  <si>
    <t>KHM_2010_STEPS</t>
  </si>
  <si>
    <t>Cambodia</t>
  </si>
  <si>
    <t>Southeast Asia</t>
  </si>
  <si>
    <t>East and southeast Asia and the Pacific</t>
  </si>
  <si>
    <t>KHM_2023_STEPS</t>
  </si>
  <si>
    <t>KIR</t>
  </si>
  <si>
    <t>KIR_2004_STEPS</t>
  </si>
  <si>
    <t>Kiribati</t>
  </si>
  <si>
    <t>KIR_2016_STEPS</t>
  </si>
  <si>
    <t>KWT</t>
  </si>
  <si>
    <t>KWT_2006_STEPS</t>
  </si>
  <si>
    <t>Kuwait</t>
  </si>
  <si>
    <t>KWT_2014_STEPS</t>
  </si>
  <si>
    <t>LAO</t>
  </si>
  <si>
    <t>LAO_2013_STEPS</t>
  </si>
  <si>
    <t>Lao PDR</t>
  </si>
  <si>
    <t>LBN</t>
  </si>
  <si>
    <t>LBN_2017_STEPS</t>
  </si>
  <si>
    <t>Lebanon</t>
  </si>
  <si>
    <t>LBR</t>
  </si>
  <si>
    <t>LBR_2011_STEPS</t>
  </si>
  <si>
    <t>Liberia</t>
  </si>
  <si>
    <t>LBR_2022_STEPS</t>
  </si>
  <si>
    <t>LBY</t>
  </si>
  <si>
    <t>LBY_2009_STEPS</t>
  </si>
  <si>
    <t>Libya</t>
  </si>
  <si>
    <t>LCA</t>
  </si>
  <si>
    <t>LCA_2012_STEPS</t>
  </si>
  <si>
    <t>Saint Lucia</t>
  </si>
  <si>
    <t>LCA_2020_STEPS</t>
  </si>
  <si>
    <t>LKA</t>
  </si>
  <si>
    <t>LKA_2014_STEPS</t>
  </si>
  <si>
    <t>Sri Lanka</t>
  </si>
  <si>
    <t>LKA_2021_STEPS</t>
  </si>
  <si>
    <t>LSO</t>
  </si>
  <si>
    <t>LSO_2012_STEPS</t>
  </si>
  <si>
    <t>Lesotho</t>
  </si>
  <si>
    <t>MAR</t>
  </si>
  <si>
    <t>MAR_2017_STEPS</t>
  </si>
  <si>
    <t>Morocco</t>
  </si>
  <si>
    <t>MDA</t>
  </si>
  <si>
    <t>MDA_2013_STEPS</t>
  </si>
  <si>
    <t>Moldova</t>
  </si>
  <si>
    <t>MDA_2021_STEPS</t>
  </si>
  <si>
    <t>MDV</t>
  </si>
  <si>
    <t>MDV_2021_STEPS</t>
  </si>
  <si>
    <t>Maldives</t>
  </si>
  <si>
    <t>MEX</t>
  </si>
  <si>
    <t>MEX_2011_ENNViH</t>
  </si>
  <si>
    <t>Mexico</t>
  </si>
  <si>
    <t>MEX_2012_MHAS</t>
  </si>
  <si>
    <t>MEX_2016_ENSANUT</t>
  </si>
  <si>
    <t>MHL</t>
  </si>
  <si>
    <t>MHL_2002_STEPS</t>
  </si>
  <si>
    <t>Marshall Islands</t>
  </si>
  <si>
    <t>MHL_2018_STEPS</t>
  </si>
  <si>
    <t>MLI</t>
  </si>
  <si>
    <t>MLI_2013_STEPS</t>
  </si>
  <si>
    <t>Mali</t>
  </si>
  <si>
    <t>MNG</t>
  </si>
  <si>
    <t>MNG_2005_STEPS</t>
  </si>
  <si>
    <t>Mongolia</t>
  </si>
  <si>
    <t>MNG_2009_STEPS</t>
  </si>
  <si>
    <t>MNG_2013_STEPS</t>
  </si>
  <si>
    <t>MNG_2019_STEPS</t>
  </si>
  <si>
    <t>MRT</t>
  </si>
  <si>
    <t>MRT_2006_STEPS</t>
  </si>
  <si>
    <t>Mauritania</t>
  </si>
  <si>
    <t>MWI</t>
  </si>
  <si>
    <t>MWI_2009_STEPS</t>
  </si>
  <si>
    <t>Malawi</t>
  </si>
  <si>
    <t>MWI_2017_STEPS</t>
  </si>
  <si>
    <t>NAM</t>
  </si>
  <si>
    <t>NAM_2013_DHS</t>
  </si>
  <si>
    <t>Namibia</t>
  </si>
  <si>
    <t>NER</t>
  </si>
  <si>
    <t>NER_2021_STEPS</t>
  </si>
  <si>
    <t>Niger</t>
  </si>
  <si>
    <t>NPL</t>
  </si>
  <si>
    <t>NPL_2013_STEPS</t>
  </si>
  <si>
    <t>Nepal</t>
  </si>
  <si>
    <t>NPL_2019_STEPS</t>
  </si>
  <si>
    <t>NRU</t>
  </si>
  <si>
    <t>NRU_2015_STEPS</t>
  </si>
  <si>
    <t>Nauru</t>
  </si>
  <si>
    <t>OMN</t>
  </si>
  <si>
    <t>OMN_2017_STEPS</t>
  </si>
  <si>
    <t>Oman</t>
  </si>
  <si>
    <t>PHL</t>
  </si>
  <si>
    <t>PHL_2005_CLHNS-Child</t>
  </si>
  <si>
    <t>Philippines</t>
  </si>
  <si>
    <t>PHL_2005_CLHNS-Mom</t>
  </si>
  <si>
    <t>PLW</t>
  </si>
  <si>
    <t>PLW_2012_STEPS</t>
  </si>
  <si>
    <t>Palau</t>
  </si>
  <si>
    <t>PLW_2016_STEPS</t>
  </si>
  <si>
    <t>PSE</t>
  </si>
  <si>
    <t>PSE_2010_STEPS</t>
  </si>
  <si>
    <t>State of Palestine</t>
  </si>
  <si>
    <t>PSE_2022_STEPS</t>
  </si>
  <si>
    <t>PYF</t>
  </si>
  <si>
    <t>PYF_2010_STEPS</t>
  </si>
  <si>
    <t>French Polynesia</t>
  </si>
  <si>
    <t>QAT</t>
  </si>
  <si>
    <t>QAT_2012_STEPS</t>
  </si>
  <si>
    <t>Qatar</t>
  </si>
  <si>
    <t>RWA</t>
  </si>
  <si>
    <t>RWA_2012_STEPS</t>
  </si>
  <si>
    <t>Rwanda</t>
  </si>
  <si>
    <t>RWA_2021_STEPS</t>
  </si>
  <si>
    <t>SDN</t>
  </si>
  <si>
    <t>SDN_2016_STEPS</t>
  </si>
  <si>
    <t>Sudan</t>
  </si>
  <si>
    <t>SLB</t>
  </si>
  <si>
    <t>SLB_2006_STEPS</t>
  </si>
  <si>
    <t>Solomon Islands</t>
  </si>
  <si>
    <t>SLB_2015_STEPS</t>
  </si>
  <si>
    <t>SLV</t>
  </si>
  <si>
    <t>SLV_2015_ENECA</t>
  </si>
  <si>
    <t>El Salvador</t>
  </si>
  <si>
    <t>STP</t>
  </si>
  <si>
    <t>STP_2019_STEPS</t>
  </si>
  <si>
    <t>Sao Tome and Principe</t>
  </si>
  <si>
    <t>SWZ</t>
  </si>
  <si>
    <t>SWZ_2014_STEPS</t>
  </si>
  <si>
    <t>Eswatini</t>
  </si>
  <si>
    <t>TGO</t>
  </si>
  <si>
    <t>TGO_2010_STEPS</t>
  </si>
  <si>
    <t>Togo</t>
  </si>
  <si>
    <t>TGO_2022_STEPS</t>
  </si>
  <si>
    <t>TJK</t>
  </si>
  <si>
    <t>TJK_2016_STEPS</t>
  </si>
  <si>
    <t>Tajikistan</t>
  </si>
  <si>
    <t>TKL</t>
  </si>
  <si>
    <t>TKL_2005_STEPS</t>
  </si>
  <si>
    <t>Tokelau</t>
  </si>
  <si>
    <t>TKL_2014_STEPS</t>
  </si>
  <si>
    <t>TKM</t>
  </si>
  <si>
    <t>TKM_2013_STEPS</t>
  </si>
  <si>
    <t>Turkmenistan</t>
  </si>
  <si>
    <t>TKM_2018_STEPS</t>
  </si>
  <si>
    <t>TLS</t>
  </si>
  <si>
    <t>TLS_2014_STEPS</t>
  </si>
  <si>
    <t>Timor-Leste</t>
  </si>
  <si>
    <t>TON</t>
  </si>
  <si>
    <t>TON_2004_STEPS</t>
  </si>
  <si>
    <t>Tonga</t>
  </si>
  <si>
    <t>TON_2011_STEPS</t>
  </si>
  <si>
    <t>TTO</t>
  </si>
  <si>
    <t>TTO_2011_STEPS</t>
  </si>
  <si>
    <t>Trinidad and Tobago</t>
  </si>
  <si>
    <t>TUR</t>
  </si>
  <si>
    <t>TUR_2017_STEPS</t>
  </si>
  <si>
    <t>Turkiye</t>
  </si>
  <si>
    <t>TUV</t>
  </si>
  <si>
    <t>TUV_2015_STEPS</t>
  </si>
  <si>
    <t>Tuvalu</t>
  </si>
  <si>
    <t>TZA</t>
  </si>
  <si>
    <t>TZA_2011_STEPS</t>
  </si>
  <si>
    <t>Tanzania</t>
  </si>
  <si>
    <t>TZA_2012_STEPS</t>
  </si>
  <si>
    <t>UGA</t>
  </si>
  <si>
    <t>UGA_2014_STEPS</t>
  </si>
  <si>
    <t>Uganda</t>
  </si>
  <si>
    <t>UGA_2023_STEPS</t>
  </si>
  <si>
    <t>UKR</t>
  </si>
  <si>
    <t>UKR_2019_STEPS</t>
  </si>
  <si>
    <t>Ukraine</t>
  </si>
  <si>
    <t>URY</t>
  </si>
  <si>
    <t>URY_2013_STEPS</t>
  </si>
  <si>
    <t>Uruguay</t>
  </si>
  <si>
    <t>USA</t>
  </si>
  <si>
    <t>USA_1978_NHANES</t>
  </si>
  <si>
    <t>United States of America</t>
  </si>
  <si>
    <t>High-income English-speaking countries</t>
  </si>
  <si>
    <t>High-income western</t>
  </si>
  <si>
    <t>USA_1991_NHANES</t>
  </si>
  <si>
    <t>USA_2000_NHANES</t>
  </si>
  <si>
    <t>USA_2002_NHANES</t>
  </si>
  <si>
    <t>USA_2004_NHANES</t>
  </si>
  <si>
    <t>USA_2006_NHANES</t>
  </si>
  <si>
    <t>USA_2008_NHANES</t>
  </si>
  <si>
    <t>USA_2010_NHANES</t>
  </si>
  <si>
    <t>USA_2012_NHANES</t>
  </si>
  <si>
    <t>USA_2014_NHANES</t>
  </si>
  <si>
    <t>USA_2016_NHANES</t>
  </si>
  <si>
    <t>USA_2018_NHANES</t>
  </si>
  <si>
    <t>USA_2019_NHANES</t>
  </si>
  <si>
    <t>UZB</t>
  </si>
  <si>
    <t>UZB_2014_STEPS</t>
  </si>
  <si>
    <t>Uzbekistan</t>
  </si>
  <si>
    <t>UZB_2019_STEPS</t>
  </si>
  <si>
    <t>VCT</t>
  </si>
  <si>
    <t>VCT_2014_STEPS</t>
  </si>
  <si>
    <t>Saint Vincent and the Grenadines</t>
  </si>
  <si>
    <t>VNM</t>
  </si>
  <si>
    <t>VNM_2009_STEPS</t>
  </si>
  <si>
    <t>Viet Nam</t>
  </si>
  <si>
    <t>VNM_2015_STEPS</t>
  </si>
  <si>
    <t>VNM_2021_STEPS</t>
  </si>
  <si>
    <t>VUT</t>
  </si>
  <si>
    <t>VUT_2011_STEPS</t>
  </si>
  <si>
    <t>Vanuatu</t>
  </si>
  <si>
    <t>WSM</t>
  </si>
  <si>
    <t>WSM_2002_STEPS</t>
  </si>
  <si>
    <t>Samoa</t>
  </si>
  <si>
    <t>ZMB</t>
  </si>
  <si>
    <t>ZMB_2008_STEPS</t>
  </si>
  <si>
    <t>Zambia</t>
  </si>
  <si>
    <t>ZMB_2017_STEPS</t>
  </si>
  <si>
    <t>Data years</t>
  </si>
  <si>
    <t>Survey/study name/citation</t>
  </si>
  <si>
    <t>2018</t>
  </si>
  <si>
    <t>STEPS</t>
  </si>
  <si>
    <t>18-69</t>
  </si>
  <si>
    <t>1993</t>
  </si>
  <si>
    <t>included in 'Survey data' tab</t>
  </si>
  <si>
    <t>AGO_2014_BENGO</t>
  </si>
  <si>
    <t>Angola</t>
  </si>
  <si>
    <t>2013-2014</t>
  </si>
  <si>
    <t>CardioBengo - Population based cardiovascular longitudinal study in Bengo Province, Angola</t>
  </si>
  <si>
    <t>18-65</t>
  </si>
  <si>
    <t>ARE_2000_ENDCAD</t>
  </si>
  <si>
    <t>1999-2000</t>
  </si>
  <si>
    <t>Emirates National Diabetes and Coronary Artery Disease Risk Factor Study</t>
  </si>
  <si>
    <t>20-80</t>
  </si>
  <si>
    <t>2017-2018</t>
  </si>
  <si>
    <t>18+</t>
  </si>
  <si>
    <t>ARG_2005_CARMELA</t>
  </si>
  <si>
    <t>2004-2005</t>
  </si>
  <si>
    <t>CArdiovascular Risk factors Multiple Evaluation in Latin America (CARMELA)</t>
  </si>
  <si>
    <t>25-64</t>
  </si>
  <si>
    <t>ARG_2012_CESCAS</t>
  </si>
  <si>
    <t>2011-2012</t>
  </si>
  <si>
    <t>CESCAS Study</t>
  </si>
  <si>
    <t>35-74</t>
  </si>
  <si>
    <t>Encuesta Nacional de Factores de Riesgo 2018</t>
  </si>
  <si>
    <t>2016</t>
  </si>
  <si>
    <t>ASM_1994_citMcGARVEY</t>
  </si>
  <si>
    <t>1994</t>
  </si>
  <si>
    <t>McGarvey, Pac Health Dialog 8(1):157-62, 2001</t>
  </si>
  <si>
    <t>29+</t>
  </si>
  <si>
    <t>2004</t>
  </si>
  <si>
    <t>AUS_1981_6036002</t>
  </si>
  <si>
    <t>Australia</t>
  </si>
  <si>
    <t>1981</t>
  </si>
  <si>
    <t>APCSC-Busselton</t>
  </si>
  <si>
    <t>25+</t>
  </si>
  <si>
    <t>AUS_1981_6036007</t>
  </si>
  <si>
    <t>Glatthaar et al., Med J Aust 143:436-40, 1985</t>
  </si>
  <si>
    <t>AUS_1983_RFPS</t>
  </si>
  <si>
    <t>1983</t>
  </si>
  <si>
    <t>Risk Factor Prevalence Study</t>
  </si>
  <si>
    <t>AUS_1989_DSAE</t>
  </si>
  <si>
    <t>1988-1989</t>
  </si>
  <si>
    <t>Dubbo Study of Australian Elderly</t>
  </si>
  <si>
    <t>59+</t>
  </si>
  <si>
    <t>AUS_2000_AusDiab</t>
  </si>
  <si>
    <t>The Australian Diabetes, Obesity and Lifestyle Study 1999-2000</t>
  </si>
  <si>
    <t>AUS_2001_NWAHS</t>
  </si>
  <si>
    <t>1999-2003</t>
  </si>
  <si>
    <t>North West Adelaide Health Study</t>
  </si>
  <si>
    <t>AUS_2005_AusDiab</t>
  </si>
  <si>
    <t>The Australian Diabetes, Obesity and Lifestyle Study 2004-2005</t>
  </si>
  <si>
    <t>30+</t>
  </si>
  <si>
    <t>AUS_2005_NWAHS</t>
  </si>
  <si>
    <t>2004-2006</t>
  </si>
  <si>
    <t>20+</t>
  </si>
  <si>
    <t>AUS_2009_NWAHS</t>
  </si>
  <si>
    <t>2008-2010</t>
  </si>
  <si>
    <t>24+</t>
  </si>
  <si>
    <t>AUS_2012_AusDiab</t>
  </si>
  <si>
    <t>2012</t>
  </si>
  <si>
    <t>The Australian Diabetes, Obesity and Lifestyle Study 2012</t>
  </si>
  <si>
    <t>37+</t>
  </si>
  <si>
    <t>AUS_2012_NHMS</t>
  </si>
  <si>
    <t>National Health Measure Survey</t>
  </si>
  <si>
    <t>AUT_1985_10040015</t>
  </si>
  <si>
    <t>Austria</t>
  </si>
  <si>
    <t>1985</t>
  </si>
  <si>
    <t>VHM&amp;PP; Ulmer et al., J Intern Med 261:566-76, 2007</t>
  </si>
  <si>
    <t>AUT_1991_CINDI</t>
  </si>
  <si>
    <t>1991</t>
  </si>
  <si>
    <t>CINDI survey Vorarlberg/Austria</t>
  </si>
  <si>
    <t>AUT_1992_VHMPP</t>
  </si>
  <si>
    <t>1992</t>
  </si>
  <si>
    <t>Vorarlberg Health Monitoring and Promotion Programme (VHM&amp;PP)</t>
  </si>
  <si>
    <t>AUT_1998_VHMPP</t>
  </si>
  <si>
    <t>1998</t>
  </si>
  <si>
    <t>AUT_1999_CINDI</t>
  </si>
  <si>
    <t>1998-1999</t>
  </si>
  <si>
    <t>AUT_2004_VHMPP</t>
  </si>
  <si>
    <t>AUT_2011_ASNS</t>
  </si>
  <si>
    <t>2010-2012</t>
  </si>
  <si>
    <t>Austrian Study on Nutritional Status 2012</t>
  </si>
  <si>
    <t>18-80</t>
  </si>
  <si>
    <t>2017</t>
  </si>
  <si>
    <t>BEL_1992_FLEMENGHO</t>
  </si>
  <si>
    <t>Belgium</t>
  </si>
  <si>
    <t>1991-1994</t>
  </si>
  <si>
    <t>Flemish Study on Environment, Genes and Health Outcomes</t>
  </si>
  <si>
    <t>rural</t>
  </si>
  <si>
    <t>26+</t>
  </si>
  <si>
    <t>BEL_2003_EMAS</t>
  </si>
  <si>
    <t>2003</t>
  </si>
  <si>
    <t>The European Male Ageing Study</t>
  </si>
  <si>
    <t>40+</t>
  </si>
  <si>
    <t>BEL_2007_FLEMENGHO</t>
  </si>
  <si>
    <t>2005-2008</t>
  </si>
  <si>
    <t>BEL_2007_FLEMENGHO2</t>
  </si>
  <si>
    <t>2006-2008</t>
  </si>
  <si>
    <t>BEL_2008_EMAS</t>
  </si>
  <si>
    <t>2008</t>
  </si>
  <si>
    <t>45+</t>
  </si>
  <si>
    <t>BEL_2011_FLEMENGHO</t>
  </si>
  <si>
    <t>2009-2013</t>
  </si>
  <si>
    <t>BEL_2013_FLEMENGHO</t>
  </si>
  <si>
    <t>2010-2015</t>
  </si>
  <si>
    <t>BEL_2018_EHES</t>
  </si>
  <si>
    <t>2018-2019</t>
  </si>
  <si>
    <t>Belgian Health Examination Survey</t>
  </si>
  <si>
    <t>2007</t>
  </si>
  <si>
    <t>2015</t>
  </si>
  <si>
    <t>2013</t>
  </si>
  <si>
    <t>2021</t>
  </si>
  <si>
    <t>BGD_2002_4050085</t>
  </si>
  <si>
    <t>2002</t>
  </si>
  <si>
    <t>Hussain et al., Diabet Med 22:931-6, 2005</t>
  </si>
  <si>
    <t>BGD_2002_4050086</t>
  </si>
  <si>
    <t>2006</t>
  </si>
  <si>
    <t>Urban Health Survey</t>
  </si>
  <si>
    <t>35-59</t>
  </si>
  <si>
    <t>2011</t>
  </si>
  <si>
    <t>Demographic and Health Survey Bangladesh 2011</t>
  </si>
  <si>
    <t>35+</t>
  </si>
  <si>
    <t>BGD_2012_CDRF</t>
  </si>
  <si>
    <t>Chronic Disease Risk Factor Study</t>
  </si>
  <si>
    <t>BGD_2016_DMagic</t>
  </si>
  <si>
    <t>Diabetes Mellitus: Action through community Groups or Health Information for better Control of population blood glucose, risk factors, knowledge and care seeking (DMagic)</t>
  </si>
  <si>
    <t>Demographic and Health Survey Bangladesh 2017-2018</t>
  </si>
  <si>
    <t>18-49</t>
  </si>
  <si>
    <t>BHR_2007_STEPS</t>
  </si>
  <si>
    <t>Bahrain</t>
  </si>
  <si>
    <t>20-64</t>
  </si>
  <si>
    <t>2019</t>
  </si>
  <si>
    <t>BIH_2012_NCDRFS_rural</t>
  </si>
  <si>
    <t>Bosnia and Herzegovina</t>
  </si>
  <si>
    <t>Non-communicable disease risk factor survey, Federation of B&amp;H</t>
  </si>
  <si>
    <t>BIH_2012_NCDRFS_urban</t>
  </si>
  <si>
    <t>2016-2017</t>
  </si>
  <si>
    <t>2020</t>
  </si>
  <si>
    <t>BLZ_2006_CAMDI</t>
  </si>
  <si>
    <t>Belize</t>
  </si>
  <si>
    <t>2005-2006</t>
  </si>
  <si>
    <t>CAMDI</t>
  </si>
  <si>
    <t>BOL_2006_citBayaBotti</t>
  </si>
  <si>
    <t>Bolivia</t>
  </si>
  <si>
    <t>2005-2007</t>
  </si>
  <si>
    <t>Cardiovascular and metabolic syndrome risk assessment of Bolivian school children and adolescents - Relationships to obesity, diabetes, income, food intake and physical activity</t>
  </si>
  <si>
    <t>18</t>
  </si>
  <si>
    <t>BRA_1991_14076013</t>
  </si>
  <si>
    <t>Fornes et al., Rev Saude Publica 36:12-8, 2002</t>
  </si>
  <si>
    <t>BRA_1992_14076010</t>
  </si>
  <si>
    <t>EPIDOSO; Ramos et al., Rev Saude Publica 32:397-407, 1998</t>
  </si>
  <si>
    <t>65+</t>
  </si>
  <si>
    <t>BRA_1997_Bambui</t>
  </si>
  <si>
    <t>1996-1997</t>
  </si>
  <si>
    <t>The Bambui Cohort Study of Ageing</t>
  </si>
  <si>
    <t>BRA_2000_riogrande</t>
  </si>
  <si>
    <t>Prevalence of Risk Factors for Coronary Artery Disease in the State of Rio Grande do Sul</t>
  </si>
  <si>
    <t>BRA_2003_14076009</t>
  </si>
  <si>
    <t>Marquezine et al., Int J Cardiol 129:259-65, 2004</t>
  </si>
  <si>
    <t>BRA_2004_CAJUVDG</t>
  </si>
  <si>
    <t>Caju &amp; Virgen das Gracas</t>
  </si>
  <si>
    <t>BRA_2004_RibeiraPreto</t>
  </si>
  <si>
    <t>2002-2004</t>
  </si>
  <si>
    <t>1978-1979 Ribeira Preto Birth Cohort</t>
  </si>
  <si>
    <t>22-25</t>
  </si>
  <si>
    <t>BRA_2004_SPAH</t>
  </si>
  <si>
    <t>2003-2005</t>
  </si>
  <si>
    <t>Sao Paulo Health and Ageing Study</t>
  </si>
  <si>
    <t>BRA_2005_HOB</t>
  </si>
  <si>
    <t>Hearts of Brazil</t>
  </si>
  <si>
    <t>BRA_2008_Bambui</t>
  </si>
  <si>
    <t>71+</t>
  </si>
  <si>
    <t>BRA_2008_CAJUVDG</t>
  </si>
  <si>
    <t>BRA_2010_SP</t>
  </si>
  <si>
    <t>2010</t>
  </si>
  <si>
    <t>San Pedro</t>
  </si>
  <si>
    <t>BRA_2012_PBC93</t>
  </si>
  <si>
    <t>The 1993 Pelotas (Brazil) Birth Cohort: 18 years follow-up</t>
  </si>
  <si>
    <t>18-19</t>
  </si>
  <si>
    <t>BRA_2013_BHS</t>
  </si>
  <si>
    <t>Baependi Heart Study</t>
  </si>
  <si>
    <t>BRA_2013_PBC-30</t>
  </si>
  <si>
    <t>2012-2013</t>
  </si>
  <si>
    <t>The 1982 Pelotas (Brazil) Birth Cohort: 30 years follow-up</t>
  </si>
  <si>
    <t>30</t>
  </si>
  <si>
    <t>Pesquisas Nacional de Saude</t>
  </si>
  <si>
    <t>BRA_2013_riogrande</t>
  </si>
  <si>
    <t>2011-2014</t>
  </si>
  <si>
    <t>Profile of Risk Factors for Coronary Arterial Disease in Rio Grade do Sul - Revaluation After 10 Years</t>
  </si>
  <si>
    <t>BRA_2015_Alagoas</t>
  </si>
  <si>
    <t>2014-2015</t>
  </si>
  <si>
    <t>II Diagnóstico de Saúde da População Materno-Infantil do Estado de Alagoas</t>
  </si>
  <si>
    <t>19-49</t>
  </si>
  <si>
    <t>BRA_2015_EPIFLORIPA</t>
  </si>
  <si>
    <t>EpiFloripa Cohort Study of Ageing - Wave 2, Clinical and Laboratory Exams</t>
  </si>
  <si>
    <t>63+</t>
  </si>
  <si>
    <t>BRA_2015_EPIFLORIPAADULT</t>
  </si>
  <si>
    <t>EpiFloripa Adults Cohort Study</t>
  </si>
  <si>
    <t>25-65</t>
  </si>
  <si>
    <t>BRA_2015_OPS</t>
  </si>
  <si>
    <t>2015-2016</t>
  </si>
  <si>
    <t>The Ouro Preto Study</t>
  </si>
  <si>
    <t>BRB_1992_7052008</t>
  </si>
  <si>
    <t>Barbados</t>
  </si>
  <si>
    <t>Foster et al., Ethn Dis 3:404-12, 1993</t>
  </si>
  <si>
    <t>BRB_2000_BISED II</t>
  </si>
  <si>
    <t>1997-2002</t>
  </si>
  <si>
    <t>The Barbados Incidence Studies of Eye Diseases II</t>
  </si>
  <si>
    <t>40-59</t>
  </si>
  <si>
    <t>BRB_2012_HotN</t>
  </si>
  <si>
    <t>2011-2013</t>
  </si>
  <si>
    <t>Health of the Nation (HotN)</t>
  </si>
  <si>
    <t>BRN_2011_NHANSS</t>
  </si>
  <si>
    <t>Brunei Darussalam</t>
  </si>
  <si>
    <t>2010-2011</t>
  </si>
  <si>
    <t>National Health And Nutritional Status Survey (NHANSS)</t>
  </si>
  <si>
    <t>20-75</t>
  </si>
  <si>
    <t>BRN_2016_NNCDS</t>
  </si>
  <si>
    <t>National Non-Communicable Diseases Survey (NNCDS)</t>
  </si>
  <si>
    <t>25-74</t>
  </si>
  <si>
    <t>2014</t>
  </si>
  <si>
    <t>CAN_1994_11574443</t>
  </si>
  <si>
    <t>Canada</t>
  </si>
  <si>
    <t>1993-1995</t>
  </si>
  <si>
    <t>Kriska et al., Diabetes Care 24:1787-92, 2001</t>
  </si>
  <si>
    <t>18-35</t>
  </si>
  <si>
    <t>CAN_1996_CaMos</t>
  </si>
  <si>
    <t>1995-1997</t>
  </si>
  <si>
    <t>Canadian Multicentre Osteoporosis Study (CaMos) - Adult Baseline</t>
  </si>
  <si>
    <t>CAN_2007_CaMos</t>
  </si>
  <si>
    <t>Canadian Multicentre Osteoporosis Study (CaMos) - Adult Year 10 follow-up</t>
  </si>
  <si>
    <t>CAN_2008_CHMS</t>
  </si>
  <si>
    <t>2007-2009</t>
  </si>
  <si>
    <t>Canadian Health Measures Survey, Cycle 1</t>
  </si>
  <si>
    <t>18-79</t>
  </si>
  <si>
    <t>CAN_2010_CHMS</t>
  </si>
  <si>
    <t>2009-2011</t>
  </si>
  <si>
    <t>Canadian Health Measures Survey, Cycle 2</t>
  </si>
  <si>
    <t>CAN_2013_CHMS</t>
  </si>
  <si>
    <t>Canadian Health Measures Survey, Cycle 3</t>
  </si>
  <si>
    <t>CAN_2015_CHMS</t>
  </si>
  <si>
    <t>Canadian Health Measures Survey, Cycle 4</t>
  </si>
  <si>
    <t>CAN_2017_CHMS</t>
  </si>
  <si>
    <t>Canadian Health Measures Survey, Cycle 5</t>
  </si>
  <si>
    <t>CAN_2019_CHMS</t>
  </si>
  <si>
    <t>Canadian Health Measures Survey, Cycle 6</t>
  </si>
  <si>
    <t>CHE_2005_BSS</t>
  </si>
  <si>
    <t>Switzerland</t>
  </si>
  <si>
    <t>2005</t>
  </si>
  <si>
    <t>Bus Santé Study</t>
  </si>
  <si>
    <t>74</t>
  </si>
  <si>
    <t>CHE_2005_CoLaus</t>
  </si>
  <si>
    <t>2003-2006</t>
  </si>
  <si>
    <t>Cohorte Lausannoise</t>
  </si>
  <si>
    <t>35-75</t>
  </si>
  <si>
    <t>CHE_2006_BSS</t>
  </si>
  <si>
    <t>CHE_2007_BSS</t>
  </si>
  <si>
    <t>CHE_2008_BSS</t>
  </si>
  <si>
    <t>CHE_2009_BSS</t>
  </si>
  <si>
    <t>2009</t>
  </si>
  <si>
    <t>CHE_2010_BSS</t>
  </si>
  <si>
    <t>CHE_2011_BSS</t>
  </si>
  <si>
    <t>CHE_2011_CoLaus</t>
  </si>
  <si>
    <t>2009-2012</t>
  </si>
  <si>
    <t>40-75</t>
  </si>
  <si>
    <t>CHE_2012_BSS</t>
  </si>
  <si>
    <t>CHE_2013_BSS</t>
  </si>
  <si>
    <t>CHE_2014_BSS</t>
  </si>
  <si>
    <t>CHE_2015_BSS</t>
  </si>
  <si>
    <t>CHE_2016_BSS</t>
  </si>
  <si>
    <t>CHE_2016_CoLaus</t>
  </si>
  <si>
    <t>2014-2017</t>
  </si>
  <si>
    <t>45-87</t>
  </si>
  <si>
    <t>CHE_2017_BSS</t>
  </si>
  <si>
    <t>CHE_2018_BSS</t>
  </si>
  <si>
    <t>CHE_2019_BSS</t>
  </si>
  <si>
    <t>CHE_2020_CoLaus</t>
  </si>
  <si>
    <t>2018-2021</t>
  </si>
  <si>
    <t>49-90</t>
  </si>
  <si>
    <t>CHL_1988_CHS</t>
  </si>
  <si>
    <t>1988</t>
  </si>
  <si>
    <t>Chilean Health Study</t>
  </si>
  <si>
    <t>CHL_1993_citMiquel</t>
  </si>
  <si>
    <t>1992-1993</t>
  </si>
  <si>
    <t>Miquel et al., Gastroenterology 115(4):937-46, 1998</t>
  </si>
  <si>
    <t>CHL_2000_citNervi</t>
  </si>
  <si>
    <t>2000</t>
  </si>
  <si>
    <t>Nervi et al., J Hepatol 45(2):299-305, 2006</t>
  </si>
  <si>
    <t>Encuesta Nacional de Salud</t>
  </si>
  <si>
    <t>CHL_2005_CARMELA</t>
  </si>
  <si>
    <t>2009-2010</t>
  </si>
  <si>
    <t>CHL_2012_CESCAS</t>
  </si>
  <si>
    <t>CHN_1992_APCSC-Anzhen02</t>
  </si>
  <si>
    <t>China</t>
  </si>
  <si>
    <t>Anzhen 02 Cohort Study</t>
  </si>
  <si>
    <t>34-65</t>
  </si>
  <si>
    <t>CHN_1992_APCSC-Fangshan</t>
  </si>
  <si>
    <t>1991-1992</t>
  </si>
  <si>
    <t>Fangshan Cohort Study</t>
  </si>
  <si>
    <t>34-86</t>
  </si>
  <si>
    <t>CHN_1996_CRFPS</t>
  </si>
  <si>
    <t>1995-1996</t>
  </si>
  <si>
    <t>Hong Kong Cardiovascular Risk Factor Prevalence Study 1995-1996</t>
  </si>
  <si>
    <t>CHN_1997_3156004</t>
  </si>
  <si>
    <t>1997</t>
  </si>
  <si>
    <t>DECODA; DECODA Study Group, Diabetes Care 26:1770-80, 2003</t>
  </si>
  <si>
    <t>30-89</t>
  </si>
  <si>
    <t>CHN_2001_InterASIA</t>
  </si>
  <si>
    <t>2000-2001</t>
  </si>
  <si>
    <t>The International Collaborative Study of Cardiovascular Disease in Asia</t>
  </si>
  <si>
    <t>CHN_2003_3156032</t>
  </si>
  <si>
    <t>Fan et al., World J Gastroenterol 14:2418-24, 2008</t>
  </si>
  <si>
    <t>CHN_2003_3156040</t>
  </si>
  <si>
    <t>Wu, et al., Prev Med 51:412-5, 2010</t>
  </si>
  <si>
    <t>15+</t>
  </si>
  <si>
    <t>CHN_2004_3156081</t>
  </si>
  <si>
    <t>Tian et al., Diabets Res Clin Pract 84:273-8, 2009</t>
  </si>
  <si>
    <t>CHN_2005_3156027</t>
  </si>
  <si>
    <t>Zhi et al., Chin Med Sci J 23:249-52, 2008</t>
  </si>
  <si>
    <t>CHN_2005_XCAS</t>
  </si>
  <si>
    <t>Xinjiang Children and Adolescent Survey</t>
  </si>
  <si>
    <t>CHN_2006_BES</t>
  </si>
  <si>
    <t>Beijing Eye Study</t>
  </si>
  <si>
    <t>CHN_2006_QDCS</t>
  </si>
  <si>
    <t>Qingdao Diabetes Cohort Study</t>
  </si>
  <si>
    <t>CHN_2007_22078718</t>
  </si>
  <si>
    <t>2006-2007</t>
  </si>
  <si>
    <t>Fu et al., BMC Public Health 11:862, 2011</t>
  </si>
  <si>
    <t>18-64</t>
  </si>
  <si>
    <t>CHN_2007_HES</t>
  </si>
  <si>
    <t>Handan Eye Study</t>
  </si>
  <si>
    <t>CHN_2008_CLHLS</t>
  </si>
  <si>
    <t>2008-2009</t>
  </si>
  <si>
    <t>Chinese Longitudinal Healthy Longevity Survey</t>
  </si>
  <si>
    <t>CHN_2009_CHNS</t>
  </si>
  <si>
    <t>China Health and Nutrition Study</t>
  </si>
  <si>
    <t>CHN_2009_QDCS</t>
  </si>
  <si>
    <t>37-78</t>
  </si>
  <si>
    <t>CHN_2010_CCDRFSrural</t>
  </si>
  <si>
    <t>China Noncommunicable Disease Surveillance</t>
  </si>
  <si>
    <t>CHN_2010_CCDRFSurban</t>
  </si>
  <si>
    <t>CHN_2010_CKD</t>
  </si>
  <si>
    <t>China National Survey of Chronic Kidney Disease</t>
  </si>
  <si>
    <t>CHN_2011_BES</t>
  </si>
  <si>
    <t>50+</t>
  </si>
  <si>
    <t>CHN_2011_CHARLS</t>
  </si>
  <si>
    <t>China Health and Retirement Longitudinal Study (CHARLS), baseline survey</t>
  </si>
  <si>
    <t>CHN_2012_CLHLS</t>
  </si>
  <si>
    <t>CHN_2012_CNNHS</t>
  </si>
  <si>
    <t>2010-2013</t>
  </si>
  <si>
    <t>China National Nutrition and Health Survey</t>
  </si>
  <si>
    <t>CHN_2014_CLHLS</t>
  </si>
  <si>
    <t>CHN_2015_ACDNS</t>
  </si>
  <si>
    <t>China Adult Chronic Disease and Nutrition Surveillance</t>
  </si>
  <si>
    <t>CHN_2015_Children97</t>
  </si>
  <si>
    <t>2013-2017</t>
  </si>
  <si>
    <t>Children of 1997 Birth Cohort- Biobank Clinical Follow-up</t>
  </si>
  <si>
    <t>18-20</t>
  </si>
  <si>
    <t>CHN_2016_Henan</t>
  </si>
  <si>
    <t>2015-2017</t>
  </si>
  <si>
    <t>Henan Rural Cohort</t>
  </si>
  <si>
    <t>CHN_2016_INTERMAPICP</t>
  </si>
  <si>
    <t>INTERMAP China Prospective (ICP) Study</t>
  </si>
  <si>
    <t>40-79</t>
  </si>
  <si>
    <t>CHN_2017_FAMILY</t>
  </si>
  <si>
    <t>2016-2018</t>
  </si>
  <si>
    <t>The FAMILY Cohort</t>
  </si>
  <si>
    <t>CHN_2018_CLHLS</t>
  </si>
  <si>
    <t>CMR_1999_ENHIP_rural</t>
  </si>
  <si>
    <t>Cameroon</t>
  </si>
  <si>
    <t>Essential Non-communicable disease Health Intervention Project (ENHIP)</t>
  </si>
  <si>
    <t>CMR_1999_ENHIP_urban</t>
  </si>
  <si>
    <t>CMR_2000_21120007</t>
  </si>
  <si>
    <t>Defining the relationship between poverty and non-communicable disease burden in Cameroon: Preliminary report; Infobase 101051a1</t>
  </si>
  <si>
    <t>CMR_2007_CAMBOD2</t>
  </si>
  <si>
    <t>Cameroon Burden of Diabetes - Second Survey</t>
  </si>
  <si>
    <t>CMR_2014_CKDDschang</t>
  </si>
  <si>
    <t>Prevalence and determinants of chronic kidney disease in rural and urban Cameroonians: A cross-sectional study</t>
  </si>
  <si>
    <t>CMR_2015_FarNorth</t>
  </si>
  <si>
    <t>Cardiovascular risk factors screening in urban and rural areas in the Far-North Region Cameroon</t>
  </si>
  <si>
    <t>CMR_2018_CKDNorth</t>
  </si>
  <si>
    <t>Prevalence and determinants of chronic kidney disease in urban adults' populations of northern Cameroon</t>
  </si>
  <si>
    <t>COD_2007_GluKisantu</t>
  </si>
  <si>
    <t>DR Congo</t>
  </si>
  <si>
    <t>Diabetes and intermediate hyperglycaemia in Kisantu, DR Congo: a cross-sectional prevalence study</t>
  </si>
  <si>
    <t>COD_2017_PRFCKD</t>
  </si>
  <si>
    <t>Prevalence and Risk Factors of CKD in South Kivu, Democratic Republic of Congo: A Large-Scale Population Study</t>
  </si>
  <si>
    <t>COG_2019_Diabetesprev</t>
  </si>
  <si>
    <t>Congo</t>
  </si>
  <si>
    <t>Diabetes prevalence and risk factors</t>
  </si>
  <si>
    <t>19+</t>
  </si>
  <si>
    <t>2013-2015</t>
  </si>
  <si>
    <t>COK_2022_STEPS</t>
  </si>
  <si>
    <t>2022</t>
  </si>
  <si>
    <t>COL_2001_12170019</t>
  </si>
  <si>
    <t>Colombia</t>
  </si>
  <si>
    <t>2001</t>
  </si>
  <si>
    <t>CINDI/CARMEN-Bucaramaga; Bautista et al., Eur J Cardiovasc Prev Rehabil 13:769-75, 2006</t>
  </si>
  <si>
    <t>COL_2005_CARMELA</t>
  </si>
  <si>
    <t>COL_2007_ENS</t>
  </si>
  <si>
    <t>COL_2010_STEPS</t>
  </si>
  <si>
    <t>COL_2015_STEPS</t>
  </si>
  <si>
    <t>COL_2016_SABE</t>
  </si>
  <si>
    <t>The Survey on Health, Well-Being, and Aging in Latin America and the Caribbean (SABE)</t>
  </si>
  <si>
    <t>60+</t>
  </si>
  <si>
    <t>CRI_1988_12188010</t>
  </si>
  <si>
    <t>Costa Rica</t>
  </si>
  <si>
    <t>Campos et al., Circulation 85:648-58, 1992</t>
  </si>
  <si>
    <t>20-65</t>
  </si>
  <si>
    <t>CRI_1988_12188080</t>
  </si>
  <si>
    <t>CRI_2000_12188007</t>
  </si>
  <si>
    <t>Ministerio de Salud, 2003</t>
  </si>
  <si>
    <t>CRI_2004_CAMDI</t>
  </si>
  <si>
    <t>CRI_2005_CRELES</t>
  </si>
  <si>
    <t>Costa Rican Longevity and Healthy Aging Study Pre-1945 Cohort Wave 1</t>
  </si>
  <si>
    <t>CRI_2007_CRELES</t>
  </si>
  <si>
    <t>Costa Rican Longevity and Healthy Aging Study Pre-1945 Cohort Wave 2</t>
  </si>
  <si>
    <t>62+</t>
  </si>
  <si>
    <t>CRI_2010_CRFS</t>
  </si>
  <si>
    <t>Costa Rican National Cardiovascular Risk Factors Survey, 2010</t>
  </si>
  <si>
    <t>CRI_2011_CRELES</t>
  </si>
  <si>
    <t>Costa Rican Longevity and Healthy Aging Study 1945-1955 Cohort Wave 1</t>
  </si>
  <si>
    <t>54-66</t>
  </si>
  <si>
    <t>CRI_2014_CRFS</t>
  </si>
  <si>
    <t>Costa Rican National Cardiovascular Risk Factors Survey, 2014</t>
  </si>
  <si>
    <t>CRI_2018_CRFS</t>
  </si>
  <si>
    <t>Costa Rican National Cardiovascular Risk Factors Survey, 2018</t>
  </si>
  <si>
    <t>CUB_2010_NSRFCD</t>
  </si>
  <si>
    <t>Cuba</t>
  </si>
  <si>
    <t>National Survey on Risk Factors and Chronic Diseases (NSRFCD)</t>
  </si>
  <si>
    <t>CUB_2011_Cienfuegos</t>
  </si>
  <si>
    <t>Noncommunicable disease risk factors in Cienfuegos</t>
  </si>
  <si>
    <t>18-74</t>
  </si>
  <si>
    <t>CUB_2019_ENS</t>
  </si>
  <si>
    <t>2018-2020</t>
  </si>
  <si>
    <t>Encuesta nacional de salud Cuba 2018-2022 (ENS)</t>
  </si>
  <si>
    <t>CZE_1981_8203008</t>
  </si>
  <si>
    <t>Czechia</t>
  </si>
  <si>
    <t>Machova et al., Cas Lek Cesk 143:90-3, 2004; Site 1</t>
  </si>
  <si>
    <t>CZE_1981_8203009</t>
  </si>
  <si>
    <t>Machova et al., Cas Lek Cesk 143:90-3, 2004; Site 2</t>
  </si>
  <si>
    <t>CZE_1998_postMONICA</t>
  </si>
  <si>
    <t>1997-1998</t>
  </si>
  <si>
    <t>Czech post-MONICA</t>
  </si>
  <si>
    <t>CZE_2001_postMONICA</t>
  </si>
  <si>
    <t>CZE_2004_HAPIEE</t>
  </si>
  <si>
    <t>2002-2005</t>
  </si>
  <si>
    <t>Health, Alcohol and Psychosocial Factors In Eastern Europe</t>
  </si>
  <si>
    <t>45-70</t>
  </si>
  <si>
    <t>CZE_2008_postMONICA</t>
  </si>
  <si>
    <t>2006-2009</t>
  </si>
  <si>
    <t>CZE_2015_EHES</t>
  </si>
  <si>
    <t>European Heath Examination Survey</t>
  </si>
  <si>
    <t>CZE_2017_MONICA</t>
  </si>
  <si>
    <t>2015-2018</t>
  </si>
  <si>
    <t>CZE_2020_EHES</t>
  </si>
  <si>
    <t>2019-2020</t>
  </si>
  <si>
    <t>CZE_2021_ELSPAC</t>
  </si>
  <si>
    <t>2019-2022</t>
  </si>
  <si>
    <t>CELSPAC: YA (The Central European Longitudinal Studies of Parents and Children: Young Adults)</t>
  </si>
  <si>
    <t>27-30</t>
  </si>
  <si>
    <t>DEU_2001_ESTHER</t>
  </si>
  <si>
    <t>Germany</t>
  </si>
  <si>
    <t>2000-2002</t>
  </si>
  <si>
    <t>Epidemiological study of the chances of prevention, early recognition and optimal treatment of chronic diseases in an elderly population (ESTHER)</t>
  </si>
  <si>
    <t>50-75</t>
  </si>
  <si>
    <t>DEU_2002_EMIL</t>
  </si>
  <si>
    <t>Echinoccoccus Multilocularis and Internal Diseases in Leutkirch</t>
  </si>
  <si>
    <t>DEU_2002_HNRS</t>
  </si>
  <si>
    <t>2000-2003</t>
  </si>
  <si>
    <t>Heinz Nixdorf Recall Study</t>
  </si>
  <si>
    <t>45-75</t>
  </si>
  <si>
    <t>DEU_2004_SHIP</t>
  </si>
  <si>
    <t>2002-2006</t>
  </si>
  <si>
    <t>Study of Health in Pomerania (SHIP-START-1) 5-year follow-up</t>
  </si>
  <si>
    <t>25-85</t>
  </si>
  <si>
    <t>DEU_2007_HNRS</t>
  </si>
  <si>
    <t>50-80</t>
  </si>
  <si>
    <t>DEU_2009_ESTHER</t>
  </si>
  <si>
    <t>2008-2011</t>
  </si>
  <si>
    <t>58-84</t>
  </si>
  <si>
    <t>DEU_2010_DEGS1</t>
  </si>
  <si>
    <t>German Health Interview and Examination Survey for Adults 2008-11 (DEGS1)</t>
  </si>
  <si>
    <t>DEU_2010_SHIP</t>
  </si>
  <si>
    <t>2008-2012</t>
  </si>
  <si>
    <t>Study of Health in Pomerania (SHIP-START-2) 11-year follow-up</t>
  </si>
  <si>
    <t>31-81</t>
  </si>
  <si>
    <t>DEU_2010_SHIPTREND</t>
  </si>
  <si>
    <t>Study of Health in Pomerania, second cohort (SHIP-TREND-0)</t>
  </si>
  <si>
    <t>20-79</t>
  </si>
  <si>
    <t>DEU_2013_HNRS</t>
  </si>
  <si>
    <t>56-85</t>
  </si>
  <si>
    <t>DEU_2015_SHIP</t>
  </si>
  <si>
    <t>2014-2016</t>
  </si>
  <si>
    <t>Study of Health in Pomerania (SHIP-START-3) 16-year follow-up</t>
  </si>
  <si>
    <t>37-87</t>
  </si>
  <si>
    <t>DEU_2017_SHIPTREND</t>
  </si>
  <si>
    <t>2016-2019</t>
  </si>
  <si>
    <t>Study of Health in Pomerania, second cohort (SHIP-TREND-1) 8-year follow-up</t>
  </si>
  <si>
    <t>28-90</t>
  </si>
  <si>
    <t>2007-2008</t>
  </si>
  <si>
    <t>DNK_2008_DANHES</t>
  </si>
  <si>
    <t>Denmark</t>
  </si>
  <si>
    <t>The Danish Health Examination Survey 2007-2008</t>
  </si>
  <si>
    <t>DNK_2010_EYHS</t>
  </si>
  <si>
    <t>European Youth Heart Study</t>
  </si>
  <si>
    <t>18-28</t>
  </si>
  <si>
    <t>DNK_2016_CGPS2</t>
  </si>
  <si>
    <t>Copenhagen General Population Study</t>
  </si>
  <si>
    <t>20-90</t>
  </si>
  <si>
    <t>DNK_2017_CGPS2</t>
  </si>
  <si>
    <t>DNK_2018_CGPS2</t>
  </si>
  <si>
    <t>DNK_2019_CGPS2</t>
  </si>
  <si>
    <t>DNK_2021_CGPS2</t>
  </si>
  <si>
    <t>2020-2021</t>
  </si>
  <si>
    <t>DNK_2022_CGPS2</t>
  </si>
  <si>
    <t>2022-2023</t>
  </si>
  <si>
    <t>DOM_1997_EFRICARD</t>
  </si>
  <si>
    <t>Dominican Republic</t>
  </si>
  <si>
    <t>1996-1998</t>
  </si>
  <si>
    <t>Estudio factores de riesgo cardiovascular y sindrome metabolico en la Republica Dominicana I (EFRICARD I)</t>
  </si>
  <si>
    <t>18-75</t>
  </si>
  <si>
    <t>DOM_2011_EFRICARDII</t>
  </si>
  <si>
    <t>Estudio factores de riesgo cardiovascular y sindrome metabolico en la Republica Dominicana II (EFRICARD II)</t>
  </si>
  <si>
    <t>DZA_2001_15012061</t>
  </si>
  <si>
    <t>Temmar et al., J Hpertens 25:2218-26, 2007</t>
  </si>
  <si>
    <t>DZA_2005_TAHINA</t>
  </si>
  <si>
    <t>Transition and Health Impact in North Africa</t>
  </si>
  <si>
    <t>35-70</t>
  </si>
  <si>
    <t>DZA_2008_ISOR</t>
  </si>
  <si>
    <t>The ISOR (InSulino-resistance in ORan) Study</t>
  </si>
  <si>
    <t>30-64</t>
  </si>
  <si>
    <t>ECU_2005_CARMELA</t>
  </si>
  <si>
    <t>ECU_2010_SABE</t>
  </si>
  <si>
    <t>Encuesta Nacional de Salud y Nutrición (ENSANUT)</t>
  </si>
  <si>
    <t>18-59</t>
  </si>
  <si>
    <t>EGY_1995_15818047</t>
  </si>
  <si>
    <t>1995</t>
  </si>
  <si>
    <t>Herman et al., Diabet Med 12:1126-31, 1995</t>
  </si>
  <si>
    <t>EGY_2004_citMarzouk</t>
  </si>
  <si>
    <t>2003-2004</t>
  </si>
  <si>
    <t>Marzouk et al., Gut 56(8):1105-10, 2007</t>
  </si>
  <si>
    <t>EGY_2008_citMostafa</t>
  </si>
  <si>
    <t>Mostafa et al., Gut 59(8):1135-40, 2010</t>
  </si>
  <si>
    <t>ESP_1989_CAT</t>
  </si>
  <si>
    <t>Spain</t>
  </si>
  <si>
    <t>1989</t>
  </si>
  <si>
    <t>Cardiovascular Risk Factors Study in Catalonia</t>
  </si>
  <si>
    <t>ESP_1994_10724030</t>
  </si>
  <si>
    <t>DECODE; DECODE Study Group, Diabetes Care 26:61-9, 2003</t>
  </si>
  <si>
    <t>ESP_1996_10724028</t>
  </si>
  <si>
    <t>1996</t>
  </si>
  <si>
    <t>REGICOR Study; Masia et al., Rev Esp Cardiol 57:261-4, 2004</t>
  </si>
  <si>
    <t>ESP_1999_10724017</t>
  </si>
  <si>
    <t>1999</t>
  </si>
  <si>
    <t>The Asturias Study; Botas, et al., Diabet Med 20:904-8, 2003</t>
  </si>
  <si>
    <t>30-79</t>
  </si>
  <si>
    <t>ESP_2000_CORSAIB</t>
  </si>
  <si>
    <t>Factores de riesgo en las islas Baleares: Estudio CORSAIB</t>
  </si>
  <si>
    <t>ESP_2002_CHIS</t>
  </si>
  <si>
    <t>2001-2002</t>
  </si>
  <si>
    <t>Catalan Health Interview Survey</t>
  </si>
  <si>
    <t>ESP_2002_DINO</t>
  </si>
  <si>
    <t>2001-2003</t>
  </si>
  <si>
    <t>DIabetes, Nutrición y Obesidad en la población adulta de la Región de Murcia (DINO)</t>
  </si>
  <si>
    <t>ESP_2003_CDC</t>
  </si>
  <si>
    <t>2000-2005</t>
  </si>
  <si>
    <t>CDC of the Canary Islands</t>
  </si>
  <si>
    <t>ESP_2003_EMAS</t>
  </si>
  <si>
    <t>ESP_2004_citVIOQUE</t>
  </si>
  <si>
    <t>Vioque J et al., Obesity 16(3):664-70, 2008</t>
  </si>
  <si>
    <t>ESP_2004_RECCyL</t>
  </si>
  <si>
    <t>Cardiovascular Risk Study in Castilla y León (RECCyL)</t>
  </si>
  <si>
    <t>ESP_2004_REGICOR</t>
  </si>
  <si>
    <t>Registre Gironi del Cor (REGICOR)</t>
  </si>
  <si>
    <t>35-79</t>
  </si>
  <si>
    <t>ESP_2005_PREVICTUS</t>
  </si>
  <si>
    <t>PREVICTUS</t>
  </si>
  <si>
    <t>ESP_2006_10724060</t>
  </si>
  <si>
    <t>Lopez Suarez et al., Rev Esp Cardiol 61:1150-8, 2008</t>
  </si>
  <si>
    <t>ESP_2008_EMAS</t>
  </si>
  <si>
    <t>ESP_2008_HERMEX</t>
  </si>
  <si>
    <t>Harmonizing Equation of Risk in Mediterraneon countries EXtremadura (HERMEX)</t>
  </si>
  <si>
    <t>25-79</t>
  </si>
  <si>
    <t>ESP_2009_ENRICA</t>
  </si>
  <si>
    <t>Study on Nutrition and Cardiovascular Risk in Spain</t>
  </si>
  <si>
    <t>ESP_2009_RECCyL</t>
  </si>
  <si>
    <t>ESP_2014_RECCyL</t>
  </si>
  <si>
    <t>ESP_2015_ENRICA</t>
  </si>
  <si>
    <t>Study on Nutrition and Cardiovascular Risk in Spain (ENRICA)</t>
  </si>
  <si>
    <t>ESP_2017_ENRICASenior</t>
  </si>
  <si>
    <t>Estudio de Nutrición y Riesgo Cardiovascular en España (ENRICA)-Seniors cohort</t>
  </si>
  <si>
    <t>65-94</t>
  </si>
  <si>
    <t>ESP_2019_ENRICASenior</t>
  </si>
  <si>
    <t>65-95</t>
  </si>
  <si>
    <t>EST_1997_9233001</t>
  </si>
  <si>
    <t>Estonia</t>
  </si>
  <si>
    <t>SWESTONIA; Johansson et al., J Intern Med 252:551-60, 2002</t>
  </si>
  <si>
    <t>35-55</t>
  </si>
  <si>
    <t>EST_2003_EMAS</t>
  </si>
  <si>
    <t>EST_2008_EMAS</t>
  </si>
  <si>
    <t>FIN_1984_10246005</t>
  </si>
  <si>
    <t>Finland</t>
  </si>
  <si>
    <t>1984</t>
  </si>
  <si>
    <t>Tuomilehto et al., Diabetologia 29:611-5, 1986; Site 1</t>
  </si>
  <si>
    <t>65-84</t>
  </si>
  <si>
    <t>FIN_1984_10246037</t>
  </si>
  <si>
    <t>Tuomilehto et al., Diabetologia 29:611-5, 1986; Site 2</t>
  </si>
  <si>
    <t>FIN_1984_FINE</t>
  </si>
  <si>
    <t>Finland, Italy, Netherlands, Elderly (Fine-Finland)</t>
  </si>
  <si>
    <t>FIN_1986_YFS_rural</t>
  </si>
  <si>
    <t>1986</t>
  </si>
  <si>
    <t>Young Finns Study 1986</t>
  </si>
  <si>
    <t>18-24</t>
  </si>
  <si>
    <t>FIN_1986_YFS_urban</t>
  </si>
  <si>
    <t>FIN_1987_KIHD</t>
  </si>
  <si>
    <t>1984-1989</t>
  </si>
  <si>
    <t>Kuopio Ischaemic Heart Disease Risk Factor Study</t>
  </si>
  <si>
    <t>42-61</t>
  </si>
  <si>
    <t>FIN_1989_FINE</t>
  </si>
  <si>
    <t>70-89</t>
  </si>
  <si>
    <t>FIN_1991_Oulu35</t>
  </si>
  <si>
    <t>1990-1992</t>
  </si>
  <si>
    <t>Oulu 35 Study</t>
  </si>
  <si>
    <t>56-57</t>
  </si>
  <si>
    <t>FIN_1992_KIHD</t>
  </si>
  <si>
    <t>1991-1993</t>
  </si>
  <si>
    <t>46-65</t>
  </si>
  <si>
    <t>FIN_1997_NFBC66</t>
  </si>
  <si>
    <t>Northern Finland Birth Cohort 1966</t>
  </si>
  <si>
    <t>30-31</t>
  </si>
  <si>
    <t>FIN_1997_Oulu35</t>
  </si>
  <si>
    <t>60-63</t>
  </si>
  <si>
    <t>FIN_2000_KIHD</t>
  </si>
  <si>
    <t>1998-2001</t>
  </si>
  <si>
    <t>53-73</t>
  </si>
  <si>
    <t>FIN_2001_HS</t>
  </si>
  <si>
    <t>Health 2000 Survey</t>
  </si>
  <si>
    <t>FIN_2001_YFS_rural</t>
  </si>
  <si>
    <t>Young Finns Study 2001</t>
  </si>
  <si>
    <t>24-39</t>
  </si>
  <si>
    <t>FIN_2001_YFS_urban</t>
  </si>
  <si>
    <t>FIN_2002_Oulu45</t>
  </si>
  <si>
    <t>Oulu 45 Study</t>
  </si>
  <si>
    <t>55-58</t>
  </si>
  <si>
    <t>FIN_2003_HBCS</t>
  </si>
  <si>
    <t>2001-2004</t>
  </si>
  <si>
    <t>Helsinki Birth Cohort Study</t>
  </si>
  <si>
    <t>56-69</t>
  </si>
  <si>
    <t>FIN_2005_10246069</t>
  </si>
  <si>
    <t>Mantyselka et al., Rheumatology (Oxford) 47:1235-8, 2008</t>
  </si>
  <si>
    <t>30-65</t>
  </si>
  <si>
    <t>FIN_2007_KIHD</t>
  </si>
  <si>
    <t>60-81</t>
  </si>
  <si>
    <t>FIN_2007_Oulu35</t>
  </si>
  <si>
    <t>71-73</t>
  </si>
  <si>
    <t>FIN_2007_YFS_rural</t>
  </si>
  <si>
    <t>Young Finns Study 2007</t>
  </si>
  <si>
    <t>30-45</t>
  </si>
  <si>
    <t>FIN_2007_YFS_urban</t>
  </si>
  <si>
    <t>FIN_2008_Athletes</t>
  </si>
  <si>
    <t>Control group for Finnish male former elite athletes</t>
  </si>
  <si>
    <t>61+</t>
  </si>
  <si>
    <t>FIN_2008_Savi</t>
  </si>
  <si>
    <t>Savitaipale Study, 10-year Follow-up</t>
  </si>
  <si>
    <t>51-75</t>
  </si>
  <si>
    <t>FIN_2011_YFS_rural</t>
  </si>
  <si>
    <t>Young Finns Study 2011</t>
  </si>
  <si>
    <t>34-49</t>
  </si>
  <si>
    <t>FIN_2011_YFS_urban</t>
  </si>
  <si>
    <t>FIN_2012_HS</t>
  </si>
  <si>
    <t>Health 2011 Survey</t>
  </si>
  <si>
    <t>FIN_2012_NFBC66</t>
  </si>
  <si>
    <t>45-47</t>
  </si>
  <si>
    <t>FIN_2017_FinHealth</t>
  </si>
  <si>
    <t>The FinHealth Survey</t>
  </si>
  <si>
    <t>FIN_2019_Savi</t>
  </si>
  <si>
    <t>Savitaipale Study, 22-year Follow-up</t>
  </si>
  <si>
    <t>62-86</t>
  </si>
  <si>
    <t>FIN_2019_YFSfu</t>
  </si>
  <si>
    <t>Young Finns Study: Follow-up</t>
  </si>
  <si>
    <t>FIN_2020_NFBC86</t>
  </si>
  <si>
    <t>Northern Finland Birth Cohort 1986</t>
  </si>
  <si>
    <t>33-35</t>
  </si>
  <si>
    <t>FJI_1980_NCVDS</t>
  </si>
  <si>
    <t>1980</t>
  </si>
  <si>
    <t>National Cardiovascular and Diabetes Survey (NCVDS)</t>
  </si>
  <si>
    <t>FJI_2009_EHS</t>
  </si>
  <si>
    <t>Fiji Eye Health Survey 2009</t>
  </si>
  <si>
    <t>FRA_1996_10250025</t>
  </si>
  <si>
    <t>France</t>
  </si>
  <si>
    <t>POLA Study; Defay et al., Int J Obes Relat Metab Disord 25:512-8, 2001</t>
  </si>
  <si>
    <t>FRA_1996_10250053</t>
  </si>
  <si>
    <t>Asmar et al., J Hypertens 19:1727-32, 2001</t>
  </si>
  <si>
    <t>FRA_2000_3C</t>
  </si>
  <si>
    <t>1999-2001</t>
  </si>
  <si>
    <t>The Three City Study</t>
  </si>
  <si>
    <t>FRA_2004_3C</t>
  </si>
  <si>
    <t>68+</t>
  </si>
  <si>
    <t>FRA_2007_ENNS</t>
  </si>
  <si>
    <t>Etude Nationale Nutrition Santé</t>
  </si>
  <si>
    <t>FRA_2009_3C</t>
  </si>
  <si>
    <t>73+</t>
  </si>
  <si>
    <t>FRA_2012_ELISABETdunkerque</t>
  </si>
  <si>
    <t>Enquête LIttorale Souffle Air Biologie EnvironnemenT (ELISABET) Dunkerque</t>
  </si>
  <si>
    <t>40-64</t>
  </si>
  <si>
    <t>FRA_2012_ELISABETlille</t>
  </si>
  <si>
    <t>Enquête LIttorale Souffle Air Biologie EnvironnemenT (ELISABET) Lille</t>
  </si>
  <si>
    <t>FRA_2013_CONSTANCES</t>
  </si>
  <si>
    <t>2012-2014</t>
  </si>
  <si>
    <t>Cohorte des consultants des Centres d’examens de santé (CONSTANCES)</t>
  </si>
  <si>
    <t>FRA_2015_Esteban</t>
  </si>
  <si>
    <t>L'Etude de Sante sur l'Environnement, la Biosurveillance, l'Activite physique et la Nutrition (Etude Esteban)</t>
  </si>
  <si>
    <t>FRA_2016_CONSTANCES</t>
  </si>
  <si>
    <t>FRA_2018_CONSTANCESFU</t>
  </si>
  <si>
    <t>2017-2019</t>
  </si>
  <si>
    <t>22-76</t>
  </si>
  <si>
    <t>FRA_2019_CONSTANCES</t>
  </si>
  <si>
    <t>FRA_2021_CONSTANCES</t>
  </si>
  <si>
    <t>FRA_2021_CONSTANCESFU</t>
  </si>
  <si>
    <t>2020-2022</t>
  </si>
  <si>
    <t>22-80</t>
  </si>
  <si>
    <t>Micronesia</t>
  </si>
  <si>
    <t>STEPS, Kosrae</t>
  </si>
  <si>
    <t>STEPS, Yap</t>
  </si>
  <si>
    <t>GBR_1985_SHHS</t>
  </si>
  <si>
    <t>United Kingdom</t>
  </si>
  <si>
    <t>1984-1986</t>
  </si>
  <si>
    <t>Scottish Heart Health Survey</t>
  </si>
  <si>
    <t>GBR_1988_EAS</t>
  </si>
  <si>
    <t>1987-1988</t>
  </si>
  <si>
    <t>Edinburgh Artery Study</t>
  </si>
  <si>
    <t>54-75</t>
  </si>
  <si>
    <t>GBR_1993_10826033</t>
  </si>
  <si>
    <t>GBR_1993_10826070</t>
  </si>
  <si>
    <t>Whickham Survey; Vanderpump et al., Diabet Med 13:741-7, 1996</t>
  </si>
  <si>
    <t>GBR_1999_BRHS</t>
  </si>
  <si>
    <t>1998-2000</t>
  </si>
  <si>
    <t>The British Regional Heart Study</t>
  </si>
  <si>
    <t>60-79</t>
  </si>
  <si>
    <t>GBR_2000_BWHHS</t>
  </si>
  <si>
    <t>British Women's Heart and Health Study</t>
  </si>
  <si>
    <t>GBR_2001_HCS</t>
  </si>
  <si>
    <t>1999-2004</t>
  </si>
  <si>
    <t>Hertfordshire Cohort Study</t>
  </si>
  <si>
    <t>59-73</t>
  </si>
  <si>
    <t>GBR_2003_EMAS</t>
  </si>
  <si>
    <t>GBR_2003_HSE</t>
  </si>
  <si>
    <t>Health Survey for England</t>
  </si>
  <si>
    <t>GBR_2003_SHS</t>
  </si>
  <si>
    <t>Scottish Health Survey (SHeS)</t>
  </si>
  <si>
    <t>GBR_2004_HAS</t>
  </si>
  <si>
    <t>Hertfordshire Ageing Study</t>
  </si>
  <si>
    <t>72-82</t>
  </si>
  <si>
    <t>GBR_2005_ELSA</t>
  </si>
  <si>
    <t>English Longitudinal Study of Ageing Wave 2</t>
  </si>
  <si>
    <t>52-80</t>
  </si>
  <si>
    <t>GBR_2005_HSE</t>
  </si>
  <si>
    <t>GBR_2006_HSE</t>
  </si>
  <si>
    <t>GBR_2007_Newcastle</t>
  </si>
  <si>
    <t>Newcastle 85+ Study</t>
  </si>
  <si>
    <t>84+</t>
  </si>
  <si>
    <t>GBR_2008_EMAS</t>
  </si>
  <si>
    <t>GBR_2008_HSE</t>
  </si>
  <si>
    <t>GBR_2008_Newcastle</t>
  </si>
  <si>
    <t>85+</t>
  </si>
  <si>
    <t>GBR_2008_SHS</t>
  </si>
  <si>
    <t>GBR_2009_ELSA</t>
  </si>
  <si>
    <t>English Longitudinal Study of Ageing Wave 4</t>
  </si>
  <si>
    <t>GBR_2009_HSE</t>
  </si>
  <si>
    <t>GBR_2009_NSHD</t>
  </si>
  <si>
    <t>2006-2010</t>
  </si>
  <si>
    <t>MRC National Survey of Health and Development</t>
  </si>
  <si>
    <t>60-65</t>
  </si>
  <si>
    <t>GBR_2009_SHS</t>
  </si>
  <si>
    <t>GBR_2010_HSE</t>
  </si>
  <si>
    <t>GBR_2010_NDNS</t>
  </si>
  <si>
    <t>National Diet and Nutrition Survey (NDNS)</t>
  </si>
  <si>
    <t>GBR_2010_Newcastle</t>
  </si>
  <si>
    <t>GBR_2010_SHS</t>
  </si>
  <si>
    <t>GBR_2010_US</t>
  </si>
  <si>
    <t>Understanding Society: the UK Household Longitudinal Study</t>
  </si>
  <si>
    <t>GBR_2011_BHPS</t>
  </si>
  <si>
    <t>British Household Panel Survey</t>
  </si>
  <si>
    <t>GBR_2011_BRHS</t>
  </si>
  <si>
    <t>72-91</t>
  </si>
  <si>
    <t>GBR_2011_HSE</t>
  </si>
  <si>
    <t>GBR_2011_SHS</t>
  </si>
  <si>
    <t>GBR_2012_HSE</t>
  </si>
  <si>
    <t>GBR_2013_ELSA</t>
  </si>
  <si>
    <t>English Longitudinal Study of Ageing Wave 6</t>
  </si>
  <si>
    <t>GBR_2013_HSE</t>
  </si>
  <si>
    <t>GBR_2014_HSE</t>
  </si>
  <si>
    <t>GBR_2014_NDNS</t>
  </si>
  <si>
    <t>GBR_2015_HSE</t>
  </si>
  <si>
    <t>GBR_2015_NSHD</t>
  </si>
  <si>
    <t>69-70</t>
  </si>
  <si>
    <t>GBR_2016_HSE</t>
  </si>
  <si>
    <t>GBR_2016_NDNS</t>
  </si>
  <si>
    <t>GBR_2017_BCS70</t>
  </si>
  <si>
    <t>British Cohort Study 1970</t>
  </si>
  <si>
    <t>45-48</t>
  </si>
  <si>
    <t>GBR_2017_ELSA</t>
  </si>
  <si>
    <t>English Longitudinal Study of Ageing Wave 8</t>
  </si>
  <si>
    <t>GBR_2017_HSE</t>
  </si>
  <si>
    <t>GBR_2018_HSE</t>
  </si>
  <si>
    <t>GBR_2018_NDNS</t>
  </si>
  <si>
    <t>GBR_2019_ELSA</t>
  </si>
  <si>
    <t>English Longitudinal Study of Ageing Wave 9</t>
  </si>
  <si>
    <t>GBR_2019_HSE</t>
  </si>
  <si>
    <t>GBR_2019_USIP</t>
  </si>
  <si>
    <t>Understanding Society: Innovation Panel</t>
  </si>
  <si>
    <t>GHA_2003_ACCRA</t>
  </si>
  <si>
    <t>Women's Health Study of Accra (WHSA-I)</t>
  </si>
  <si>
    <t>GHA_2013_RODAM-rural</t>
  </si>
  <si>
    <t>Research on Obesity and Diabetes among African Migrants (RODAM), control group</t>
  </si>
  <si>
    <t>GHA_2013_RODAM-urban</t>
  </si>
  <si>
    <t>GHA_2023_STEPS</t>
  </si>
  <si>
    <t>2023</t>
  </si>
  <si>
    <t>GMB_2018_GMNS</t>
  </si>
  <si>
    <t>Gambia</t>
  </si>
  <si>
    <t>The Gambia Micronutrient Survey (GMNS)</t>
  </si>
  <si>
    <t>GRC_2001_10300073</t>
  </si>
  <si>
    <t>Greece</t>
  </si>
  <si>
    <t>Karalis et al., BMC Public Health 25:1330-6, 2007</t>
  </si>
  <si>
    <t>GRC_2002_ATTICA</t>
  </si>
  <si>
    <t>The ATTICA study</t>
  </si>
  <si>
    <t>GRC_2006_Paliouri</t>
  </si>
  <si>
    <t>Paliouri Study</t>
  </si>
  <si>
    <t>GRC_2014_HNNHS</t>
  </si>
  <si>
    <t>Hellenic National Nutrition and Health Survey (HNNHS)</t>
  </si>
  <si>
    <t>GRC_2015_EMENO</t>
  </si>
  <si>
    <t>2013-2016</t>
  </si>
  <si>
    <t>National Survey of Morbidity and Risk Factors (EMENO)</t>
  </si>
  <si>
    <t>GRL_2008_IHIT</t>
  </si>
  <si>
    <t>Greenland</t>
  </si>
  <si>
    <t>2005-2010</t>
  </si>
  <si>
    <t>Population Health Survey in Greenland</t>
  </si>
  <si>
    <t>GRL_2018_PHSG</t>
  </si>
  <si>
    <t>GTM_2002_CAMDI</t>
  </si>
  <si>
    <t>GTM_2004_INSTC</t>
  </si>
  <si>
    <t>The Institute of Nutrition of Central America and Panama Nutrition Supplementation Trial Cohort</t>
  </si>
  <si>
    <t>25-41</t>
  </si>
  <si>
    <t>GTM_2016_META</t>
  </si>
  <si>
    <t>Nutrition on early childhood and metabolomic and cardiometabolic profile on adulthood (META)</t>
  </si>
  <si>
    <t>37-55</t>
  </si>
  <si>
    <t>GTM_2016_SIVESNU</t>
  </si>
  <si>
    <t>Sistema de vigilancia Epidemiológica de Salud y Nutrición (SIVESNU)</t>
  </si>
  <si>
    <t>GTM_2018_SIVESNU</t>
  </si>
  <si>
    <t>GTM_2019_CKD</t>
  </si>
  <si>
    <t>Population-Based Survey of Chronic Kidney Disease in Guatemala</t>
  </si>
  <si>
    <t>GTM_2019_SIVESNU</t>
  </si>
  <si>
    <t>HND_2004_CAMDI</t>
  </si>
  <si>
    <t>Honduras</t>
  </si>
  <si>
    <t>HRV_2008_ENAH</t>
  </si>
  <si>
    <t>Croatia</t>
  </si>
  <si>
    <t>Endemic Nephropathy and Arterial hypertension (ENAH)</t>
  </si>
  <si>
    <t>HRV_2010_ENAH</t>
  </si>
  <si>
    <t>HRV_2015_ENAH</t>
  </si>
  <si>
    <t>Endemic Nephropathy and Arterial hypertension (ENAH) Follow-up Study</t>
  </si>
  <si>
    <t>HRV_2020_EHUH</t>
  </si>
  <si>
    <t>Epidemiology of arterial hypertension in Croatia (EH-UH)</t>
  </si>
  <si>
    <t>HTI_2016_Carrefour</t>
  </si>
  <si>
    <t>Haiti</t>
  </si>
  <si>
    <t>Haiti Health Study (Carrefour)</t>
  </si>
  <si>
    <t>HTI_2016_Thomonde</t>
  </si>
  <si>
    <t>Haiti Health Study (Thomonde)</t>
  </si>
  <si>
    <t>HUN_1995_15780334</t>
  </si>
  <si>
    <t>Hungary</t>
  </si>
  <si>
    <t>1990-1998</t>
  </si>
  <si>
    <t>Simay et al., Public Health 119:437-41, 2005</t>
  </si>
  <si>
    <t>HUN_2003_EMAS</t>
  </si>
  <si>
    <t>HUN_2008_EMAS</t>
  </si>
  <si>
    <t>IDN_2001_5360027</t>
  </si>
  <si>
    <t>Indonesia</t>
  </si>
  <si>
    <t>STEPS/SURKESNAS</t>
  </si>
  <si>
    <t>IDN_2003_GESOPA</t>
  </si>
  <si>
    <t>A genetic-ecological study of the risk factors for lifestyle-related diseases in Oceanian populations, Study A</t>
  </si>
  <si>
    <t>IDN_2003_GESOPB</t>
  </si>
  <si>
    <t>A genetic-ecological study of the risk factors for lifestyle-related diseases in Oceanian populations, Study B</t>
  </si>
  <si>
    <t>IDN_2006_5360040</t>
  </si>
  <si>
    <t>NCD RFS; Soebardi et al., Acta Med Indones 41:186-90, 2009</t>
  </si>
  <si>
    <t>IDN_2018_RISKESDAS</t>
  </si>
  <si>
    <t>Indonesian Basic Health Survey (RISKESDAS) 2018</t>
  </si>
  <si>
    <t>IND_1989_citRamachandran</t>
  </si>
  <si>
    <t>Ramachandran et al., Diabetes Res Clin Pract 58(1):55-60, 2002</t>
  </si>
  <si>
    <t>20-74</t>
  </si>
  <si>
    <t>IND_1995_citRamachandran</t>
  </si>
  <si>
    <t>Shobana et al., Diabetes Res Clin Pract 42(3):18186, 1998</t>
  </si>
  <si>
    <t>IND_1998_CUPS</t>
  </si>
  <si>
    <t>1996-1999</t>
  </si>
  <si>
    <t>Chennai Urban Population Study</t>
  </si>
  <si>
    <t>IND_1999_4356003</t>
  </si>
  <si>
    <t>IND_2000_citRamachandran</t>
  </si>
  <si>
    <t>Ramachandran et al., Diabet Med 20(3):220-24, 2003</t>
  </si>
  <si>
    <t>IND_2000_JHW2</t>
  </si>
  <si>
    <t>Jaipur Heart Watch 2</t>
  </si>
  <si>
    <t>IND_2000_VBC</t>
  </si>
  <si>
    <t>1998-2002</t>
  </si>
  <si>
    <t>Vellore Birth Cohort</t>
  </si>
  <si>
    <t>25-31</t>
  </si>
  <si>
    <t>IND_2001_NDBC</t>
  </si>
  <si>
    <t>1999-2002</t>
  </si>
  <si>
    <t>New Delhi Birth Cohort</t>
  </si>
  <si>
    <t>26-33</t>
  </si>
  <si>
    <t>IND_2003_4356014</t>
  </si>
  <si>
    <t>Study in Chennai</t>
  </si>
  <si>
    <t>IND_2003_CURES</t>
  </si>
  <si>
    <t>Chennai Urban Rural Epidemiology Study</t>
  </si>
  <si>
    <t>IND_2004_JHW3</t>
  </si>
  <si>
    <t>Jaipur Heart Watch 3</t>
  </si>
  <si>
    <t>IND_2006_citRamachandran</t>
  </si>
  <si>
    <t>Ramachandran et al., Diabetes Care 31(5):893-98, 2008</t>
  </si>
  <si>
    <t>IND_2006_IJMRNCD</t>
  </si>
  <si>
    <t>Risk factor profile for chronic non-communicable diseases: Results of a community-based study in Kerala, India</t>
  </si>
  <si>
    <t>IND_2006_NNMB</t>
  </si>
  <si>
    <t>National Nutrition Monitoring Bureau rural survey</t>
  </si>
  <si>
    <t>IND_2007_CIEMS</t>
  </si>
  <si>
    <t>Central India Eye and Medical Study</t>
  </si>
  <si>
    <t>IND_2007_JHW4</t>
  </si>
  <si>
    <t>Jaipur Heart Watch 4</t>
  </si>
  <si>
    <t>IND_2007_KYA</t>
  </si>
  <si>
    <t>Kashmiri Young Adults</t>
  </si>
  <si>
    <t>20-40</t>
  </si>
  <si>
    <t>IND_2008_Hyderabad</t>
  </si>
  <si>
    <t>Urban population in Hyderabad</t>
  </si>
  <si>
    <t>20-60</t>
  </si>
  <si>
    <t>IND_2008_NDBC</t>
  </si>
  <si>
    <t>33-38</t>
  </si>
  <si>
    <t>IND_2009_INDIAB</t>
  </si>
  <si>
    <t>ICMR-India Diabetes (INDIAB) Study, Phase I</t>
  </si>
  <si>
    <t>IND_2010_JHW5</t>
  </si>
  <si>
    <t>Jaipur Heart Watch 5</t>
  </si>
  <si>
    <t>IND_2011_CARRS</t>
  </si>
  <si>
    <t>Centre for cArdiometabolic Risk Reduction in South-Asia (CARRS) - Surveillance Study</t>
  </si>
  <si>
    <t>IND_2012_NNMB</t>
  </si>
  <si>
    <t>IND_2013_INDIAB</t>
  </si>
  <si>
    <t>ICMR-India Diabetes (INDIAB) Study, Phase II</t>
  </si>
  <si>
    <t>IND_2013_JHW6</t>
  </si>
  <si>
    <t>Jaipur Heart Watch 6</t>
  </si>
  <si>
    <t>IND_2013_processedfoodsRural</t>
  </si>
  <si>
    <t>Processed and non-processed foods - Rural sample</t>
  </si>
  <si>
    <t>IND_2014_AHSCAB</t>
  </si>
  <si>
    <t>Annual Health Survey: Clinical, Anthropometric and Bio-chemical</t>
  </si>
  <si>
    <t>IND_2014_INDIAB</t>
  </si>
  <si>
    <t>2012-2015</t>
  </si>
  <si>
    <t>ICMR-India Diabetes (INDIAB) Study, North East Phase</t>
  </si>
  <si>
    <t>IND_2014_VBC</t>
  </si>
  <si>
    <t>39-44</t>
  </si>
  <si>
    <t>IND_2015_CHIRI-RV</t>
  </si>
  <si>
    <t>Control of Hypertension In Rural India (CHIRI) - Rishi Valley</t>
  </si>
  <si>
    <t>IND_2016_NNMB</t>
  </si>
  <si>
    <t>Diet and nutritional status of urban population and prevalence of hypertension</t>
  </si>
  <si>
    <t>IND_2017_NNMS</t>
  </si>
  <si>
    <t>National Noncommunicable Disease Monitoring Survey (NNMS)</t>
  </si>
  <si>
    <t>IND_2017_STRiDE-I</t>
  </si>
  <si>
    <t>Secular TRends in DiabEtes in India (STRiDE-I) -Change in Prevalence in Ten Years among Urban and Rural Populations in Tamil Nadu</t>
  </si>
  <si>
    <t>IND_2018_INDIAB</t>
  </si>
  <si>
    <t>ICMR-India Diabetes (INDIAB) Study, Phase III</t>
  </si>
  <si>
    <t>IND_2018_VBC</t>
  </si>
  <si>
    <t>43-48</t>
  </si>
  <si>
    <t>IND_2019_INDIAB</t>
  </si>
  <si>
    <t>ICMR-India Diabetes (INDIAB) Study, Phase IV</t>
  </si>
  <si>
    <t>IND_2020_INDIAB</t>
  </si>
  <si>
    <t>ICMR-India Diabetes (INDIAB) Study, Phase V</t>
  </si>
  <si>
    <t>STEPS, Mumbai</t>
  </si>
  <si>
    <t>IRL_2007_SLAN</t>
  </si>
  <si>
    <t>Ireland</t>
  </si>
  <si>
    <t>Survey of Lifestyle, Attitudes and Nutritional in Ireland 2006-2007</t>
  </si>
  <si>
    <t>IRL_2009_NANS</t>
  </si>
  <si>
    <t>National Adult Nutrition Survey</t>
  </si>
  <si>
    <t>IRN_1994_15364042</t>
  </si>
  <si>
    <t>Iran</t>
  </si>
  <si>
    <t>Sarraf-Zadegan et al., Acta Cardiol 54:257-63, 1999</t>
  </si>
  <si>
    <t>20-69</t>
  </si>
  <si>
    <t>IRN_2000_NHS</t>
  </si>
  <si>
    <t>National Health Survey II</t>
  </si>
  <si>
    <t>IRN_2001_15364050</t>
  </si>
  <si>
    <t>Report on the pilot project for community-based primary prevention of the major noncommunicable diseases in Qazvin &amp; Abhar cities 2001; 1; Infobase 101013a2</t>
  </si>
  <si>
    <t>IRN_2001_15364055</t>
  </si>
  <si>
    <t>Report on the pilot project for community-based primary prevention of the major noncommunicable diseases in Qazvin &amp; Abhar cities 2001; Infobase 101013a1</t>
  </si>
  <si>
    <t>IRN_2001_IHHP-Arak-rural</t>
  </si>
  <si>
    <t>Isfahan Healthy Heart Programme (IHHP), Arak</t>
  </si>
  <si>
    <t>IRN_2001_IHHP-Arak-urban</t>
  </si>
  <si>
    <t>IRN_2001_IHHP-Isfahan-rural</t>
  </si>
  <si>
    <t>Isfahan Healthy Heart Programme (IHHP), Isfahan</t>
  </si>
  <si>
    <t>IRN_2001_IHHP-Isfahan-urban</t>
  </si>
  <si>
    <t>IRN_2001_IHHP-Najaf_Abad-rural</t>
  </si>
  <si>
    <t>Isfahan Healthy Heart Programme (IHHP), Najaf Abad</t>
  </si>
  <si>
    <t>IRN_2001_IHHP-Najaf_Abad-urban</t>
  </si>
  <si>
    <t>IRN_2004_18695867</t>
  </si>
  <si>
    <t>Azimi-Nezhad et al., Singapore Med J 49:571-6, 2008</t>
  </si>
  <si>
    <t>IRN_2004_CASPIAN</t>
  </si>
  <si>
    <t>Childhood and Adolescence Surveillance and Prevention of Adult Noncommunicable Disease (CASPIAN)</t>
  </si>
  <si>
    <t>IRN_2004_PGHHS</t>
  </si>
  <si>
    <t>The Persian Gulf Healthy Heart Study</t>
  </si>
  <si>
    <t>25-75</t>
  </si>
  <si>
    <t>IRN_2005_STEPS</t>
  </si>
  <si>
    <t>IRN_2007_IHHP-Arak-rural</t>
  </si>
  <si>
    <t>IRN_2007_IHHP-Arak-urban</t>
  </si>
  <si>
    <t>IRN_2007_IHHP-Isfahan-rural</t>
  </si>
  <si>
    <t>IRN_2007_IHHP-Isfahan-urban</t>
  </si>
  <si>
    <t>IRN_2007_IHHP-Najaf_Abad-rural</t>
  </si>
  <si>
    <t>IRN_2007_IHHP-Najaf_Abad-urban</t>
  </si>
  <si>
    <t>IRN_2007_IHHPS-Arak-rural</t>
  </si>
  <si>
    <t>Isfahan Healthy Heart Programme (IHHP) Students, Arak</t>
  </si>
  <si>
    <t>IRN_2007_IHHPS-Arak-urban</t>
  </si>
  <si>
    <t>IRN_2007_IHHPS-Isfahan-urban</t>
  </si>
  <si>
    <t>Isfahan Healthy Heart Programme (IHHP) Students, Isfahan</t>
  </si>
  <si>
    <t>IRN_2007_IHHPS-Najaf_Abad-rural</t>
  </si>
  <si>
    <t>Isfahan Healthy Heart Programme (IHHP) Students, Najaf Abad</t>
  </si>
  <si>
    <t>IRN_2007_STEPS-n</t>
  </si>
  <si>
    <t>STEPS - National</t>
  </si>
  <si>
    <t>IRN_2007_STEPS-p</t>
  </si>
  <si>
    <t>STEPS - Provincial</t>
  </si>
  <si>
    <t>IRN_2010_CASPIAN</t>
  </si>
  <si>
    <t>IRN_2010_PGHHS</t>
  </si>
  <si>
    <t>31-79</t>
  </si>
  <si>
    <t>IRN_2010_TLGS4</t>
  </si>
  <si>
    <t>Tehran Lipid and Glucose Study</t>
  </si>
  <si>
    <t>IRN_2011_GCSrural</t>
  </si>
  <si>
    <t>Golestan Cohort Study Second Phase</t>
  </si>
  <si>
    <t>43-82</t>
  </si>
  <si>
    <t>IRN_2011_GCSurban</t>
  </si>
  <si>
    <t>IRN_2011_STEPS</t>
  </si>
  <si>
    <t>25-69</t>
  </si>
  <si>
    <t>IRN_2012_Amolrural</t>
  </si>
  <si>
    <t>Amol county study</t>
  </si>
  <si>
    <t>IRN_2012_Amolurban</t>
  </si>
  <si>
    <t>IRN_2012_Tehran</t>
  </si>
  <si>
    <t>Tehran City</t>
  </si>
  <si>
    <t>18-90</t>
  </si>
  <si>
    <t>IRN_2013_PCS</t>
  </si>
  <si>
    <t>Pars Cohort Study</t>
  </si>
  <si>
    <t>40-90</t>
  </si>
  <si>
    <t>IRN_2013_Zahedan</t>
  </si>
  <si>
    <t>Zahedan City</t>
  </si>
  <si>
    <t>IRN_2014_BEHP</t>
  </si>
  <si>
    <t>Bushehr Elderly Health Program (BEH)</t>
  </si>
  <si>
    <t>IRN_2014_GES</t>
  </si>
  <si>
    <t>Gilan Eye Study</t>
  </si>
  <si>
    <t>IRN_2015_CASPIAN</t>
  </si>
  <si>
    <t>IRN_2015_Fasarural</t>
  </si>
  <si>
    <t>The PERSIAN Fasa Cohort Study</t>
  </si>
  <si>
    <t>IRN_2015_Fasaurban</t>
  </si>
  <si>
    <t>IRN_2015_Guilanrural</t>
  </si>
  <si>
    <t>The PERSIAN Guilan Cohort Study</t>
  </si>
  <si>
    <t>IRN_2015_Guilanurban</t>
  </si>
  <si>
    <t>IRN_2015_Kermanshahrural</t>
  </si>
  <si>
    <t>The PERSIAN Kermanshah Cohort Study</t>
  </si>
  <si>
    <t>IRN_2015_Kermanshahurban</t>
  </si>
  <si>
    <t>IRN_2015_Kharamehrural</t>
  </si>
  <si>
    <t>The PERSIAN Kharameh Cohort Study</t>
  </si>
  <si>
    <t>IRN_2015_Kharamehurban</t>
  </si>
  <si>
    <t>IRN_2015_Tabrizrural</t>
  </si>
  <si>
    <t>The PERSIAN Tabriz Cohort Study</t>
  </si>
  <si>
    <t>IRN_2015_Tabrizurban</t>
  </si>
  <si>
    <t>IRN_2016_Mazandaranrural</t>
  </si>
  <si>
    <t>The PERSIAN Mazandaran Cohort Study</t>
  </si>
  <si>
    <t>IRN_2016_Mazandaranurban</t>
  </si>
  <si>
    <t>IRN_2016_Rafsanjanrural</t>
  </si>
  <si>
    <t>The PERSIAN Rafsanjan Cohort Study</t>
  </si>
  <si>
    <t>IRN_2016_Rafsanjanurban</t>
  </si>
  <si>
    <t>IRN_2016_STEPS</t>
  </si>
  <si>
    <t>Iran STEPS 2016</t>
  </si>
  <si>
    <t>IRN_2016_Yazd</t>
  </si>
  <si>
    <t>The PERSIAN Yazd Cohort Study</t>
  </si>
  <si>
    <t>30-70</t>
  </si>
  <si>
    <t>IRN_2017_Ahvazrural</t>
  </si>
  <si>
    <t>The PERSIAN Ahvaz Cohort Study</t>
  </si>
  <si>
    <t>IRN_2017_Ahvazurban</t>
  </si>
  <si>
    <t>IRN_2017_BandarKongrural</t>
  </si>
  <si>
    <t>The PERSIAN BandarKong Cohort Study</t>
  </si>
  <si>
    <t>IRN_2017_BandarKongurban</t>
  </si>
  <si>
    <t>IRN_2017_citAlinezhad</t>
  </si>
  <si>
    <t>Northwest Iran - population based blood sample programme</t>
  </si>
  <si>
    <t>21+</t>
  </si>
  <si>
    <t>IRN_2017_IraPEN</t>
  </si>
  <si>
    <t>IraPEN Study</t>
  </si>
  <si>
    <t>IRN_2017_IRCAP</t>
  </si>
  <si>
    <t>Iranian Children and Adolescents Psychiatric Disorders (IRCAP) Survey</t>
  </si>
  <si>
    <t>IRN_2017_Urmiarural</t>
  </si>
  <si>
    <t>The PERSIAN Urmia Cohort Study</t>
  </si>
  <si>
    <t>IRN_2017_Urmiaurban</t>
  </si>
  <si>
    <t>IRN_2017_Zahedan</t>
  </si>
  <si>
    <t>The PERSIAN Zahedan Cohort Study</t>
  </si>
  <si>
    <t>IRN_2018_Ardabil</t>
  </si>
  <si>
    <t>2016-2020</t>
  </si>
  <si>
    <t>The PERSIAN Ardabil Cohort Study</t>
  </si>
  <si>
    <t>IRN_2018_Denarural</t>
  </si>
  <si>
    <t>The PERSIAN Dena (Yasouj) Cohort Study</t>
  </si>
  <si>
    <t>IRN_2018_Denaurban</t>
  </si>
  <si>
    <t>IRN_2018_easterniran</t>
  </si>
  <si>
    <t>Prevalence of risk factors for cardiovascular disease among a rural population in eastern Iran</t>
  </si>
  <si>
    <t>IRN_2018_Kavar</t>
  </si>
  <si>
    <t>The PERSIAN Kavar Cohort Study</t>
  </si>
  <si>
    <t>IRN_2018_Khoozestan</t>
  </si>
  <si>
    <t>The Khuzestan comprehensive health study: A platform for NCDs, blood borne and mental diseases research</t>
  </si>
  <si>
    <t>IRN_2018_Nelsa</t>
  </si>
  <si>
    <t>PERSIAN Elderly Component-Iranian Longitudinal Study on Ageing</t>
  </si>
  <si>
    <t>50-95</t>
  </si>
  <si>
    <t>IRN_2018_Sabzevar</t>
  </si>
  <si>
    <t>The PERSIAN Sabzevar Cohort Study</t>
  </si>
  <si>
    <t>IRN_2018_Shahrekordrural</t>
  </si>
  <si>
    <t>The PERSIAN Shahrekord Cohort Study</t>
  </si>
  <si>
    <t>IRN_2018_Shahrekordurban</t>
  </si>
  <si>
    <t>IRN_2019_BEHS</t>
  </si>
  <si>
    <t>Bushehr Elderly Health program Phase II</t>
  </si>
  <si>
    <t>IRN_2019_Dehgolan</t>
  </si>
  <si>
    <t>The PERSIAN Dehgolan (Kordistan) Cohort Study</t>
  </si>
  <si>
    <t>IRN_2021_STEPS</t>
  </si>
  <si>
    <t>IRQ_2006_STEPS</t>
  </si>
  <si>
    <t>ISL_2004_AGES</t>
  </si>
  <si>
    <t>Iceland</t>
  </si>
  <si>
    <t>AGES</t>
  </si>
  <si>
    <t>66-96</t>
  </si>
  <si>
    <t>ISL_2009_AGESII</t>
  </si>
  <si>
    <t>2007-2011</t>
  </si>
  <si>
    <t>AGESII</t>
  </si>
  <si>
    <t>71-98</t>
  </si>
  <si>
    <t>ISR_1991_JLCS</t>
  </si>
  <si>
    <t>Israel</t>
  </si>
  <si>
    <t>1990-1991</t>
  </si>
  <si>
    <t>The Jerusalem Longitudinal Cohort Study</t>
  </si>
  <si>
    <t>ISR_1998_JLCS</t>
  </si>
  <si>
    <t>76-77</t>
  </si>
  <si>
    <t>ISR_2002_GOH</t>
  </si>
  <si>
    <t>1999-2005</t>
  </si>
  <si>
    <t>The Israel Glucose Intolerance, Obesity and Hypertension Study (GOH)</t>
  </si>
  <si>
    <t>58-93</t>
  </si>
  <si>
    <t>ISR_2005_HDS</t>
  </si>
  <si>
    <t>2002-2008</t>
  </si>
  <si>
    <t>The Hadera District Study (HDS)</t>
  </si>
  <si>
    <t>25-78</t>
  </si>
  <si>
    <t>ISR_2006_JLCS</t>
  </si>
  <si>
    <t>83-85</t>
  </si>
  <si>
    <t>ISR_2011_JLCS</t>
  </si>
  <si>
    <t>89-92</t>
  </si>
  <si>
    <t>ITA_1982_10380078</t>
  </si>
  <si>
    <t>Italy</t>
  </si>
  <si>
    <t>1982</t>
  </si>
  <si>
    <t>Verrillo et al, Diabetes Res 2:301-6, 1985</t>
  </si>
  <si>
    <t>ITA_1984_Gubbio</t>
  </si>
  <si>
    <t>1983-1985</t>
  </si>
  <si>
    <t>Gubbio Study</t>
  </si>
  <si>
    <t>ITA_1984_MATISS</t>
  </si>
  <si>
    <t>1983-1984</t>
  </si>
  <si>
    <t>Malattie cardiovascolari ATerosclerotiche Istituto Superiore di Sanità (MATISS)</t>
  </si>
  <si>
    <t>19-69</t>
  </si>
  <si>
    <t>ITA_1987_MATISS</t>
  </si>
  <si>
    <t>1986-1987</t>
  </si>
  <si>
    <t>19-72</t>
  </si>
  <si>
    <t>ITA_1987_MONICAbrianza</t>
  </si>
  <si>
    <t>MONICA, Brianza</t>
  </si>
  <si>
    <t>ITA_1989_VHS</t>
  </si>
  <si>
    <t>Ventimiglia Heart Study</t>
  </si>
  <si>
    <t>ITA_1990_BRUNECKstudy</t>
  </si>
  <si>
    <t>1990</t>
  </si>
  <si>
    <t>Bruneck Study</t>
  </si>
  <si>
    <t>ITA_1990_MONICAbrianza</t>
  </si>
  <si>
    <t>1989-1990</t>
  </si>
  <si>
    <t>ITA_1991_10380032</t>
  </si>
  <si>
    <t>40-89</t>
  </si>
  <si>
    <t>ITA_1991_FINE</t>
  </si>
  <si>
    <t>Finland, Italy, Netherlands, Elderly (Fine-Italy)</t>
  </si>
  <si>
    <t>70-90</t>
  </si>
  <si>
    <t>ITA_1991_Gubbio</t>
  </si>
  <si>
    <t>1989-1992</t>
  </si>
  <si>
    <t>ITA_1993_ILSA</t>
  </si>
  <si>
    <t>Italian Longitudinal Study on Aging</t>
  </si>
  <si>
    <t>ITA_1994_MATISS</t>
  </si>
  <si>
    <t>1993-1996</t>
  </si>
  <si>
    <t>20-77</t>
  </si>
  <si>
    <t>ITA_1994_MONICAbrianza</t>
  </si>
  <si>
    <t>1993-1994</t>
  </si>
  <si>
    <t>ITA_1995_10380052</t>
  </si>
  <si>
    <t>Vobarno Study; Muiesan et al, Blood Press 15:14-9, 2006</t>
  </si>
  <si>
    <t>35-64</t>
  </si>
  <si>
    <t>ITA_1995_BRUNECKstudy</t>
  </si>
  <si>
    <t>45-84</t>
  </si>
  <si>
    <t>ITA_1996_ILSA</t>
  </si>
  <si>
    <t>68-90</t>
  </si>
  <si>
    <t>ITA_1997_PROVA</t>
  </si>
  <si>
    <t>1995-1999</t>
  </si>
  <si>
    <t>PROgetto Veneto Anziani (PROVA)</t>
  </si>
  <si>
    <t>ITA_1999_10380045</t>
  </si>
  <si>
    <t>InCHIANTI Study; Ferrrucci et al., J Am Geriatr Soc 48:1618-25, 2000</t>
  </si>
  <si>
    <t>ITA_1999_VIP</t>
  </si>
  <si>
    <t>Progetto VIP</t>
  </si>
  <si>
    <t>ITA_2000_BRUNECKstudy</t>
  </si>
  <si>
    <t>50-89</t>
  </si>
  <si>
    <t>ITA_2000_FINE</t>
  </si>
  <si>
    <t>80-100</t>
  </si>
  <si>
    <t>ITA_2000_OEC</t>
  </si>
  <si>
    <t>Osservatorio Epidemiologico Cardiovascolare (OEC)</t>
  </si>
  <si>
    <t>ITA_2001_ILSA</t>
  </si>
  <si>
    <t>73-93</t>
  </si>
  <si>
    <t>ITA_2002_10380055</t>
  </si>
  <si>
    <t>ITA_2002_PROVA</t>
  </si>
  <si>
    <t>67+</t>
  </si>
  <si>
    <t>ITA_2003_19321325</t>
  </si>
  <si>
    <t>Scuteri et al., Nutr Metab Cardiovasc Dis 19:532-41, 2009</t>
  </si>
  <si>
    <t>ITA_2003_EMAS</t>
  </si>
  <si>
    <t>ITA_2004_Gubbio</t>
  </si>
  <si>
    <t>2001-2007</t>
  </si>
  <si>
    <t>ITA_2004_PROVA</t>
  </si>
  <si>
    <t>ITA_2005_BRUNECKstudy</t>
  </si>
  <si>
    <t>55-93</t>
  </si>
  <si>
    <t>ITA_2005_IPREA</t>
  </si>
  <si>
    <t>Italian Project on the Epidemiology of Alzheimer's Disease</t>
  </si>
  <si>
    <t>ITA_2005_Vobarno</t>
  </si>
  <si>
    <t>Vobarno study</t>
  </si>
  <si>
    <t>55-74</t>
  </si>
  <si>
    <t>ITA_2006_MOLIF</t>
  </si>
  <si>
    <t>Moli-family Study</t>
  </si>
  <si>
    <t>ITA_2008_EMAS</t>
  </si>
  <si>
    <t>ITA_2008_Moli</t>
  </si>
  <si>
    <t>Moli-sani Study</t>
  </si>
  <si>
    <t>ITA_2009_VIP</t>
  </si>
  <si>
    <t>ITA_2010_BRUNECKstudy</t>
  </si>
  <si>
    <t>ITA_2010_citGrosso</t>
  </si>
  <si>
    <t>Factors associated with metabolic syndrome in a mediterranean population: role of caffeinated beverages</t>
  </si>
  <si>
    <t>19-88</t>
  </si>
  <si>
    <t>ITA_2010_OEC</t>
  </si>
  <si>
    <t>Osservatorio Epidemiologico Cardiovascolare/Health Examination Survey (OEC/HES)</t>
  </si>
  <si>
    <t>35-80</t>
  </si>
  <si>
    <t>ITA_2011_CAMELIA</t>
  </si>
  <si>
    <t>CArdiovascular risk MEtabolic syndrome LIver and Autoimmunity diseases (CA.ME.LI.A)</t>
  </si>
  <si>
    <t>ITA_2012_Vobarno</t>
  </si>
  <si>
    <t>49-62</t>
  </si>
  <si>
    <t>ITA_2015_BRUNECKstudy</t>
  </si>
  <si>
    <t>ITA_2016_EVA</t>
  </si>
  <si>
    <t>The Tyrolean Early Vascular Ageing-study (EVA-Tyrol) - South-Tyrol</t>
  </si>
  <si>
    <t>ITA_2018_VIP</t>
  </si>
  <si>
    <t>ITA_2019_Moli</t>
  </si>
  <si>
    <t>2017-2020</t>
  </si>
  <si>
    <t>47-94</t>
  </si>
  <si>
    <t>JAM_1991_7388007</t>
  </si>
  <si>
    <t>Jamaica</t>
  </si>
  <si>
    <t>Eldemire et al, West Indian Med J 45:82-4, 1996</t>
  </si>
  <si>
    <t>JAM_1995_7388006</t>
  </si>
  <si>
    <t>MacFarlane-Anderson et al., Metabolism 47:617-21, 1998</t>
  </si>
  <si>
    <t>JAM_2001_JHLS</t>
  </si>
  <si>
    <t>Jamaica Health and Lifestyle Survey</t>
  </si>
  <si>
    <t>JAM_2007_JYRRBS</t>
  </si>
  <si>
    <t>Jamaica Youth Risk and Resiliency Behaviour Survey 2006</t>
  </si>
  <si>
    <t>JAM_2008_JHLS</t>
  </si>
  <si>
    <t>JAM_2012_OPJ</t>
  </si>
  <si>
    <t>Older Persons in Jamaica 2012</t>
  </si>
  <si>
    <t>JAM_2017_JHLS</t>
  </si>
  <si>
    <t>JOR_2004_BRFSS</t>
  </si>
  <si>
    <t>Behavioural Risk Factor Surveillence Survey</t>
  </si>
  <si>
    <t>JOR_2007_BRFSS</t>
  </si>
  <si>
    <t>JOR_2009_MAVDS</t>
  </si>
  <si>
    <t>Metablic abnomalities and vitamin D study</t>
  </si>
  <si>
    <t>JOR_2016_NCDDS</t>
  </si>
  <si>
    <t>National Cardiovascular Diseases and Diabetes Study (NCDDS)</t>
  </si>
  <si>
    <t>JPN_1986_APCSC-Akabane</t>
  </si>
  <si>
    <t>Japan</t>
  </si>
  <si>
    <t>1985-1986</t>
  </si>
  <si>
    <t>Akabane Study</t>
  </si>
  <si>
    <t>40-69</t>
  </si>
  <si>
    <t>JPN_1987_APCSC-Konan</t>
  </si>
  <si>
    <t>1987</t>
  </si>
  <si>
    <t>Konan Town Study</t>
  </si>
  <si>
    <t>JPN_1988_APCSC-Konan</t>
  </si>
  <si>
    <t>76</t>
  </si>
  <si>
    <t>JPN_1988_HiS</t>
  </si>
  <si>
    <t>The Hisayama Study</t>
  </si>
  <si>
    <t>JPN_1989_APCSC-Konan</t>
  </si>
  <si>
    <t>JPN_1989_NNS</t>
  </si>
  <si>
    <t>National Nutrition Survey</t>
  </si>
  <si>
    <t>JPN_1990_APCSC-Konan</t>
  </si>
  <si>
    <t>JPN_1990_NNS</t>
  </si>
  <si>
    <t>National Nutrition Survey and National Cadiovascular Survey</t>
  </si>
  <si>
    <t>JPN_1991_1392004</t>
  </si>
  <si>
    <t>JPN_1991_APCSC-Konan</t>
  </si>
  <si>
    <t>JPN_1991_NNS</t>
  </si>
  <si>
    <t>JPN_1992_APCSC-Konan</t>
  </si>
  <si>
    <t>JPN_1992_NNS</t>
  </si>
  <si>
    <t>JPN_1993_APCSC-Konan</t>
  </si>
  <si>
    <t>JPN_1993_NNS</t>
  </si>
  <si>
    <t>JPN_1994_APCSC-Konan</t>
  </si>
  <si>
    <t>JPN_1994_NNS</t>
  </si>
  <si>
    <t>20-59</t>
  </si>
  <si>
    <t>JPN_1995_APCSC-Konan</t>
  </si>
  <si>
    <t>JPN_1995_NNS</t>
  </si>
  <si>
    <t>JPN_1996_NNS</t>
  </si>
  <si>
    <t>JPN_1997_NNS</t>
  </si>
  <si>
    <t>JPN_1998_1392009</t>
  </si>
  <si>
    <t>APCSC-Akabane</t>
  </si>
  <si>
    <t>JPN_1998_NNS</t>
  </si>
  <si>
    <t>JPN_1999_JPHCDS</t>
  </si>
  <si>
    <t>The Japan Public Health Center-based Prospective Diabetes study: JPHC Diabetes study</t>
  </si>
  <si>
    <t>46-75</t>
  </si>
  <si>
    <t>JPN_1999_NNS</t>
  </si>
  <si>
    <t>JPN_2000_Niigata</t>
  </si>
  <si>
    <t>Niigata Study</t>
  </si>
  <si>
    <t>72</t>
  </si>
  <si>
    <t>JPN_2000_NNS</t>
  </si>
  <si>
    <t>JPN_2001_1392021</t>
  </si>
  <si>
    <t>Nakagami et al., Diabetologia 46:1063-70, 2003</t>
  </si>
  <si>
    <t>JPN_2001_JAHSD</t>
  </si>
  <si>
    <t>The Japan Association of Health Service Database</t>
  </si>
  <si>
    <t>JPN_2001_Niigata</t>
  </si>
  <si>
    <t>73</t>
  </si>
  <si>
    <t>JPN_2001_NNS</t>
  </si>
  <si>
    <t>JPN_2002_Niigata</t>
  </si>
  <si>
    <t>JPN_2002_NNS</t>
  </si>
  <si>
    <t>JPN_2003_HiS</t>
  </si>
  <si>
    <t>2002-2003</t>
  </si>
  <si>
    <t>JPN_2003_NHNS</t>
  </si>
  <si>
    <t>National Health and Nutrition Survey</t>
  </si>
  <si>
    <t>JPN_2003_Niigata</t>
  </si>
  <si>
    <t>75</t>
  </si>
  <si>
    <t>JPN_2004_NHNS</t>
  </si>
  <si>
    <t>JPN_2004_Niigata</t>
  </si>
  <si>
    <t>JPN_2005_JPHCDS</t>
  </si>
  <si>
    <t>51-80</t>
  </si>
  <si>
    <t>51-81</t>
  </si>
  <si>
    <t>JPN_2005_NHNS</t>
  </si>
  <si>
    <t>JPN_2005_Niigata</t>
  </si>
  <si>
    <t>77</t>
  </si>
  <si>
    <t>JPN_2006_NHNS</t>
  </si>
  <si>
    <t>JPN_2006_Niigata</t>
  </si>
  <si>
    <t>78</t>
  </si>
  <si>
    <t>JPN_2007_NHNS</t>
  </si>
  <si>
    <t>JPN_2007_Niigata</t>
  </si>
  <si>
    <t>79</t>
  </si>
  <si>
    <t>JPN_2008_1392020</t>
  </si>
  <si>
    <t>Study on residents in Kanazawa City aged over 40</t>
  </si>
  <si>
    <t>JPN_2008_NHNS</t>
  </si>
  <si>
    <t>JPN_2008_Niigata</t>
  </si>
  <si>
    <t>80</t>
  </si>
  <si>
    <t>JPN_2009_NHNS</t>
  </si>
  <si>
    <t>JPN_2010_NHNS</t>
  </si>
  <si>
    <t>JPN_2011_NHNS</t>
  </si>
  <si>
    <t>JPN_2011_THSAD</t>
  </si>
  <si>
    <t>The Tokyo Health Service Association Database</t>
  </si>
  <si>
    <t>JPN_2012_NHNS</t>
  </si>
  <si>
    <t>JPN_2013_NHNS</t>
  </si>
  <si>
    <t>JPN_2014_JPHC-Next</t>
  </si>
  <si>
    <t>2011-2016</t>
  </si>
  <si>
    <t>Japan Public Health Center-based Prospective Study for the Next Generation (JPHC-NEXT Study)</t>
  </si>
  <si>
    <t>40-73</t>
  </si>
  <si>
    <t>JPN_2014_Nagahama</t>
  </si>
  <si>
    <t>2012-2016</t>
  </si>
  <si>
    <t>The Nagahama Study</t>
  </si>
  <si>
    <t>JPN_2014_NHNS</t>
  </si>
  <si>
    <t>JPN_2015_NHNS</t>
  </si>
  <si>
    <t>JPN_2016_NHNS</t>
  </si>
  <si>
    <t>JPN_2017_NHNS</t>
  </si>
  <si>
    <t>JPN_2017_Shizuoka</t>
  </si>
  <si>
    <t>2015-2019</t>
  </si>
  <si>
    <t>The Shizuoka KDB study</t>
  </si>
  <si>
    <t>75-90</t>
  </si>
  <si>
    <t>JPN_2017_THSAD</t>
  </si>
  <si>
    <t>JPN_2018_NHNS</t>
  </si>
  <si>
    <t>JPN_2019_NHNS</t>
  </si>
  <si>
    <t>JPN_2022_THSAD</t>
  </si>
  <si>
    <t>KAZ_2012_HHS</t>
  </si>
  <si>
    <t>Kazakhstan</t>
  </si>
  <si>
    <t>Household Health Survey</t>
  </si>
  <si>
    <t>KAZ_2015_Almaty</t>
  </si>
  <si>
    <t>Almaty STEPS</t>
  </si>
  <si>
    <t>KAZ_2015_Shymkent</t>
  </si>
  <si>
    <t>Shymkent STEPS</t>
  </si>
  <si>
    <t>KAZ_2016_Aktobe</t>
  </si>
  <si>
    <t>Aktobe STEPS</t>
  </si>
  <si>
    <t>KAZ_2019_Karaganda</t>
  </si>
  <si>
    <t>A health status assessment of a population of Karaganda urban region</t>
  </si>
  <si>
    <t>KAZ_2021_NCDRF</t>
  </si>
  <si>
    <t>Prevalence of NCD Risk Factors in Kazakhstan</t>
  </si>
  <si>
    <t>KAZ_2022_PRFNCD</t>
  </si>
  <si>
    <t>2021-2022</t>
  </si>
  <si>
    <t>Prevalence of risk factors for NCD in Kazakhstan</t>
  </si>
  <si>
    <t>KIR_1981_ESK_rural</t>
  </si>
  <si>
    <t>Epidemiological survey of Kiribati</t>
  </si>
  <si>
    <t>KIR_1981_ESK_urban</t>
  </si>
  <si>
    <t>KOR_2001_1410013</t>
  </si>
  <si>
    <t>South Korea</t>
  </si>
  <si>
    <t>Kim et al., Br J Psychiatry 185:102-7, 2004</t>
  </si>
  <si>
    <t>KOR_2001_KNHANES</t>
  </si>
  <si>
    <t>Korea National Health and Nutrition Examination Survey</t>
  </si>
  <si>
    <t>KOR_2005_KNHANES</t>
  </si>
  <si>
    <t>KOR_2007_KNHANES</t>
  </si>
  <si>
    <t>KOR_2008_KNHANES</t>
  </si>
  <si>
    <t>KOR_2009_KNHANES</t>
  </si>
  <si>
    <t>KOR_2009_KNHI</t>
  </si>
  <si>
    <t>Korean National Health Insurance</t>
  </si>
  <si>
    <t>KOR_2010_KNHANES</t>
  </si>
  <si>
    <t>KOR_2011_KNHANES</t>
  </si>
  <si>
    <t>KOR_2011_KNHI</t>
  </si>
  <si>
    <t>KOR_2012_KNHANES</t>
  </si>
  <si>
    <t>KOR_2013_KNHANES</t>
  </si>
  <si>
    <t>KOR_2013_KNHI</t>
  </si>
  <si>
    <t>KOR_2014_KNHANES</t>
  </si>
  <si>
    <t>KOR_2015_KNHANES</t>
  </si>
  <si>
    <t>KOR_2015_KNHI</t>
  </si>
  <si>
    <t>KOR_2016_KNHANES</t>
  </si>
  <si>
    <t>KOR_2017_KNHANES</t>
  </si>
  <si>
    <t>KOR_2017_KNHI</t>
  </si>
  <si>
    <t>KOR_2018_KNHANES</t>
  </si>
  <si>
    <t>KOR_2019_KNHANES</t>
  </si>
  <si>
    <t>KOR_2019_KNHI</t>
  </si>
  <si>
    <t>KOR_2020_KNHANES</t>
  </si>
  <si>
    <t>KOR_2021_KNHANES</t>
  </si>
  <si>
    <t>KOR_2021_KNHI</t>
  </si>
  <si>
    <t>KOR_2023_KNHI</t>
  </si>
  <si>
    <t>KWT_2009_NNSSK</t>
  </si>
  <si>
    <t>National Nutrition Program for the State of Kuwait</t>
  </si>
  <si>
    <t>18-86</t>
  </si>
  <si>
    <t>KWT_2013_KDEP</t>
  </si>
  <si>
    <t>Kuwait Diabetes Epidemiology Program</t>
  </si>
  <si>
    <t>18-82</t>
  </si>
  <si>
    <t>LBN_2023_STEPS</t>
  </si>
  <si>
    <t>2023-2024</t>
  </si>
  <si>
    <t>LBY_1999_15434051</t>
  </si>
  <si>
    <t>Kadiki et al., Diabetes Metab 27:647-54, 2001</t>
  </si>
  <si>
    <t>25-84</t>
  </si>
  <si>
    <t>LBY_2023_STEPS</t>
  </si>
  <si>
    <t>LKA_2000_5144011</t>
  </si>
  <si>
    <t>Malavige et al., Diabetes Res Clin Pract 57:143-5, 2002</t>
  </si>
  <si>
    <t>LKA_2006_SLDCS</t>
  </si>
  <si>
    <t>Sri Lanka Diabetes, Cardiovascular study (SLDCS)</t>
  </si>
  <si>
    <t>LKA_2007_22998091</t>
  </si>
  <si>
    <t>Pinidiyapathirage et al., Diabet Med 30:326-32, 2013</t>
  </si>
  <si>
    <t>LKA_2010_23237051</t>
  </si>
  <si>
    <t>Pubudu De Silva et al., Int J Equity Health 11:76, 2012</t>
  </si>
  <si>
    <t>LKA_2019_SLHAS</t>
  </si>
  <si>
    <t>The Sri Lanka Health and Ageing Study (SLHAS)</t>
  </si>
  <si>
    <t>LTU_2002_MONICA4</t>
  </si>
  <si>
    <t>Lithuania</t>
  </si>
  <si>
    <t>MONICA4</t>
  </si>
  <si>
    <t>LTU_2007_HAPIEE</t>
  </si>
  <si>
    <t>LUX_2008_ORISCAV</t>
  </si>
  <si>
    <t>Luxembourg</t>
  </si>
  <si>
    <t>Observation of cardiovascular risk factors in Luxembourg (ORISCAV-LUX)</t>
  </si>
  <si>
    <t>LUX_2014_EHES</t>
  </si>
  <si>
    <t>European Health Examination Survey in Luxembourg</t>
  </si>
  <si>
    <t>LUX_2017_ORISCAV</t>
  </si>
  <si>
    <t>Observation of cardiovascular risk factors in Luxembourg (ORISCAV-LUX2)</t>
  </si>
  <si>
    <t>LVA_2009_CRFS</t>
  </si>
  <si>
    <t>Latvia</t>
  </si>
  <si>
    <t>Cardiovascular risk factor study</t>
  </si>
  <si>
    <t>MAR_2000_NS</t>
  </si>
  <si>
    <t>National Survey 2000</t>
  </si>
  <si>
    <t>20-89</t>
  </si>
  <si>
    <t>MDV_2004_STEPS</t>
  </si>
  <si>
    <t>MEX_2005_CARMELA</t>
  </si>
  <si>
    <t>MEX_2006_ENSANUT</t>
  </si>
  <si>
    <t>Encuesta Nacional de Salud y Nutrición</t>
  </si>
  <si>
    <t>Encuesta Nacional Sobre Niveles de vida de los Hogares</t>
  </si>
  <si>
    <t>The Mexican Health and Aging Study</t>
  </si>
  <si>
    <t>MEX_2016_MEXCOG</t>
  </si>
  <si>
    <t>Cognitive Aging Linked to MHAS (Mex-Cog)</t>
  </si>
  <si>
    <t>55+</t>
  </si>
  <si>
    <t>MEX_2019_ENSANUT</t>
  </si>
  <si>
    <t>MEX_2020_ENSANUT</t>
  </si>
  <si>
    <t>MEX_2021_ENSANUT</t>
  </si>
  <si>
    <t>MEX_2022_ENSANUT</t>
  </si>
  <si>
    <t>MLT_1981_10470027</t>
  </si>
  <si>
    <t>Malta</t>
  </si>
  <si>
    <t>MLT_2015_SAHHTEK</t>
  </si>
  <si>
    <t>SAHHTEK - The University of Malta Health and Wellbeing Study</t>
  </si>
  <si>
    <t>18-70</t>
  </si>
  <si>
    <t>MMR_2004_STEPS</t>
  </si>
  <si>
    <t>Myanmar</t>
  </si>
  <si>
    <t>MMR_2014_STEPS</t>
  </si>
  <si>
    <t>National survey of Diabetes Mellitus and risk factors for Non-communicable diseases in Myanmar</t>
  </si>
  <si>
    <t>MMR_2014_STEPSYangon</t>
  </si>
  <si>
    <t>STEPS, Yangon</t>
  </si>
  <si>
    <t>MOZ_2015_STEPS</t>
  </si>
  <si>
    <t>Mozambique</t>
  </si>
  <si>
    <t>MUS_1987_MNCS</t>
  </si>
  <si>
    <t>Mauritius</t>
  </si>
  <si>
    <t>Mauritius Noncommunicable Disease Survey</t>
  </si>
  <si>
    <t>MUS_1992_MNCS</t>
  </si>
  <si>
    <t>MUS_1992_Rodrigues</t>
  </si>
  <si>
    <t>Rodrigues, Mauritius (1992)</t>
  </si>
  <si>
    <t>MUS_1998_MNCS</t>
  </si>
  <si>
    <t>MUS_1999_Rodrigues</t>
  </si>
  <si>
    <t>Rodrigues, Mauritius (1999)</t>
  </si>
  <si>
    <t>MUS_2009_MNCS</t>
  </si>
  <si>
    <t>19-74</t>
  </si>
  <si>
    <t>MUS_2015_MNCS</t>
  </si>
  <si>
    <t>MUS_2015_MNCS98FUP</t>
  </si>
  <si>
    <t>Mauritius Noncommunicable Disease Survey 1998 Follow Up</t>
  </si>
  <si>
    <t>MWI_2015_NCDSrural</t>
  </si>
  <si>
    <t>NCD Survey Malawi Epidemiology and Intervention Research Unit</t>
  </si>
  <si>
    <t>MWI_2015_NCDSurban</t>
  </si>
  <si>
    <t>MYS_2004_citRampal</t>
  </si>
  <si>
    <t>Malaysia</t>
  </si>
  <si>
    <t>Rampal et al., Public Health 122(1):11-8, 2008</t>
  </si>
  <si>
    <t>MYS_2006_NHMS</t>
  </si>
  <si>
    <t>National Health and Morbidity Survey (NHMS)</t>
  </si>
  <si>
    <t>MYS_2008_MSSMrural</t>
  </si>
  <si>
    <t>Metabolic Syndrome Study in Malaysia</t>
  </si>
  <si>
    <t>MYS_2008_MSSMurban</t>
  </si>
  <si>
    <t>MYS_2011_NHMS</t>
  </si>
  <si>
    <t>MYS_2015_NHMS</t>
  </si>
  <si>
    <t>MYS_2019_NHMS</t>
  </si>
  <si>
    <t>Demographic and Health Survey Namibia 2013</t>
  </si>
  <si>
    <t>NGA_1998_21566008</t>
  </si>
  <si>
    <t>Nigeria</t>
  </si>
  <si>
    <t>Okesina et al., East Afr Med J 76:212-6, 1999</t>
  </si>
  <si>
    <t>NGA_2005_citUkoli</t>
  </si>
  <si>
    <t>1999-2009</t>
  </si>
  <si>
    <t>Prostate cancer dietary risk factors study</t>
  </si>
  <si>
    <t>NGA_2006_ClusteringNNigeria</t>
  </si>
  <si>
    <t>Clustering of cardiovascular disease risk-factors in semiurban population in Northern Nigeria</t>
  </si>
  <si>
    <t>NGA_2007_SoutheastNigeria</t>
  </si>
  <si>
    <t>Southeast Nigeria kidney disease study</t>
  </si>
  <si>
    <t>NGA_2010_AnthroCalabar</t>
  </si>
  <si>
    <t>Anthropometric indices in Calabar</t>
  </si>
  <si>
    <t>NIC_2004_CAMDI</t>
  </si>
  <si>
    <t>Nicaragua</t>
  </si>
  <si>
    <t>NLD_1990_10528034</t>
  </si>
  <si>
    <t>Netherlands</t>
  </si>
  <si>
    <t>50-79</t>
  </si>
  <si>
    <t>NLD_1990_ZES</t>
  </si>
  <si>
    <t>Zutphen Elderly Study</t>
  </si>
  <si>
    <t>69-90</t>
  </si>
  <si>
    <t>NLD_1996_LASA</t>
  </si>
  <si>
    <t>The Longitudinal Aging Study Amsterdam (LASA)</t>
  </si>
  <si>
    <t>65-88</t>
  </si>
  <si>
    <t>NLD_2000_Regenboog</t>
  </si>
  <si>
    <t>Regenboog Project</t>
  </si>
  <si>
    <t>18-89</t>
  </si>
  <si>
    <t>NLD_2002_SUNSET</t>
  </si>
  <si>
    <t>Surinamese in the Netherlands: Study on Ethnicity and Health (SUNSET)</t>
  </si>
  <si>
    <t>35-60</t>
  </si>
  <si>
    <t>NLD_2009_LASA</t>
  </si>
  <si>
    <t>60-100</t>
  </si>
  <si>
    <t>NLD_2013_LASA</t>
  </si>
  <si>
    <t>55-65</t>
  </si>
  <si>
    <t>NOR_2002_Tromso</t>
  </si>
  <si>
    <t>Norway</t>
  </si>
  <si>
    <t>The Tromsø Study: Tromsø 5, Tromsø Study Panel</t>
  </si>
  <si>
    <t>NOR_2008_Tromso</t>
  </si>
  <si>
    <t>The Tromsø Study: Tromsø 6</t>
  </si>
  <si>
    <t>30-87</t>
  </si>
  <si>
    <t>NOR_2018_HUNT</t>
  </si>
  <si>
    <t>HUNT4 study</t>
  </si>
  <si>
    <t>NPL_1990_4524013</t>
  </si>
  <si>
    <t>Sasaki et al., Diabetes Res Clin Pract 67:167-74, 2005</t>
  </si>
  <si>
    <t>NPL_2000_4524020</t>
  </si>
  <si>
    <t>Singh et al., Diabet Med 20:170-1, 2003</t>
  </si>
  <si>
    <t>NPL_2000_4524084</t>
  </si>
  <si>
    <t>NPL_2009_KHDC1</t>
  </si>
  <si>
    <t>2006-2011</t>
  </si>
  <si>
    <t>Early detection and management of Kidney disease, Hypertension, Diabetes and Cardiovascular disease (KHDC Nepal), Tarahara</t>
  </si>
  <si>
    <t>NPL_2009_KHDC2</t>
  </si>
  <si>
    <t>Early detection and management of Kidney disease, Hypertension, Diabetes and Cardiovascular disease (KHDC Nepal), Damak</t>
  </si>
  <si>
    <t>NPL_2009_KHDC3</t>
  </si>
  <si>
    <t>Early detection and management of Kidney disease, Hypertension, Diabetes and Cardiovascular disease (KHDC Nepal), Dharan</t>
  </si>
  <si>
    <t>NPL_2015_STEPSDhankuta</t>
  </si>
  <si>
    <t>Community based intervention for prevention and control of non-communicable diseases risk factors (CIPCON) baseline survey, Dhankuta</t>
  </si>
  <si>
    <t>NPL_2015_STEPSIlam</t>
  </si>
  <si>
    <t>Community based intervention for prevention and control of non-communicable diseases risk factors (CIPCON) baseline survey, Ilam</t>
  </si>
  <si>
    <t>NPL_2017_NCD</t>
  </si>
  <si>
    <t>The Population Based Prevalence of Selected Non-Communicable Diseases In Nepal</t>
  </si>
  <si>
    <t>NRU_1982_NIDDM</t>
  </si>
  <si>
    <t>Trends in the prevalence and incidence of non-insulin-dependent diabetes mellitus and impaired glucose tolerance</t>
  </si>
  <si>
    <t>NRU_1987_NIDDM</t>
  </si>
  <si>
    <t>NRU_1994_NIDDM</t>
  </si>
  <si>
    <t>NRU_2006_STEPS</t>
  </si>
  <si>
    <t>NZL_2009_ANS</t>
  </si>
  <si>
    <t>New Zealand</t>
  </si>
  <si>
    <t>New Zealand Adult Nutrition Survey</t>
  </si>
  <si>
    <t>OMN_1991_NDS</t>
  </si>
  <si>
    <t>The 1991 National Diabetes Survey of Oman</t>
  </si>
  <si>
    <t>OMN_2000_ONHS</t>
  </si>
  <si>
    <t>Oman National Health Survey</t>
  </si>
  <si>
    <t>OMN_2001_Nizwa</t>
  </si>
  <si>
    <t>Nizwa Healthy Lifestyle Project</t>
  </si>
  <si>
    <t>OMN_2008_WHS</t>
  </si>
  <si>
    <t>Gulf Cooperation Council World Health Survey</t>
  </si>
  <si>
    <t>PAK_1994_4586016</t>
  </si>
  <si>
    <t>Pakistan</t>
  </si>
  <si>
    <t>Basit et al., J Pak Med Assoc 52:357-60, 2002</t>
  </si>
  <si>
    <t>PAK_2002_21890227</t>
  </si>
  <si>
    <t>Basit et al., Diabetes Res Clin Pract 94:456-62, 2011; Study 1</t>
  </si>
  <si>
    <t>PAK_2005_4586023</t>
  </si>
  <si>
    <t>COBRA-1</t>
  </si>
  <si>
    <t>PAK_2009_21890227</t>
  </si>
  <si>
    <t>Basit et al., Diabetes Res Clin Pract 94:456-62, 2011; Study 2</t>
  </si>
  <si>
    <t>PAK_2017_NDSP</t>
  </si>
  <si>
    <t>National Diabetes Survey of Pakistan</t>
  </si>
  <si>
    <t>PAN_2011_PREFREC</t>
  </si>
  <si>
    <t>Panama</t>
  </si>
  <si>
    <t>Prevalencia de factores de riesgo asociados a enfermedad cardiovascular 2010-2011</t>
  </si>
  <si>
    <t>PAN_2019_ENSPA</t>
  </si>
  <si>
    <t>Encuesta Nacional de Salud de Panama (ENSPA)</t>
  </si>
  <si>
    <t>PER_2004_FRENTtrujillo</t>
  </si>
  <si>
    <t>Peru</t>
  </si>
  <si>
    <t>Factores de Riesgo de Enfermedades No Transmisibles</t>
  </si>
  <si>
    <t>PER_2005_11604003</t>
  </si>
  <si>
    <t>PREVENCION Study; Medina-Lezama et al., J Am Soc Hypertens 1:216-25, 2007</t>
  </si>
  <si>
    <t>PER_2005_CARMELA</t>
  </si>
  <si>
    <t>PER_2005_ENIN</t>
  </si>
  <si>
    <t>Encuesta Nacional de Indicadores Nutricionales, Bioquímicos, Socioeconómicos y Culturales Relacionados con las Enfermedades Crónicas Degenerativas</t>
  </si>
  <si>
    <t>PER_2005_FRENThuancayo</t>
  </si>
  <si>
    <t>PER_2006_FRENTlima</t>
  </si>
  <si>
    <t>PER_2008_PMS</t>
  </si>
  <si>
    <t>PERU MIGRANT Study</t>
  </si>
  <si>
    <t>PER_2011_CRONICAS</t>
  </si>
  <si>
    <t>CRONICAS Cohort Study</t>
  </si>
  <si>
    <t>PER_2013_ElderlySMP</t>
  </si>
  <si>
    <t>Clinical functional and sociofamilial profiles of the elderly from a community in a district of Lima, Peru</t>
  </si>
  <si>
    <t>PER_2014_CRONICAS</t>
  </si>
  <si>
    <t>36+</t>
  </si>
  <si>
    <t>PER_2016_PMS</t>
  </si>
  <si>
    <t>38+</t>
  </si>
  <si>
    <t>PER_2017_T2DMSCREENING</t>
  </si>
  <si>
    <t>Screening of T2DM</t>
  </si>
  <si>
    <t>PER_2018_VIANEV</t>
  </si>
  <si>
    <t>Vigilancia Alimentario Nutricional por Etapas de Vida (VIANEV) 2017-2018</t>
  </si>
  <si>
    <t>PHL_1998_5608020</t>
  </si>
  <si>
    <t>National Nutrition Survey; Tanchoco et al., Asia Pac J Clin Nutr 12:271-6, 2003</t>
  </si>
  <si>
    <t>PHL_2003_NNSsub</t>
  </si>
  <si>
    <t>6th National Nutrition Survey</t>
  </si>
  <si>
    <t>Cebu Longitudinal Health and Nutrition Survey 2005 Child Follow-up</t>
  </si>
  <si>
    <t>20-22</t>
  </si>
  <si>
    <t>Cebu Longitudinal Health and Nutrition Survey 2005 Mother Follow-up</t>
  </si>
  <si>
    <t>35-69</t>
  </si>
  <si>
    <t>PHL_2008_NNSsub</t>
  </si>
  <si>
    <t>7th National Nutrition Survey</t>
  </si>
  <si>
    <t>PHL_2008_PLCC</t>
  </si>
  <si>
    <t>Philippines LIFECARE Cohort</t>
  </si>
  <si>
    <t>20-50</t>
  </si>
  <si>
    <t>PHL_2014_NNS</t>
  </si>
  <si>
    <t>8th National Nutrition Survey</t>
  </si>
  <si>
    <t>PHL_2019_ENNS</t>
  </si>
  <si>
    <t>Philippine Expanded National Nutrition Survey</t>
  </si>
  <si>
    <t>PNG_1991_citDowse</t>
  </si>
  <si>
    <t>Papua New Guinea</t>
  </si>
  <si>
    <t>Dowse et al., Med J Aust 160:767-74, 1994</t>
  </si>
  <si>
    <t>25-88</t>
  </si>
  <si>
    <t>POL_1989_CINDI</t>
  </si>
  <si>
    <t>Poland</t>
  </si>
  <si>
    <t>Polish Program CINDI (CINDI Lodz 1989-1990)</t>
  </si>
  <si>
    <t>POL_1993_8616006</t>
  </si>
  <si>
    <t>POL_2000_CINDI</t>
  </si>
  <si>
    <t>The health status, risk factors of chronic diseases and health behaviors of residents of Torun (CINDI Torun 2000)</t>
  </si>
  <si>
    <t>18-83</t>
  </si>
  <si>
    <t>POL_2002_CINDI</t>
  </si>
  <si>
    <t>The health status, risk factors of chronic diseases and health behaviors of residents of Lodz (CINDI Lodz 2001)</t>
  </si>
  <si>
    <t>POL_2002_CINDI-senior</t>
  </si>
  <si>
    <t>The health status, risk factors of chronic diseases and health behaviors of residents of Lodz - seniors (CINDI Lodz 2002)</t>
  </si>
  <si>
    <t>POL_2002_NATPOL</t>
  </si>
  <si>
    <t>NATPOL</t>
  </si>
  <si>
    <t>POL_2002_YMCA</t>
  </si>
  <si>
    <t>Young Men Cardiovascular Association Study</t>
  </si>
  <si>
    <t>POL_2003_EMAS</t>
  </si>
  <si>
    <t>POL_2004_HAPIEE</t>
  </si>
  <si>
    <t>POL_2004_WOBASZ</t>
  </si>
  <si>
    <t>National Multicenter Health Survey in Poland. Project WOBASZ</t>
  </si>
  <si>
    <t>POL_2006_CINDI</t>
  </si>
  <si>
    <t>The health, risk factors for chronic diseases, attitudes and behaviors of health residents of Torun (CINDI Torun 2006)</t>
  </si>
  <si>
    <t>POL_2008_EMAS</t>
  </si>
  <si>
    <t>POL_2009_PolSenior</t>
  </si>
  <si>
    <t>Medical, psychological and socioeconomic aspects of aging in Poland</t>
  </si>
  <si>
    <t>POL_2010_22216794</t>
  </si>
  <si>
    <t>Zatonska et al., Ann Agric Environ Med 18:265-9, 2011</t>
  </si>
  <si>
    <t>45-64</t>
  </si>
  <si>
    <t>POL_2011_NATPOL</t>
  </si>
  <si>
    <t>POL_2013_MHESS</t>
  </si>
  <si>
    <t>Mogielica Human Ecology Study Site</t>
  </si>
  <si>
    <t>POL_2014_WOBASZ</t>
  </si>
  <si>
    <t>National Multicenter Health Survey in Poland. Project WOBASZ II</t>
  </si>
  <si>
    <t>POL_2016_LIPIDOGRAM</t>
  </si>
  <si>
    <t>LIPIDOGRAM2015 &amp; LIPIDOGEN2015 Study - National epidemiological study of lipid disorders and selected risk factors of cardiovascular disease in primary health care in Poland</t>
  </si>
  <si>
    <t>PRI_2006_7630016</t>
  </si>
  <si>
    <t>Puerto Rico</t>
  </si>
  <si>
    <t>Pérez et al., Ethn Dis 18:434-41, 2008</t>
  </si>
  <si>
    <t>PRT_2001_EPIPorto</t>
  </si>
  <si>
    <t>Portugal</t>
  </si>
  <si>
    <t>EPIPorto study</t>
  </si>
  <si>
    <t>PRT_2012_EPITeen</t>
  </si>
  <si>
    <t>EPITeen - Epidemiological Health Investigation of Teenagers in Porto</t>
  </si>
  <si>
    <t>20-23</t>
  </si>
  <si>
    <t>PRT_2015_INSEF</t>
  </si>
  <si>
    <t>Inquérito Nacional de Saúde com Exame Físico (INSEF)</t>
  </si>
  <si>
    <t>PSE_1997_citAbu-Rmeilehrural</t>
  </si>
  <si>
    <t>Ramallah study</t>
  </si>
  <si>
    <t>PSE_1997_citAbu-Rmeilehurban</t>
  </si>
  <si>
    <t>ROU_1997_VALM</t>
  </si>
  <si>
    <t>Romania</t>
  </si>
  <si>
    <t>Valorile medii si limitele normalitatii unor constante biologice</t>
  </si>
  <si>
    <t>30-85</t>
  </si>
  <si>
    <t>ROU_2012_SEPHAR</t>
  </si>
  <si>
    <t>SEPHAR II (Study for the Evaluation of Prevalence of Hypertension and Cardiovascular Risk in Romania - 2nd edition)</t>
  </si>
  <si>
    <t>ROU_2013_PREDATORR</t>
  </si>
  <si>
    <t>PREDATORR</t>
  </si>
  <si>
    <t>ROU_2021_SEPHAR</t>
  </si>
  <si>
    <t>SEPHAR IV (Study for the Evaluation of Prevalence of Hypertension and Cardiovascular Risk in Romania - 4th edition)</t>
  </si>
  <si>
    <t>RUS_2004_HAPIEE</t>
  </si>
  <si>
    <t>Russian Federation</t>
  </si>
  <si>
    <t>RUS_2013_ESSERF</t>
  </si>
  <si>
    <t>Epidemiology of Cardiovascular dieseases in different regions of Russia (ESSE-RF)</t>
  </si>
  <si>
    <t>RUS_2016_UEMSrural</t>
  </si>
  <si>
    <t>Ural Eye and Medical Study (UEMS)</t>
  </si>
  <si>
    <t>RUS_2016_UEMSurban</t>
  </si>
  <si>
    <t>RUS_2017_ESSERF2</t>
  </si>
  <si>
    <t>Epidemiology of Cardiovascular Diseases in Different Regions of Russia - 2 (ESSE-RF-2)</t>
  </si>
  <si>
    <t>RUS_2019_UVOS</t>
  </si>
  <si>
    <t>Ural Very Old Study</t>
  </si>
  <si>
    <t>SAU_1998_15682011</t>
  </si>
  <si>
    <t>Saudi Arabia</t>
  </si>
  <si>
    <t>National Epidemiological Health Survey; Al-Nozha et al., Saudi Med J 25:1603-10, 2004</t>
  </si>
  <si>
    <t>SAU_2005_STEPS</t>
  </si>
  <si>
    <t>15-64</t>
  </si>
  <si>
    <t>SAU_2009_RIYADH</t>
  </si>
  <si>
    <t>RIYADH Cohort 2; Al-Daghri et al., BMC Med 9:76, 2011</t>
  </si>
  <si>
    <t>SAU_2012_Jeeluna</t>
  </si>
  <si>
    <t>Jeeluna Study- National Assessment of the Health Needs of Adolescents in Saudi Arabia</t>
  </si>
  <si>
    <t>SDN_2005_STEPS</t>
  </si>
  <si>
    <t>SEN_2011_NTS</t>
  </si>
  <si>
    <t>Senegal</t>
  </si>
  <si>
    <t>Biocultural determinants of overweight and obesity in the context of nutrition transition in Senegal: a holistic anthropological approach</t>
  </si>
  <si>
    <t>SEN_2015_MACROSEN</t>
  </si>
  <si>
    <t>Les maladies chroniques au Sénégal: Une écologie de la santé comparative entre Dakar et Widou Thiengoly</t>
  </si>
  <si>
    <t>SEN_2015_STEPS</t>
  </si>
  <si>
    <t>Enquête Nationale sur les Facteurs de Risque des Maladies Non Transmissibles (STEPS)</t>
  </si>
  <si>
    <t>SGP_1984_THS</t>
  </si>
  <si>
    <t>Singapore</t>
  </si>
  <si>
    <t>1982-1985</t>
  </si>
  <si>
    <t>Thyroid Heart Study</t>
  </si>
  <si>
    <t>SGP_1992_NHS</t>
  </si>
  <si>
    <t>National Health Survey</t>
  </si>
  <si>
    <t>SGP_1994_NUH</t>
  </si>
  <si>
    <t>NUH Heart Study</t>
  </si>
  <si>
    <t>SGP_1998_NHS</t>
  </si>
  <si>
    <t>SGP_2004_1702008</t>
  </si>
  <si>
    <t>SGP_2004_SLAS</t>
  </si>
  <si>
    <t>Singapore Longitudinal Ageing Study - Cohort 1; SLAS-1</t>
  </si>
  <si>
    <t>SGP_2006_FUS</t>
  </si>
  <si>
    <t>2004-2007</t>
  </si>
  <si>
    <t>Singapore Cardiovascular Cohort Study and Singapore Prospective Study Program</t>
  </si>
  <si>
    <t>SGP_2010_SCES</t>
  </si>
  <si>
    <t>The Singapore Chinese Eye Study</t>
  </si>
  <si>
    <t>40-80</t>
  </si>
  <si>
    <t>SGP_2011_SLAS</t>
  </si>
  <si>
    <t>2008-2013</t>
  </si>
  <si>
    <t>Singapore Longitudinal Ageing Study - Cohort 2; SLAS-2</t>
  </si>
  <si>
    <t>SGP_2013_SH12</t>
  </si>
  <si>
    <t>Singapore Health Study</t>
  </si>
  <si>
    <t>SGP_2015_SH2</t>
  </si>
  <si>
    <t>Singapore Health 2</t>
  </si>
  <si>
    <t>SGP_2016_SCES</t>
  </si>
  <si>
    <t>SLB_2004_GESOPrural</t>
  </si>
  <si>
    <t>A genetic-ecological study of the risk factors for lifestyle-related diseases in Oceanian populations</t>
  </si>
  <si>
    <t>SLB_2004_GESOPurban</t>
  </si>
  <si>
    <t>SLB_2010_citFURUSAWArural</t>
  </si>
  <si>
    <t>Furusawa et al., N Z Med J 124(1333):17-28, 2011</t>
  </si>
  <si>
    <t>SLB_2010_citFURUSAWAurban</t>
  </si>
  <si>
    <t>70</t>
  </si>
  <si>
    <t>SLB_2018_relocation</t>
  </si>
  <si>
    <t>Impact of sea-level rise and relocation projects on health, ecology, and society in Oceania</t>
  </si>
  <si>
    <t>SLV_2004_CAMDI</t>
  </si>
  <si>
    <t>Encuesta Nacional de Enfermedades Crónicas (ENECA-ELS)</t>
  </si>
  <si>
    <t>SOM_2016_HARGEISA</t>
  </si>
  <si>
    <t>Somalia</t>
  </si>
  <si>
    <t>The prevalence of selected risk factors for non-communicable diseases in Hargeisa, Somaliland: a cross-sectional study</t>
  </si>
  <si>
    <t>SUR_2014_HELISUR</t>
  </si>
  <si>
    <t>Suriname</t>
  </si>
  <si>
    <t>The Healthy Life in Suriname Study (HELISUR)</t>
  </si>
  <si>
    <t>SVK_1993_CINDI</t>
  </si>
  <si>
    <t>Slovakia</t>
  </si>
  <si>
    <t>Countrywide Integrated Noncommunicable Diseases Intervention Programme</t>
  </si>
  <si>
    <t>SVK_1998_CINDI</t>
  </si>
  <si>
    <t>SVK_2003_CINDI</t>
  </si>
  <si>
    <t>SVK_2008_CINDI</t>
  </si>
  <si>
    <t>SVK_2012_EHES</t>
  </si>
  <si>
    <t>European Health Examination Survey</t>
  </si>
  <si>
    <t>SWE_1981_PSWG</t>
  </si>
  <si>
    <t>Sweden</t>
  </si>
  <si>
    <t>1980-1981</t>
  </si>
  <si>
    <t>Population Study of Women in Gothenburg</t>
  </si>
  <si>
    <t>50-72</t>
  </si>
  <si>
    <t>SWE_1983_ULSAM</t>
  </si>
  <si>
    <t>1980-1985</t>
  </si>
  <si>
    <t>Uppsala Longitudinal Study of Adult Men</t>
  </si>
  <si>
    <t>55-64</t>
  </si>
  <si>
    <t>SWE_1991_10752066</t>
  </si>
  <si>
    <t>Asplund-Carlson et al., J Intern Me 236:57-64, 1994</t>
  </si>
  <si>
    <t>40-50</t>
  </si>
  <si>
    <t>SWE_1993_PSWG</t>
  </si>
  <si>
    <t>62-84</t>
  </si>
  <si>
    <t>SWE_1993_ULSAM</t>
  </si>
  <si>
    <t>1991-1995</t>
  </si>
  <si>
    <t>69-74</t>
  </si>
  <si>
    <t>SWE_1994_10752046</t>
  </si>
  <si>
    <t>SWE_1994_HP</t>
  </si>
  <si>
    <t>Nilson et al., Scand J Prim Health Care 18(2):111-112, 2000</t>
  </si>
  <si>
    <t>56-65</t>
  </si>
  <si>
    <t>SWE_1995_MONICAgothenburg</t>
  </si>
  <si>
    <t>MONICA Gothenburg</t>
  </si>
  <si>
    <t>SWE_1997_10752035</t>
  </si>
  <si>
    <t>SWE_1999_ULSAM</t>
  </si>
  <si>
    <t>1997-2001</t>
  </si>
  <si>
    <t>73-80</t>
  </si>
  <si>
    <t>SWE_2003_EMAS</t>
  </si>
  <si>
    <t>SWE_2003_INTERGENE</t>
  </si>
  <si>
    <t>Swedish INTERGENE Cohort Study</t>
  </si>
  <si>
    <t>24-76</t>
  </si>
  <si>
    <t>SWE_2003_PIVUS</t>
  </si>
  <si>
    <t>PIVUS Study</t>
  </si>
  <si>
    <t>SWE_2004_10752059</t>
  </si>
  <si>
    <t>Welin et al., BMC Public Health 8:403, 2008</t>
  </si>
  <si>
    <t>50-61</t>
  </si>
  <si>
    <t>SWE_2004_MPPRS</t>
  </si>
  <si>
    <t>Malmö Preventive Project Re-examination Study Cohort; Leosdottir et al., Cardiovasc Diabetol 10:118, 2011</t>
  </si>
  <si>
    <t>57-86</t>
  </si>
  <si>
    <t>SWE_2004_ULSAM</t>
  </si>
  <si>
    <t>80-83</t>
  </si>
  <si>
    <t>SWE_2005_EYHS</t>
  </si>
  <si>
    <t>European Youth Heart Study (EYHS) II</t>
  </si>
  <si>
    <t>18-21</t>
  </si>
  <si>
    <t>SWE_2005_PSWG</t>
  </si>
  <si>
    <t>38-50</t>
  </si>
  <si>
    <t>SWE_2008_EMAS</t>
  </si>
  <si>
    <t>SWE_2008_PIVUS</t>
  </si>
  <si>
    <t>SWE_2009_ULSAM</t>
  </si>
  <si>
    <t>84-88</t>
  </si>
  <si>
    <t>SWE_2013_PIVUS</t>
  </si>
  <si>
    <t>SWE_2015_intergene13yrs</t>
  </si>
  <si>
    <t>37-88</t>
  </si>
  <si>
    <t>SWE_2017_PSWG</t>
  </si>
  <si>
    <t>SYC_1989_SHS</t>
  </si>
  <si>
    <t>Seychelles</t>
  </si>
  <si>
    <t>Seychelles Heart Survey I</t>
  </si>
  <si>
    <t>SYC_2004_SHS</t>
  </si>
  <si>
    <t>Seychelles Heart Survey III</t>
  </si>
  <si>
    <t>SYC_2014_SHS</t>
  </si>
  <si>
    <t>Seychelles Heart Survey IV</t>
  </si>
  <si>
    <t>SYC_2023_SHS</t>
  </si>
  <si>
    <t>Seychelles Heart Survey V</t>
  </si>
  <si>
    <t>SYR_2002_NSNCD</t>
  </si>
  <si>
    <t>Syrian Arab Republic</t>
  </si>
  <si>
    <t>National Survey on non-communicable diseases and factors affecting their development</t>
  </si>
  <si>
    <t>15-65</t>
  </si>
  <si>
    <t>THA_1983_5764021</t>
  </si>
  <si>
    <t>Thailand</t>
  </si>
  <si>
    <t>Vannasaeng et al., J Med Assoc Thai 70 Suppl 2:126-30, 1987</t>
  </si>
  <si>
    <t>THA_1991_NHES</t>
  </si>
  <si>
    <t>Thailand National Health Examination Survey I</t>
  </si>
  <si>
    <t>THA_1997_NHES</t>
  </si>
  <si>
    <t>Thailand National Health Examination Survey II</t>
  </si>
  <si>
    <t>THA_2000_interASIA</t>
  </si>
  <si>
    <t>InterASIA</t>
  </si>
  <si>
    <t>THA_2004_NHES</t>
  </si>
  <si>
    <t>Thailand National Health Examination Survey III</t>
  </si>
  <si>
    <t>THA_2009_NHES</t>
  </si>
  <si>
    <t>Thailand National Health Examination Survey IV</t>
  </si>
  <si>
    <t>THA_2014_NHES</t>
  </si>
  <si>
    <t>Thailand National Health Examination Survey V</t>
  </si>
  <si>
    <t>THA_2020_NHES</t>
  </si>
  <si>
    <t>Thailand National Health Examination Survey VI</t>
  </si>
  <si>
    <t>TLS_2010_TLEHS</t>
  </si>
  <si>
    <t>Timor-Leste Eye Health Survey</t>
  </si>
  <si>
    <t>TUN_1981_15788056</t>
  </si>
  <si>
    <t>Tunisia</t>
  </si>
  <si>
    <t>Papoz et al., Int J Epidemiol 17:419-22, 1988</t>
  </si>
  <si>
    <t>TUN_1990_15788049</t>
  </si>
  <si>
    <t>Gharbi et al., Rev Epidemiol Sante Publique 50:349-55, 2002</t>
  </si>
  <si>
    <t>35-50</t>
  </si>
  <si>
    <t>TUN_1997_AHP</t>
  </si>
  <si>
    <t>Ariana Healthy Project 1997</t>
  </si>
  <si>
    <t>35-65</t>
  </si>
  <si>
    <t>TUN_1997_TNNS</t>
  </si>
  <si>
    <t>Tunisian National Nutrition Survey 1996-1997</t>
  </si>
  <si>
    <t>TUN_2001_15788054</t>
  </si>
  <si>
    <t>Romdhane et al., Tunis Med 83 Suppl 5:41-6, 2005</t>
  </si>
  <si>
    <t>TUN_2005_TAHINA</t>
  </si>
  <si>
    <t>Tunisian National Survey 2005 (TAHINA)</t>
  </si>
  <si>
    <t>35-71</t>
  </si>
  <si>
    <t>TUN_2010_ObeMaghreb</t>
  </si>
  <si>
    <t>ObeMaghreb</t>
  </si>
  <si>
    <t>TUN_2016_THES</t>
  </si>
  <si>
    <t>Tunisian Health Examination Survey</t>
  </si>
  <si>
    <t>TUR_1990_TARF</t>
  </si>
  <si>
    <t>Türkiye</t>
  </si>
  <si>
    <t>Turkish Adult Risk Factor Study</t>
  </si>
  <si>
    <t>TUR_1995_TARF</t>
  </si>
  <si>
    <t>TUR_1998_TARF</t>
  </si>
  <si>
    <t>28+</t>
  </si>
  <si>
    <t>TUR_2000_TARF</t>
  </si>
  <si>
    <t>TUR_2001_15792030</t>
  </si>
  <si>
    <t>Yumuk et al., Diabetes Res Clin Pract 70:151-8, 2005</t>
  </si>
  <si>
    <t>TUR_2001_15792039</t>
  </si>
  <si>
    <t>Sekuri et al., Jpn Heart J 45:119-31, 2004</t>
  </si>
  <si>
    <t>TUR_2001_HNHHS</t>
  </si>
  <si>
    <t>The Healthy Nutrition for Healthy Heart Study</t>
  </si>
  <si>
    <t>TUR_2002_15792010</t>
  </si>
  <si>
    <t>Gokcel et al., Diabetes Care 26:3031-4, 2003</t>
  </si>
  <si>
    <t>TUR_2002_15792058</t>
  </si>
  <si>
    <t>Soysal et al., Anadolu Kardiyol Derg 5:196-201, 2005</t>
  </si>
  <si>
    <t>25-39</t>
  </si>
  <si>
    <t>TUR_2002_TARF</t>
  </si>
  <si>
    <t>32+</t>
  </si>
  <si>
    <t>TUR_2004_TRAB</t>
  </si>
  <si>
    <t>Prevalence of prehypertension and associated risk factors among Turkish adults: Trabzon Hypertension Study</t>
  </si>
  <si>
    <t>TUR_2006_TARF</t>
  </si>
  <si>
    <t>TUR_2008_Balcova</t>
  </si>
  <si>
    <t>Balcova Heart Study</t>
  </si>
  <si>
    <t>TUR_2008_TARF</t>
  </si>
  <si>
    <t>TUR_2010_TARF</t>
  </si>
  <si>
    <t>39+</t>
  </si>
  <si>
    <t>TUR_2010_TURDEP-II_a</t>
  </si>
  <si>
    <t>TURDEP-II; Satman et al., Eur J Epidemiol 28:169-80, 2013</t>
  </si>
  <si>
    <t>TUR_2010_TURDEP-II_b</t>
  </si>
  <si>
    <t>TUR_2011_TRAB</t>
  </si>
  <si>
    <t>Prevalence of diabetes and associated risk factors among adult population in Trabzon city</t>
  </si>
  <si>
    <t>TUR_2013_TARF</t>
  </si>
  <si>
    <t>TUR_2015_TARF</t>
  </si>
  <si>
    <t>44+</t>
  </si>
  <si>
    <t>TWN_1995_NAHSIT</t>
  </si>
  <si>
    <t>Taiwan</t>
  </si>
  <si>
    <t>Nutrition and Health Survey in Taiwan</t>
  </si>
  <si>
    <t>TWN_1996_3158017</t>
  </si>
  <si>
    <t>Chen et al., Diabetes Res Clin Pract 44:59-69, 1999</t>
  </si>
  <si>
    <t>TWN_1997_3158013</t>
  </si>
  <si>
    <t>Chen et al., Diabetes Res Clin Pract 51:59-66, 2001</t>
  </si>
  <si>
    <t>TWN_1998_3158009</t>
  </si>
  <si>
    <t>Lai et al., J Gerontol A Biol Sci Med Sci 55:M257-9, 2000</t>
  </si>
  <si>
    <t>65-80</t>
  </si>
  <si>
    <t>TWN_2000_NAHSIT</t>
  </si>
  <si>
    <t>TWN_2000_SEBAS</t>
  </si>
  <si>
    <t>Social Environment and Biomarkers of Aging Study</t>
  </si>
  <si>
    <t>TWN_2002_TSHHH</t>
  </si>
  <si>
    <t>Taiwanese Survey on Hypertension, Hyperglycemia and Hyperlipidemia</t>
  </si>
  <si>
    <t>TWN_2005_3158025</t>
  </si>
  <si>
    <t>TCHS; Lin et al., Eur J Clin Invest 37:783-90, 2007</t>
  </si>
  <si>
    <t>TWN_2006_SEBAS</t>
  </si>
  <si>
    <t>53+</t>
  </si>
  <si>
    <t>TWN_2007_NAHSIT</t>
  </si>
  <si>
    <t>TWN_2007_TSHHH</t>
  </si>
  <si>
    <t>TWN_2015_NAHSIT</t>
  </si>
  <si>
    <t>10+</t>
  </si>
  <si>
    <t>TWN_2019_NAHSIT</t>
  </si>
  <si>
    <t>TZA_1987_1467685</t>
  </si>
  <si>
    <t>Swai et al., BMJ 305:1057-62, 1992</t>
  </si>
  <si>
    <t>TZA_1997_19834009</t>
  </si>
  <si>
    <t>Aspray et al., Trans R Soc Trop Med Hyg 94:637-44, 2000</t>
  </si>
  <si>
    <t>TZA_1997_19834080</t>
  </si>
  <si>
    <t>TZA_2023_STEPS</t>
  </si>
  <si>
    <t>URY_1992_13858002</t>
  </si>
  <si>
    <t>Enfermedades Cardiovasculares</t>
  </si>
  <si>
    <t>URY_2012_CESCAS</t>
  </si>
  <si>
    <t>URY_2014_GEFA</t>
  </si>
  <si>
    <t>Genotype, Phenotype and Environment of Hypertension in Uruguay (GEFA-HT-UY)</t>
  </si>
  <si>
    <t>1976-1980</t>
  </si>
  <si>
    <t>US NHANES II</t>
  </si>
  <si>
    <t>USA_1986_CARDIA</t>
  </si>
  <si>
    <t>Coronary Artery Risk Development in Young Adults (CARDIA)</t>
  </si>
  <si>
    <t>18-30</t>
  </si>
  <si>
    <t>USA_1988_ARIC</t>
  </si>
  <si>
    <t>1987-1989</t>
  </si>
  <si>
    <t>Atherosclerosis Risk in Communities Study</t>
  </si>
  <si>
    <t>44-66</t>
  </si>
  <si>
    <t>USA_1990_CHS</t>
  </si>
  <si>
    <t>Cardiovascular Health Study</t>
  </si>
  <si>
    <t>USA_1991_ARIC</t>
  </si>
  <si>
    <t>46-70</t>
  </si>
  <si>
    <t>1988-1994</t>
  </si>
  <si>
    <t>US NHANES III</t>
  </si>
  <si>
    <t>USA_1993_CARDIA</t>
  </si>
  <si>
    <t>25-37</t>
  </si>
  <si>
    <t>USA_1993_CHS</t>
  </si>
  <si>
    <t>USA_1994_ARIC</t>
  </si>
  <si>
    <t>48-73</t>
  </si>
  <si>
    <t>USA_1996_BHS</t>
  </si>
  <si>
    <t>The Bogalusa Heart Study</t>
  </si>
  <si>
    <t>20-37</t>
  </si>
  <si>
    <t>USA_1996_CARDIA</t>
  </si>
  <si>
    <t>28-40</t>
  </si>
  <si>
    <t>USA_1997_ARIC</t>
  </si>
  <si>
    <t>USA_1997_CHS</t>
  </si>
  <si>
    <t>USA_1997_SWAN</t>
  </si>
  <si>
    <t>Study of Women's Health Across the Nation</t>
  </si>
  <si>
    <t>40-55</t>
  </si>
  <si>
    <t>USA_1998_SWAN</t>
  </si>
  <si>
    <t>1997-1999</t>
  </si>
  <si>
    <t>US NHANES 1999-2000</t>
  </si>
  <si>
    <t>USA_2000_SWAN</t>
  </si>
  <si>
    <t>40-56</t>
  </si>
  <si>
    <t>USA_2001_CARDIA</t>
  </si>
  <si>
    <t>33-45</t>
  </si>
  <si>
    <t>USA_2001_SWAN</t>
  </si>
  <si>
    <t>40-57</t>
  </si>
  <si>
    <t>US NHANES 2001-2002</t>
  </si>
  <si>
    <t>US NHANES 2003-2004</t>
  </si>
  <si>
    <t>USA_2004_NYCHANES</t>
  </si>
  <si>
    <t>2004 New York City HANES</t>
  </si>
  <si>
    <t>USA_2006_CARDIA</t>
  </si>
  <si>
    <t>USA_2006_CHS</t>
  </si>
  <si>
    <t>70+</t>
  </si>
  <si>
    <t>US NHANES 2005-2006</t>
  </si>
  <si>
    <t>US NHANES 2007-2008</t>
  </si>
  <si>
    <t>USA_2009_AddHealth</t>
  </si>
  <si>
    <t>National Longitudinal Study of Adolescent Health Wave IV</t>
  </si>
  <si>
    <t>24-34</t>
  </si>
  <si>
    <t>US NHANES 2009-2010</t>
  </si>
  <si>
    <t>USA_2011_CARDIA</t>
  </si>
  <si>
    <t>43-55</t>
  </si>
  <si>
    <t>USA_2012_ARIC</t>
  </si>
  <si>
    <t>67-90</t>
  </si>
  <si>
    <t>US NHANES 2011-2012</t>
  </si>
  <si>
    <t>US NHANES 2013-2014</t>
  </si>
  <si>
    <t>US NHANES 2015-2016</t>
  </si>
  <si>
    <t>US NHANES 2017-2018</t>
  </si>
  <si>
    <t>US NHANES 2019-2020</t>
  </si>
  <si>
    <t>UZB_2016_DiabScreening</t>
  </si>
  <si>
    <t>Epidemiology of Diabetes and Prediabetes in Uzbekistan Screening Results</t>
  </si>
  <si>
    <t>VEN_2000_12862017</t>
  </si>
  <si>
    <t>Venezuela</t>
  </si>
  <si>
    <t>Zulia Coronary Heart Disease Risk Factor Study; Florez et al., Diabetes Res Clin Pract 69:63-77, 2005</t>
  </si>
  <si>
    <t>VEN_2000_MAS</t>
  </si>
  <si>
    <t>Maracaibo aging study Santa lucia cohort</t>
  </si>
  <si>
    <t>VEN_2005_CARMELA</t>
  </si>
  <si>
    <t>VEN_2006_citBrajkovich</t>
  </si>
  <si>
    <t>Brajkovich et al., Rev Ven Endoc Metab 4(3):31-32, 2006</t>
  </si>
  <si>
    <t>VEN_2008_VEMSOLS</t>
  </si>
  <si>
    <t>Venezuelan Study of Metabolic Syndrome, Obesity and Lifestyle (VEMSOLS)</t>
  </si>
  <si>
    <t>VEN_2009_VEMSOLS</t>
  </si>
  <si>
    <t>VEN_2011_CREDEFAR</t>
  </si>
  <si>
    <t>Cardiometabolic risk factors in schoolchildren and adolescents of Mérida, Venezuela (CREDEFAR)</t>
  </si>
  <si>
    <t>VEN_2011_VEMSOLS</t>
  </si>
  <si>
    <t>VEN_2016_EVESCAM</t>
  </si>
  <si>
    <t>Cardio-Metabolic Health Venezuelan Study (EVESCAM)</t>
  </si>
  <si>
    <t>VEN_2016_MAS</t>
  </si>
  <si>
    <t>Maracaibo aging study Santa Rosa cohort</t>
  </si>
  <si>
    <t>VEN_2019_EVESCAM</t>
  </si>
  <si>
    <t>Cardio-metabolic Health Venezuelan Study (EVESCAM) follow-up</t>
  </si>
  <si>
    <t>22+</t>
  </si>
  <si>
    <t>VNM_1990_5704001</t>
  </si>
  <si>
    <t>Quoc et al., Am J Epidemiol 139:713-22, 1994</t>
  </si>
  <si>
    <t>VNM_2001_5704009</t>
  </si>
  <si>
    <t>Duc Son et al., Diabet Med 21:371-6, 2004</t>
  </si>
  <si>
    <t>VNM_2005_STEPShcm</t>
  </si>
  <si>
    <t>Non-communicable disease risk factors in Ho Chi Minh City</t>
  </si>
  <si>
    <t>VNM_2009_DM-S</t>
  </si>
  <si>
    <t>The Survey on Diabetes and Its Risk Factors</t>
  </si>
  <si>
    <t>VNM_2012_NSDV</t>
  </si>
  <si>
    <t>National Survey of Diabetes in Vietnam</t>
  </si>
  <si>
    <t>30-69</t>
  </si>
  <si>
    <t>VUT_1998_VNCDS</t>
  </si>
  <si>
    <t>Vanuatu Non-communicable Disease Survey</t>
  </si>
  <si>
    <t>WSM_1991_Baker_rural</t>
  </si>
  <si>
    <t>Non-Communicable Disease Risk Factor (NCDRF)</t>
  </si>
  <si>
    <t>WSM_1991_Baker_urban</t>
  </si>
  <si>
    <t>WSM_1995_citMcGARVEY</t>
  </si>
  <si>
    <t>WSM_2010_GWAS</t>
  </si>
  <si>
    <t>Samoan Genome-Wide Association Study</t>
  </si>
  <si>
    <t>24-65</t>
  </si>
  <si>
    <t>YEM_2008_HYDY-rural</t>
  </si>
  <si>
    <t>Yemen</t>
  </si>
  <si>
    <t>Hypertension and Diabetes in Yemen (HYDY)</t>
  </si>
  <si>
    <t>YEM_2008_HYDY-urban</t>
  </si>
  <si>
    <t>ZAF_2009_BSCS</t>
  </si>
  <si>
    <t>South Africa</t>
  </si>
  <si>
    <t>Cape Town Bellville South Cohort Study - Baseline evaluation I</t>
  </si>
  <si>
    <t>ZAF_2012_SANHANES</t>
  </si>
  <si>
    <t>South Africa National Health and Nutrition Examination Survey</t>
  </si>
  <si>
    <t>ZAF_2019_Vukuzazi</t>
  </si>
  <si>
    <t>Vukuzazi Study</t>
  </si>
  <si>
    <t>ZWE_2005_ZiNCoDs</t>
  </si>
  <si>
    <t>Zimbabwe</t>
  </si>
  <si>
    <t>Zimbabwe Non-Communicable Disease Risk Factors (ZiNCoDs/STEPS)</t>
  </si>
  <si>
    <t xml:space="preserve">This workbook contains a subset of the survey data used to calculate NCD-RisC estimates for diabetes prevalenece and treatment in adults, 2024 edition. </t>
  </si>
  <si>
    <t>Additional metadata for all data used in the analysis, including data not included in the "Survey data" tab, can be found in the tab "Survey metadata".</t>
  </si>
  <si>
    <t>Cite the following when using the data or information contained in this workbook:</t>
  </si>
  <si>
    <t>Most users will prefer to access and use the complete NCD-RisC estimates of prevalence of diabetes and treatment  for adults, which are available here:</t>
  </si>
  <si>
    <t>The variables in the "Survey data" tabs are as follows:</t>
  </si>
  <si>
    <t>Variable</t>
  </si>
  <si>
    <t>Value</t>
  </si>
  <si>
    <t>Definition</t>
  </si>
  <si>
    <t>country 3-letter iso code</t>
  </si>
  <si>
    <t>unique study identifier</t>
  </si>
  <si>
    <t>only rural areas were sampled</t>
  </si>
  <si>
    <t>only urban areas were sampled</t>
  </si>
  <si>
    <t>urban and rural areas were sampled</t>
  </si>
  <si>
    <t>male</t>
  </si>
  <si>
    <t>female</t>
  </si>
  <si>
    <t>mid-point of age range*</t>
  </si>
  <si>
    <t>mid-year of data collection</t>
  </si>
  <si>
    <t>nationally representative</t>
  </si>
  <si>
    <t>country name</t>
  </si>
  <si>
    <t>region used for analysis (see NCD-RisC 2024 online appendix for countries included in each region)</t>
  </si>
  <si>
    <t>super-region used for analysis (see NCD-RisC 2024 online appendix for countries included in each superregion)</t>
  </si>
  <si>
    <t>Worldwide trends in diabetes prevalence and treatment from 1990 to 2022: a pooled analysis of 1,108 population-representative studies with 141 million participants. Lancet 2024</t>
  </si>
  <si>
    <t>These data are within the "Survey data" tab.</t>
  </si>
  <si>
    <t>http://ncdrisc.org/data-downloads.html</t>
  </si>
  <si>
    <t>prev_diabetes</t>
  </si>
  <si>
    <t>n1</t>
  </si>
  <si>
    <t>prev_treated_diabetes</t>
  </si>
  <si>
    <t>n2</t>
  </si>
  <si>
    <t>prev_diabetes_among_untreated</t>
  </si>
  <si>
    <t>n3</t>
  </si>
  <si>
    <t>add_var_diabetes_prevalence</t>
  </si>
  <si>
    <t>add_var_diabetes_treatment</t>
  </si>
  <si>
    <t>prevalence of treated diabetes†</t>
  </si>
  <si>
    <t>proportion of participants who do not use treatment, with FPG ≥7.0 mmol/L or HbA1c ≥6.5%†</t>
  </si>
  <si>
    <t>*As described in the publication, the data in the 'Survey data' tab is summarised by age group for 18+ year olds for diabetes prevalence and 30+ year olds for diabetes treatment, and is shown in the tab at the corresponding mid-age.</t>
  </si>
  <si>
    <t>representative of at least one or more provinces or states, more than three cities, or more than five rural communities</t>
  </si>
  <si>
    <t>representative a limited geographical scope not meeting above national or subnational criteria</t>
  </si>
  <si>
    <t>prevalence of diabetes (FPG ≥7.0 mmol/L, HbA1c ≥6.5% or taking medications for diabetes), when the previous two variables are unavailable</t>
  </si>
  <si>
    <t>urban, rural or 
both</t>
  </si>
  <si>
    <t>Age range 
(female)</t>
  </si>
  <si>
    <t>Age range 
(male)</t>
  </si>
  <si>
    <t>Sample size 
(female)</t>
  </si>
  <si>
    <t>Sample size 
(male)</t>
  </si>
  <si>
    <t>Access to data used for 
global analysis</t>
  </si>
  <si>
    <t>additional variance for diabetes prevalence†</t>
  </si>
  <si>
    <t>additional variance for diabetes treatment†</t>
  </si>
  <si>
    <t>Metadata and survey data are linked by using the unique survey identifier called id_study in each tab.</t>
  </si>
  <si>
    <t>sample size (denominator) for the above prevalence</t>
  </si>
  <si>
    <t>sample size (denominator) for the above proportion</t>
  </si>
  <si>
    <t>†Refer to online appendix of the publication for detailed explanation of the terms.</t>
  </si>
  <si>
    <t>Level of 
representativeness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</si>
</sst>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3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4" fillId="0" borderId="0" xfId="0" applyFont="1"/>
    <xf numFmtId="0" fontId="4" fillId="2" borderId="3" xfId="0" applyFont="1" applyFill="1" applyBorder="1"/>
    <xf numFmtId="0" fontId="0" fillId="2" borderId="1" xfId="0" applyFill="1" applyBorder="1"/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/>
    <xf numFmtId="0" fontId="7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3" xfId="0" applyFont="1" applyFill="1" applyBorder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98CA-8611-475B-B3A9-B992B052D53F}">
  <dimension ref="A1:D48"/>
  <sheetViews>
    <sheetView tabSelected="1" workbookViewId="0"/>
  </sheetViews>
  <sheetFormatPr defaultColWidth="9" defaultRowHeight="15" x14ac:dyDescent="0.25"/>
  <cols>
    <col min="1" max="1" width="34.140625" style="1" customWidth="1"/>
    <col min="2" max="2" width="13.85546875" style="1" customWidth="1"/>
    <col min="3" max="3" width="71.5703125" style="1" customWidth="1"/>
    <col min="4" max="4" width="56.5703125" style="1" customWidth="1"/>
    <col min="5" max="5" width="9" style="1"/>
    <col min="6" max="6" width="14" style="1" customWidth="1"/>
    <col min="7" max="7" width="33.42578125" style="1" customWidth="1"/>
    <col min="8" max="8" width="16" style="1" customWidth="1"/>
    <col min="9" max="16384" width="9" style="1"/>
  </cols>
  <sheetData>
    <row r="1" spans="1:4" x14ac:dyDescent="0.25">
      <c r="A1" s="1" t="s">
        <v>2451</v>
      </c>
    </row>
    <row r="2" spans="1:4" x14ac:dyDescent="0.25">
      <c r="A2" s="1" t="s">
        <v>2473</v>
      </c>
    </row>
    <row r="3" spans="1:4" x14ac:dyDescent="0.25">
      <c r="A3" s="1" t="s">
        <v>2452</v>
      </c>
    </row>
    <row r="4" spans="1:4" x14ac:dyDescent="0.25">
      <c r="A4" s="6" t="s">
        <v>2497</v>
      </c>
    </row>
    <row r="5" spans="1:4" x14ac:dyDescent="0.25">
      <c r="A5" s="10"/>
    </row>
    <row r="6" spans="1:4" x14ac:dyDescent="0.25">
      <c r="A6" s="1" t="s">
        <v>2454</v>
      </c>
    </row>
    <row r="7" spans="1:4" x14ac:dyDescent="0.25">
      <c r="A7" s="26"/>
      <c r="B7" s="11" t="s">
        <v>2474</v>
      </c>
    </row>
    <row r="8" spans="1:4" x14ac:dyDescent="0.25">
      <c r="A8" s="1" t="s">
        <v>2453</v>
      </c>
    </row>
    <row r="9" spans="1:4" x14ac:dyDescent="0.25">
      <c r="B9" s="35" t="s">
        <v>2472</v>
      </c>
    </row>
    <row r="11" spans="1:4" x14ac:dyDescent="0.25">
      <c r="A11" s="1" t="s">
        <v>2455</v>
      </c>
    </row>
    <row r="13" spans="1:4" x14ac:dyDescent="0.25">
      <c r="A13" s="2" t="s">
        <v>2456</v>
      </c>
      <c r="B13" s="2" t="s">
        <v>2457</v>
      </c>
      <c r="C13" s="34" t="s">
        <v>2458</v>
      </c>
      <c r="D13" s="34"/>
    </row>
    <row r="14" spans="1:4" x14ac:dyDescent="0.25">
      <c r="A14" s="3" t="s">
        <v>0</v>
      </c>
      <c r="B14" s="3"/>
      <c r="C14" s="31" t="s">
        <v>2459</v>
      </c>
      <c r="D14" s="31"/>
    </row>
    <row r="15" spans="1:4" x14ac:dyDescent="0.25">
      <c r="A15" s="3" t="s">
        <v>1</v>
      </c>
      <c r="B15" s="3"/>
      <c r="C15" s="31" t="s">
        <v>2460</v>
      </c>
      <c r="D15" s="31"/>
    </row>
    <row r="16" spans="1:4" x14ac:dyDescent="0.25">
      <c r="A16" s="3" t="s">
        <v>2</v>
      </c>
      <c r="B16" s="3" t="s">
        <v>468</v>
      </c>
      <c r="C16" s="33" t="s">
        <v>2461</v>
      </c>
      <c r="D16" s="33"/>
    </row>
    <row r="17" spans="1:4" x14ac:dyDescent="0.25">
      <c r="B17" s="3" t="s">
        <v>40</v>
      </c>
      <c r="C17" s="33" t="s">
        <v>2462</v>
      </c>
      <c r="D17" s="33"/>
    </row>
    <row r="18" spans="1:4" x14ac:dyDescent="0.25">
      <c r="B18" s="3" t="s">
        <v>12</v>
      </c>
      <c r="C18" s="33" t="s">
        <v>2463</v>
      </c>
      <c r="D18" s="33"/>
    </row>
    <row r="19" spans="1:4" x14ac:dyDescent="0.25">
      <c r="A19" s="3" t="s">
        <v>3</v>
      </c>
      <c r="B19" s="5">
        <v>1</v>
      </c>
      <c r="C19" s="31" t="s">
        <v>2464</v>
      </c>
      <c r="D19" s="31"/>
    </row>
    <row r="20" spans="1:4" x14ac:dyDescent="0.25">
      <c r="B20" s="5">
        <v>2</v>
      </c>
      <c r="C20" s="31" t="s">
        <v>2465</v>
      </c>
      <c r="D20" s="31"/>
    </row>
    <row r="21" spans="1:4" x14ac:dyDescent="0.25">
      <c r="A21" s="12" t="s">
        <v>4</v>
      </c>
      <c r="B21" s="12"/>
      <c r="C21" s="28" t="s">
        <v>2466</v>
      </c>
      <c r="D21" s="28"/>
    </row>
    <row r="22" spans="1:4" x14ac:dyDescent="0.25">
      <c r="A22" s="12" t="s">
        <v>2477</v>
      </c>
      <c r="B22" s="12"/>
      <c r="C22" s="28" t="s">
        <v>2483</v>
      </c>
      <c r="D22" s="28"/>
    </row>
    <row r="23" spans="1:4" x14ac:dyDescent="0.25">
      <c r="A23" s="12" t="s">
        <v>2476</v>
      </c>
      <c r="B23" s="12"/>
      <c r="C23" s="28" t="s">
        <v>2498</v>
      </c>
      <c r="D23" s="28"/>
    </row>
    <row r="24" spans="1:4" x14ac:dyDescent="0.25">
      <c r="A24" s="12" t="s">
        <v>2479</v>
      </c>
      <c r="B24" s="12"/>
      <c r="C24" s="28" t="s">
        <v>2484</v>
      </c>
      <c r="D24" s="28"/>
    </row>
    <row r="25" spans="1:4" x14ac:dyDescent="0.25">
      <c r="A25" s="12" t="s">
        <v>2478</v>
      </c>
      <c r="B25" s="12"/>
      <c r="C25" s="28" t="s">
        <v>2499</v>
      </c>
      <c r="D25" s="28"/>
    </row>
    <row r="26" spans="1:4" x14ac:dyDescent="0.25">
      <c r="A26" s="12" t="s">
        <v>2475</v>
      </c>
      <c r="B26" s="12"/>
      <c r="C26" s="28" t="s">
        <v>2488</v>
      </c>
      <c r="D26" s="28"/>
    </row>
    <row r="27" spans="1:4" x14ac:dyDescent="0.25">
      <c r="A27" s="12" t="s">
        <v>2480</v>
      </c>
      <c r="B27" s="12"/>
      <c r="C27" s="28" t="s">
        <v>2498</v>
      </c>
      <c r="D27" s="28"/>
    </row>
    <row r="28" spans="1:4" x14ac:dyDescent="0.25">
      <c r="A28" s="12" t="s">
        <v>2481</v>
      </c>
      <c r="B28" s="12"/>
      <c r="C28" s="28" t="s">
        <v>2495</v>
      </c>
      <c r="D28" s="28"/>
    </row>
    <row r="29" spans="1:4" x14ac:dyDescent="0.25">
      <c r="A29" s="12" t="s">
        <v>2482</v>
      </c>
      <c r="B29" s="12"/>
      <c r="C29" s="28" t="s">
        <v>2496</v>
      </c>
      <c r="D29" s="28"/>
    </row>
    <row r="30" spans="1:4" x14ac:dyDescent="0.25">
      <c r="A30" s="3" t="s">
        <v>5</v>
      </c>
      <c r="B30" s="3"/>
      <c r="C30" s="31" t="s">
        <v>2467</v>
      </c>
      <c r="D30" s="31"/>
    </row>
    <row r="31" spans="1:4" x14ac:dyDescent="0.25">
      <c r="A31" s="3" t="s">
        <v>6</v>
      </c>
      <c r="B31" s="3" t="s">
        <v>13</v>
      </c>
      <c r="C31" s="28" t="s">
        <v>2468</v>
      </c>
      <c r="D31" s="28"/>
    </row>
    <row r="32" spans="1:4" x14ac:dyDescent="0.25">
      <c r="B32" s="3" t="s">
        <v>53</v>
      </c>
      <c r="C32" s="28" t="s">
        <v>2486</v>
      </c>
      <c r="D32" s="28"/>
    </row>
    <row r="33" spans="1:4" x14ac:dyDescent="0.25">
      <c r="B33" s="3" t="s">
        <v>41</v>
      </c>
      <c r="C33" s="28" t="s">
        <v>2487</v>
      </c>
      <c r="D33" s="28"/>
    </row>
    <row r="34" spans="1:4" x14ac:dyDescent="0.25">
      <c r="A34" s="3" t="s">
        <v>7</v>
      </c>
      <c r="B34" s="3"/>
      <c r="C34" s="31" t="s">
        <v>2469</v>
      </c>
      <c r="D34" s="31"/>
    </row>
    <row r="35" spans="1:4" x14ac:dyDescent="0.25">
      <c r="A35" s="3" t="s">
        <v>8</v>
      </c>
      <c r="B35" s="3"/>
      <c r="C35" s="31" t="s">
        <v>2470</v>
      </c>
      <c r="D35" s="31"/>
    </row>
    <row r="36" spans="1:4" x14ac:dyDescent="0.25">
      <c r="A36" s="4" t="s">
        <v>9</v>
      </c>
      <c r="B36" s="4"/>
      <c r="C36" s="32" t="s">
        <v>2471</v>
      </c>
      <c r="D36" s="32"/>
    </row>
    <row r="37" spans="1:4" x14ac:dyDescent="0.25">
      <c r="A37" s="6" t="s">
        <v>2485</v>
      </c>
    </row>
    <row r="38" spans="1:4" x14ac:dyDescent="0.25">
      <c r="A38" s="6" t="s">
        <v>2500</v>
      </c>
    </row>
    <row r="40" spans="1:4" x14ac:dyDescent="0.25">
      <c r="A40" s="8"/>
    </row>
    <row r="41" spans="1:4" x14ac:dyDescent="0.25">
      <c r="A41" s="30"/>
      <c r="B41" s="30"/>
      <c r="C41" s="30"/>
    </row>
    <row r="42" spans="1:4" x14ac:dyDescent="0.25">
      <c r="A42" s="9"/>
      <c r="B42" s="29"/>
      <c r="C42" s="29"/>
    </row>
    <row r="43" spans="1:4" x14ac:dyDescent="0.25">
      <c r="A43" s="9"/>
      <c r="B43" s="29"/>
      <c r="C43" s="29"/>
    </row>
    <row r="44" spans="1:4" x14ac:dyDescent="0.25">
      <c r="B44" s="7"/>
      <c r="C44" s="7"/>
    </row>
    <row r="45" spans="1:4" x14ac:dyDescent="0.25">
      <c r="B45" s="7"/>
      <c r="C45" s="7"/>
    </row>
    <row r="46" spans="1:4" x14ac:dyDescent="0.25">
      <c r="A46" s="30"/>
      <c r="B46" s="30"/>
      <c r="C46" s="30"/>
    </row>
    <row r="47" spans="1:4" x14ac:dyDescent="0.25">
      <c r="A47" s="9"/>
      <c r="B47" s="29"/>
      <c r="C47" s="29"/>
    </row>
    <row r="48" spans="1:4" x14ac:dyDescent="0.25">
      <c r="A48" s="9"/>
      <c r="B48" s="29"/>
      <c r="C48" s="29"/>
    </row>
  </sheetData>
  <mergeCells count="30"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4:D34"/>
    <mergeCell ref="C28:D28"/>
    <mergeCell ref="C29:D29"/>
    <mergeCell ref="C30:D30"/>
    <mergeCell ref="C31:D31"/>
    <mergeCell ref="C32:D32"/>
    <mergeCell ref="C33:D33"/>
    <mergeCell ref="C23:D23"/>
    <mergeCell ref="C22:D22"/>
    <mergeCell ref="C24:D24"/>
    <mergeCell ref="C25:D25"/>
    <mergeCell ref="C26:D26"/>
    <mergeCell ref="C27:D27"/>
    <mergeCell ref="B47:C47"/>
    <mergeCell ref="B48:C48"/>
    <mergeCell ref="A41:C41"/>
    <mergeCell ref="A46:C46"/>
    <mergeCell ref="C35:D35"/>
    <mergeCell ref="C36:D36"/>
    <mergeCell ref="B42:C42"/>
    <mergeCell ref="B43: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73B9-EFFF-4BB3-9B8C-B95D96A051E6}">
  <dimension ref="A1:K1109"/>
  <sheetViews>
    <sheetView workbookViewId="0"/>
  </sheetViews>
  <sheetFormatPr defaultColWidth="8.85546875" defaultRowHeight="15" x14ac:dyDescent="0.25"/>
  <cols>
    <col min="1" max="1" width="20.7109375" customWidth="1"/>
    <col min="2" max="2" width="18.42578125" customWidth="1"/>
    <col min="3" max="3" width="10.140625" customWidth="1"/>
    <col min="4" max="4" width="71" customWidth="1"/>
    <col min="5" max="5" width="19.140625" style="19" customWidth="1"/>
    <col min="6" max="6" width="14" style="19" customWidth="1"/>
    <col min="7" max="9" width="13.5703125" style="19" customWidth="1"/>
    <col min="10" max="10" width="13" style="19" customWidth="1"/>
    <col min="11" max="11" width="25.5703125" style="20" customWidth="1"/>
  </cols>
  <sheetData>
    <row r="1" spans="1:11" s="15" customFormat="1" ht="30" customHeight="1" x14ac:dyDescent="0.25">
      <c r="A1" s="14" t="s">
        <v>1</v>
      </c>
      <c r="B1" s="14" t="s">
        <v>7</v>
      </c>
      <c r="C1" s="14" t="s">
        <v>377</v>
      </c>
      <c r="D1" s="14" t="s">
        <v>378</v>
      </c>
      <c r="E1" s="27" t="s">
        <v>2501</v>
      </c>
      <c r="F1" s="21" t="s">
        <v>2489</v>
      </c>
      <c r="G1" s="21" t="s">
        <v>2490</v>
      </c>
      <c r="H1" s="21" t="s">
        <v>2491</v>
      </c>
      <c r="I1" s="22" t="s">
        <v>2492</v>
      </c>
      <c r="J1" s="21" t="s">
        <v>2493</v>
      </c>
      <c r="K1" s="23" t="s">
        <v>2494</v>
      </c>
    </row>
    <row r="2" spans="1:11" x14ac:dyDescent="0.25">
      <c r="A2" s="13" t="s">
        <v>11</v>
      </c>
      <c r="B2" s="13" t="s">
        <v>14</v>
      </c>
      <c r="C2" s="13" t="s">
        <v>379</v>
      </c>
      <c r="D2" s="13" t="s">
        <v>380</v>
      </c>
      <c r="E2" s="16" t="s">
        <v>13</v>
      </c>
      <c r="F2" s="16" t="s">
        <v>12</v>
      </c>
      <c r="G2" s="16" t="s">
        <v>381</v>
      </c>
      <c r="H2" s="16" t="s">
        <v>381</v>
      </c>
      <c r="I2" s="16">
        <v>1727</v>
      </c>
      <c r="J2" s="16">
        <v>1993</v>
      </c>
      <c r="K2" s="17" t="s">
        <v>383</v>
      </c>
    </row>
    <row r="3" spans="1:11" x14ac:dyDescent="0.25">
      <c r="A3" s="13" t="s">
        <v>384</v>
      </c>
      <c r="B3" s="13" t="s">
        <v>385</v>
      </c>
      <c r="C3" s="13" t="s">
        <v>386</v>
      </c>
      <c r="D3" s="13" t="s">
        <v>387</v>
      </c>
      <c r="E3" s="16" t="s">
        <v>41</v>
      </c>
      <c r="F3" s="16" t="s">
        <v>12</v>
      </c>
      <c r="G3" s="16" t="s">
        <v>388</v>
      </c>
      <c r="H3" s="16" t="s">
        <v>388</v>
      </c>
      <c r="I3" s="16">
        <v>1348</v>
      </c>
      <c r="J3" s="16">
        <v>768</v>
      </c>
      <c r="K3" s="18" t="str">
        <f>HYPERLINK("mailto:joao.almeidapedro@cisacaxito.org", "contact")</f>
        <v>contact</v>
      </c>
    </row>
    <row r="4" spans="1:11" x14ac:dyDescent="0.25">
      <c r="A4" s="13" t="s">
        <v>389</v>
      </c>
      <c r="B4" s="13" t="s">
        <v>18</v>
      </c>
      <c r="C4" s="13" t="s">
        <v>390</v>
      </c>
      <c r="D4" s="13" t="s">
        <v>391</v>
      </c>
      <c r="E4" s="16" t="s">
        <v>13</v>
      </c>
      <c r="F4" s="16" t="s">
        <v>12</v>
      </c>
      <c r="G4" s="16" t="s">
        <v>392</v>
      </c>
      <c r="H4" s="16" t="s">
        <v>392</v>
      </c>
      <c r="I4" s="16">
        <v>3773</v>
      </c>
      <c r="J4" s="16">
        <v>2839</v>
      </c>
      <c r="K4" s="18" t="str">
        <f>HYPERLINK("mailto:ncdrisc@imperial.ac.uk", "contact")</f>
        <v>contact</v>
      </c>
    </row>
    <row r="5" spans="1:11" x14ac:dyDescent="0.25">
      <c r="A5" s="13" t="s">
        <v>17</v>
      </c>
      <c r="B5" s="13" t="s">
        <v>18</v>
      </c>
      <c r="C5" s="13" t="s">
        <v>393</v>
      </c>
      <c r="D5" s="13" t="s">
        <v>380</v>
      </c>
      <c r="E5" s="16" t="s">
        <v>13</v>
      </c>
      <c r="F5" s="16" t="s">
        <v>12</v>
      </c>
      <c r="G5" s="16" t="s">
        <v>394</v>
      </c>
      <c r="H5" s="16" t="s">
        <v>394</v>
      </c>
      <c r="I5" s="16">
        <v>2356</v>
      </c>
      <c r="J5" s="16">
        <v>2172</v>
      </c>
      <c r="K5" s="17" t="s">
        <v>383</v>
      </c>
    </row>
    <row r="6" spans="1:11" x14ac:dyDescent="0.25">
      <c r="A6" s="13" t="s">
        <v>395</v>
      </c>
      <c r="B6" s="13" t="s">
        <v>23</v>
      </c>
      <c r="C6" s="13" t="s">
        <v>396</v>
      </c>
      <c r="D6" s="13" t="s">
        <v>397</v>
      </c>
      <c r="E6" s="16" t="s">
        <v>41</v>
      </c>
      <c r="F6" s="16" t="s">
        <v>40</v>
      </c>
      <c r="G6" s="16" t="s">
        <v>398</v>
      </c>
      <c r="H6" s="16" t="s">
        <v>398</v>
      </c>
      <c r="I6" s="16">
        <v>748</v>
      </c>
      <c r="J6" s="16">
        <v>734</v>
      </c>
      <c r="K6" s="18" t="str">
        <f>HYPERLINK("mailto:pboisson@intramed.net", "contact")</f>
        <v>contact</v>
      </c>
    </row>
    <row r="7" spans="1:11" x14ac:dyDescent="0.25">
      <c r="A7" s="13" t="s">
        <v>399</v>
      </c>
      <c r="B7" s="13" t="s">
        <v>23</v>
      </c>
      <c r="C7" s="13" t="s">
        <v>400</v>
      </c>
      <c r="D7" s="13" t="s">
        <v>401</v>
      </c>
      <c r="E7" s="16" t="s">
        <v>41</v>
      </c>
      <c r="F7" s="16" t="s">
        <v>40</v>
      </c>
      <c r="G7" s="16" t="s">
        <v>402</v>
      </c>
      <c r="H7" s="16" t="s">
        <v>402</v>
      </c>
      <c r="I7" s="16">
        <v>2362</v>
      </c>
      <c r="J7" s="16">
        <v>1576</v>
      </c>
      <c r="K7" s="18" t="str">
        <f>HYPERLINK("mailto:arubinstein@gmail.com", "contact")</f>
        <v>contact</v>
      </c>
    </row>
    <row r="8" spans="1:11" x14ac:dyDescent="0.25">
      <c r="A8" s="13" t="s">
        <v>22</v>
      </c>
      <c r="B8" s="13" t="s">
        <v>23</v>
      </c>
      <c r="C8" s="13" t="s">
        <v>379</v>
      </c>
      <c r="D8" s="13" t="s">
        <v>403</v>
      </c>
      <c r="E8" s="16" t="s">
        <v>13</v>
      </c>
      <c r="F8" s="16" t="s">
        <v>12</v>
      </c>
      <c r="G8" s="16" t="s">
        <v>394</v>
      </c>
      <c r="H8" s="16" t="s">
        <v>394</v>
      </c>
      <c r="I8" s="16">
        <v>15406</v>
      </c>
      <c r="J8" s="16">
        <v>11925</v>
      </c>
      <c r="K8" s="17" t="s">
        <v>383</v>
      </c>
    </row>
    <row r="9" spans="1:11" x14ac:dyDescent="0.25">
      <c r="A9" s="13" t="s">
        <v>27</v>
      </c>
      <c r="B9" s="13" t="s">
        <v>28</v>
      </c>
      <c r="C9" s="13" t="s">
        <v>404</v>
      </c>
      <c r="D9" s="13" t="s">
        <v>380</v>
      </c>
      <c r="E9" s="16" t="s">
        <v>13</v>
      </c>
      <c r="F9" s="16" t="s">
        <v>12</v>
      </c>
      <c r="G9" s="16" t="s">
        <v>381</v>
      </c>
      <c r="H9" s="16" t="s">
        <v>381</v>
      </c>
      <c r="I9" s="16">
        <v>1582</v>
      </c>
      <c r="J9" s="16">
        <v>736</v>
      </c>
      <c r="K9" s="17" t="s">
        <v>383</v>
      </c>
    </row>
    <row r="10" spans="1:11" x14ac:dyDescent="0.25">
      <c r="A10" s="13" t="s">
        <v>405</v>
      </c>
      <c r="B10" s="13" t="s">
        <v>32</v>
      </c>
      <c r="C10" s="13" t="s">
        <v>406</v>
      </c>
      <c r="D10" s="13" t="s">
        <v>407</v>
      </c>
      <c r="E10" s="16" t="s">
        <v>13</v>
      </c>
      <c r="F10" s="16" t="s">
        <v>12</v>
      </c>
      <c r="G10" s="16" t="s">
        <v>408</v>
      </c>
      <c r="H10" s="16" t="s">
        <v>408</v>
      </c>
      <c r="I10" s="16">
        <v>247</v>
      </c>
      <c r="J10" s="16">
        <v>165</v>
      </c>
      <c r="K10" s="18" t="str">
        <f>HYPERLINK("mailto:Stephen_McGarvey@brown.edu", "contact")</f>
        <v>contact</v>
      </c>
    </row>
    <row r="11" spans="1:11" x14ac:dyDescent="0.25">
      <c r="A11" s="13" t="s">
        <v>31</v>
      </c>
      <c r="B11" s="13" t="s">
        <v>32</v>
      </c>
      <c r="C11" s="13" t="s">
        <v>409</v>
      </c>
      <c r="D11" s="13" t="s">
        <v>380</v>
      </c>
      <c r="E11" s="16" t="s">
        <v>13</v>
      </c>
      <c r="F11" s="16" t="s">
        <v>12</v>
      </c>
      <c r="G11" s="16" t="s">
        <v>398</v>
      </c>
      <c r="H11" s="16" t="s">
        <v>398</v>
      </c>
      <c r="I11" s="16">
        <v>1061</v>
      </c>
      <c r="J11" s="16">
        <v>945</v>
      </c>
      <c r="K11" s="17" t="s">
        <v>383</v>
      </c>
    </row>
    <row r="12" spans="1:11" x14ac:dyDescent="0.25">
      <c r="A12" s="13" t="s">
        <v>410</v>
      </c>
      <c r="B12" s="13" t="s">
        <v>411</v>
      </c>
      <c r="C12" s="13" t="s">
        <v>412</v>
      </c>
      <c r="D12" s="13" t="s">
        <v>413</v>
      </c>
      <c r="E12" s="16" t="s">
        <v>41</v>
      </c>
      <c r="F12" s="16" t="s">
        <v>40</v>
      </c>
      <c r="G12" s="16" t="s">
        <v>414</v>
      </c>
      <c r="H12" s="16" t="s">
        <v>414</v>
      </c>
      <c r="I12" s="16">
        <v>701</v>
      </c>
      <c r="J12" s="16">
        <v>608</v>
      </c>
      <c r="K12" s="18" t="str">
        <f>HYPERLINK("mailto:ncdrisc@imperial.ac.uk", "contact")</f>
        <v>contact</v>
      </c>
    </row>
    <row r="13" spans="1:11" x14ac:dyDescent="0.25">
      <c r="A13" s="13" t="s">
        <v>415</v>
      </c>
      <c r="B13" s="13" t="s">
        <v>411</v>
      </c>
      <c r="C13" s="13" t="s">
        <v>412</v>
      </c>
      <c r="D13" s="13" t="s">
        <v>416</v>
      </c>
      <c r="E13" s="16" t="s">
        <v>41</v>
      </c>
      <c r="F13" s="16" t="s">
        <v>12</v>
      </c>
      <c r="G13" s="16" t="s">
        <v>414</v>
      </c>
      <c r="H13" s="16" t="s">
        <v>414</v>
      </c>
      <c r="I13" s="16">
        <v>1739</v>
      </c>
      <c r="J13" s="16">
        <v>1457</v>
      </c>
      <c r="K13" s="18" t="str">
        <f>HYPERLINK("mailto:ncdrisc@imperial.ac.uk", "contact")</f>
        <v>contact</v>
      </c>
    </row>
    <row r="14" spans="1:11" x14ac:dyDescent="0.25">
      <c r="A14" s="13" t="s">
        <v>417</v>
      </c>
      <c r="B14" s="13" t="s">
        <v>411</v>
      </c>
      <c r="C14" s="13" t="s">
        <v>418</v>
      </c>
      <c r="D14" s="13" t="s">
        <v>419</v>
      </c>
      <c r="E14" s="16" t="s">
        <v>13</v>
      </c>
      <c r="F14" s="16" t="s">
        <v>40</v>
      </c>
      <c r="G14" s="16" t="s">
        <v>398</v>
      </c>
      <c r="H14" s="16" t="s">
        <v>398</v>
      </c>
      <c r="I14" s="16">
        <v>3811</v>
      </c>
      <c r="J14" s="16">
        <v>3731</v>
      </c>
      <c r="K14" s="18" t="str">
        <f>HYPERLINK("mailto:Bill.Stavreski@heartfoundation.org.au", "contact")</f>
        <v>contact</v>
      </c>
    </row>
    <row r="15" spans="1:11" x14ac:dyDescent="0.25">
      <c r="A15" s="13" t="s">
        <v>420</v>
      </c>
      <c r="B15" s="13" t="s">
        <v>411</v>
      </c>
      <c r="C15" s="13" t="s">
        <v>421</v>
      </c>
      <c r="D15" s="13" t="s">
        <v>422</v>
      </c>
      <c r="E15" s="16" t="s">
        <v>41</v>
      </c>
      <c r="F15" s="16" t="s">
        <v>40</v>
      </c>
      <c r="G15" s="16" t="s">
        <v>423</v>
      </c>
      <c r="H15" s="16" t="s">
        <v>423</v>
      </c>
      <c r="I15" s="16">
        <v>1222</v>
      </c>
      <c r="J15" s="16">
        <v>878</v>
      </c>
      <c r="K15" s="18" t="str">
        <f>HYPERLINK("mailto:L.Simons@unsw.edu.au", "contact")</f>
        <v>contact</v>
      </c>
    </row>
    <row r="16" spans="1:11" x14ac:dyDescent="0.25">
      <c r="A16" s="13" t="s">
        <v>424</v>
      </c>
      <c r="B16" s="13" t="s">
        <v>411</v>
      </c>
      <c r="C16" s="13" t="s">
        <v>390</v>
      </c>
      <c r="D16" s="13" t="s">
        <v>425</v>
      </c>
      <c r="E16" s="16" t="s">
        <v>13</v>
      </c>
      <c r="F16" s="16" t="s">
        <v>12</v>
      </c>
      <c r="G16" s="16" t="s">
        <v>414</v>
      </c>
      <c r="H16" s="16" t="s">
        <v>414</v>
      </c>
      <c r="I16" s="16">
        <v>6138</v>
      </c>
      <c r="J16" s="16">
        <v>5043</v>
      </c>
      <c r="K16" s="18" t="str">
        <f>HYPERLINK("mailto:dmagliano@idi.org.au", "contact")</f>
        <v>contact</v>
      </c>
    </row>
    <row r="17" spans="1:11" x14ac:dyDescent="0.25">
      <c r="A17" s="13" t="s">
        <v>426</v>
      </c>
      <c r="B17" s="13" t="s">
        <v>411</v>
      </c>
      <c r="C17" s="13" t="s">
        <v>427</v>
      </c>
      <c r="D17" s="13" t="s">
        <v>428</v>
      </c>
      <c r="E17" s="16" t="s">
        <v>41</v>
      </c>
      <c r="F17" s="16" t="s">
        <v>40</v>
      </c>
      <c r="G17" s="16" t="s">
        <v>394</v>
      </c>
      <c r="H17" s="16" t="s">
        <v>394</v>
      </c>
      <c r="I17" s="16">
        <v>2089</v>
      </c>
      <c r="J17" s="16">
        <v>1891</v>
      </c>
      <c r="K17" s="18" t="str">
        <f>HYPERLINK("mailto:anne.taylor@adelaide.edu.au", "contact")</f>
        <v>contact</v>
      </c>
    </row>
    <row r="18" spans="1:11" x14ac:dyDescent="0.25">
      <c r="A18" s="13" t="s">
        <v>429</v>
      </c>
      <c r="B18" s="13" t="s">
        <v>411</v>
      </c>
      <c r="C18" s="13" t="s">
        <v>396</v>
      </c>
      <c r="D18" s="13" t="s">
        <v>430</v>
      </c>
      <c r="E18" s="16" t="s">
        <v>13</v>
      </c>
      <c r="F18" s="16" t="s">
        <v>12</v>
      </c>
      <c r="G18" s="16" t="s">
        <v>431</v>
      </c>
      <c r="H18" s="16" t="s">
        <v>431</v>
      </c>
      <c r="I18" s="16">
        <v>3438</v>
      </c>
      <c r="J18" s="16">
        <v>2890</v>
      </c>
      <c r="K18" s="18" t="str">
        <f>HYPERLINK("mailto:dmagliano@idi.org.au", "contact")</f>
        <v>contact</v>
      </c>
    </row>
    <row r="19" spans="1:11" x14ac:dyDescent="0.25">
      <c r="A19" s="13" t="s">
        <v>432</v>
      </c>
      <c r="B19" s="13" t="s">
        <v>411</v>
      </c>
      <c r="C19" s="13" t="s">
        <v>433</v>
      </c>
      <c r="D19" s="13" t="s">
        <v>428</v>
      </c>
      <c r="E19" s="16" t="s">
        <v>41</v>
      </c>
      <c r="F19" s="16" t="s">
        <v>40</v>
      </c>
      <c r="G19" s="16" t="s">
        <v>434</v>
      </c>
      <c r="H19" s="16" t="s">
        <v>434</v>
      </c>
      <c r="I19" s="16">
        <v>1665</v>
      </c>
      <c r="J19" s="16">
        <v>1498</v>
      </c>
      <c r="K19" s="18" t="str">
        <f>HYPERLINK("mailto:anne.taylor@adelaide.edu.au", "contact")</f>
        <v>contact</v>
      </c>
    </row>
    <row r="20" spans="1:11" x14ac:dyDescent="0.25">
      <c r="A20" s="13" t="s">
        <v>435</v>
      </c>
      <c r="B20" s="13" t="s">
        <v>411</v>
      </c>
      <c r="C20" s="13" t="s">
        <v>436</v>
      </c>
      <c r="D20" s="13" t="s">
        <v>428</v>
      </c>
      <c r="E20" s="16" t="s">
        <v>41</v>
      </c>
      <c r="F20" s="16" t="s">
        <v>40</v>
      </c>
      <c r="G20" s="16" t="s">
        <v>437</v>
      </c>
      <c r="H20" s="16" t="s">
        <v>437</v>
      </c>
      <c r="I20" s="16">
        <v>1277</v>
      </c>
      <c r="J20" s="16">
        <v>1142</v>
      </c>
      <c r="K20" s="18" t="str">
        <f>HYPERLINK("mailto:anne.taylor@adelaide.edu.au", "contact")</f>
        <v>contact</v>
      </c>
    </row>
    <row r="21" spans="1:11" x14ac:dyDescent="0.25">
      <c r="A21" s="13" t="s">
        <v>438</v>
      </c>
      <c r="B21" s="13" t="s">
        <v>411</v>
      </c>
      <c r="C21" s="13" t="s">
        <v>439</v>
      </c>
      <c r="D21" s="13" t="s">
        <v>440</v>
      </c>
      <c r="E21" s="16" t="s">
        <v>13</v>
      </c>
      <c r="F21" s="16" t="s">
        <v>12</v>
      </c>
      <c r="G21" s="16" t="s">
        <v>441</v>
      </c>
      <c r="H21" s="16" t="s">
        <v>441</v>
      </c>
      <c r="I21" s="16">
        <v>2480</v>
      </c>
      <c r="J21" s="16">
        <v>2029</v>
      </c>
      <c r="K21" s="18" t="str">
        <f>HYPERLINK("mailto:dmagliano@idi.org.au", "contact")</f>
        <v>contact</v>
      </c>
    </row>
    <row r="22" spans="1:11" x14ac:dyDescent="0.25">
      <c r="A22" s="13" t="s">
        <v>442</v>
      </c>
      <c r="B22" s="13" t="s">
        <v>411</v>
      </c>
      <c r="C22" s="13" t="s">
        <v>400</v>
      </c>
      <c r="D22" s="13" t="s">
        <v>443</v>
      </c>
      <c r="E22" s="16" t="s">
        <v>13</v>
      </c>
      <c r="F22" s="16" t="s">
        <v>12</v>
      </c>
      <c r="G22" s="16" t="s">
        <v>394</v>
      </c>
      <c r="H22" s="16" t="s">
        <v>394</v>
      </c>
      <c r="I22" s="16">
        <v>4153</v>
      </c>
      <c r="J22" s="16">
        <v>3320</v>
      </c>
      <c r="K22" s="18" t="str">
        <f>HYPERLINK("mailto:alison.hayes@sydney.edu.au", "contact")</f>
        <v>contact</v>
      </c>
    </row>
    <row r="23" spans="1:11" x14ac:dyDescent="0.25">
      <c r="A23" s="13" t="s">
        <v>444</v>
      </c>
      <c r="B23" s="13" t="s">
        <v>445</v>
      </c>
      <c r="C23" s="13" t="s">
        <v>446</v>
      </c>
      <c r="D23" s="13" t="s">
        <v>447</v>
      </c>
      <c r="E23" s="16" t="s">
        <v>53</v>
      </c>
      <c r="F23" s="16" t="s">
        <v>12</v>
      </c>
      <c r="G23" s="16" t="s">
        <v>434</v>
      </c>
      <c r="H23" s="16" t="s">
        <v>434</v>
      </c>
      <c r="I23" s="16">
        <v>42176</v>
      </c>
      <c r="J23" s="16">
        <v>32600</v>
      </c>
      <c r="K23" s="18" t="str">
        <f>HYPERLINK("mailto:ncdrisc@imperial.ac.uk", "contact")</f>
        <v>contact</v>
      </c>
    </row>
    <row r="24" spans="1:11" x14ac:dyDescent="0.25">
      <c r="A24" s="13" t="s">
        <v>448</v>
      </c>
      <c r="B24" s="13" t="s">
        <v>445</v>
      </c>
      <c r="C24" s="13" t="s">
        <v>449</v>
      </c>
      <c r="D24" s="13" t="s">
        <v>450</v>
      </c>
      <c r="E24" s="16" t="s">
        <v>53</v>
      </c>
      <c r="F24" s="16" t="s">
        <v>12</v>
      </c>
      <c r="G24" s="16" t="s">
        <v>398</v>
      </c>
      <c r="H24" s="16" t="s">
        <v>398</v>
      </c>
      <c r="I24" s="16">
        <v>736</v>
      </c>
      <c r="J24" s="16">
        <v>695</v>
      </c>
      <c r="K24" s="18" t="str">
        <f>HYPERLINK("mailto:hanno.ulmer@i-med.ac.at", "contact")</f>
        <v>contact</v>
      </c>
    </row>
    <row r="25" spans="1:11" x14ac:dyDescent="0.25">
      <c r="A25" s="13" t="s">
        <v>451</v>
      </c>
      <c r="B25" s="13" t="s">
        <v>445</v>
      </c>
      <c r="C25" s="13" t="s">
        <v>452</v>
      </c>
      <c r="D25" s="13" t="s">
        <v>453</v>
      </c>
      <c r="E25" s="16" t="s">
        <v>53</v>
      </c>
      <c r="F25" s="16" t="s">
        <v>12</v>
      </c>
      <c r="G25" s="16" t="s">
        <v>394</v>
      </c>
      <c r="H25" s="16" t="s">
        <v>394</v>
      </c>
      <c r="I25" s="16">
        <v>18769</v>
      </c>
      <c r="J25" s="16">
        <v>14104</v>
      </c>
      <c r="K25" s="18" t="str">
        <f>HYPERLINK("mailto:hanno.ulmer@i-med.ac.at", "contact")</f>
        <v>contact</v>
      </c>
    </row>
    <row r="26" spans="1:11" x14ac:dyDescent="0.25">
      <c r="A26" s="13" t="s">
        <v>454</v>
      </c>
      <c r="B26" s="13" t="s">
        <v>445</v>
      </c>
      <c r="C26" s="13" t="s">
        <v>455</v>
      </c>
      <c r="D26" s="13" t="s">
        <v>453</v>
      </c>
      <c r="E26" s="16" t="s">
        <v>53</v>
      </c>
      <c r="F26" s="16" t="s">
        <v>12</v>
      </c>
      <c r="G26" s="16" t="s">
        <v>394</v>
      </c>
      <c r="H26" s="16" t="s">
        <v>394</v>
      </c>
      <c r="I26" s="16">
        <v>20902</v>
      </c>
      <c r="J26" s="16">
        <v>16140</v>
      </c>
      <c r="K26" s="18" t="str">
        <f>HYPERLINK("mailto:hanno.ulmer@i-med.ac.at", "contact")</f>
        <v>contact</v>
      </c>
    </row>
    <row r="27" spans="1:11" x14ac:dyDescent="0.25">
      <c r="A27" s="13" t="s">
        <v>456</v>
      </c>
      <c r="B27" s="13" t="s">
        <v>445</v>
      </c>
      <c r="C27" s="13" t="s">
        <v>457</v>
      </c>
      <c r="D27" s="13" t="s">
        <v>450</v>
      </c>
      <c r="E27" s="16" t="s">
        <v>53</v>
      </c>
      <c r="F27" s="16" t="s">
        <v>12</v>
      </c>
      <c r="G27" s="16" t="s">
        <v>398</v>
      </c>
      <c r="H27" s="16" t="s">
        <v>398</v>
      </c>
      <c r="I27" s="16">
        <v>88</v>
      </c>
      <c r="J27" s="16">
        <v>86</v>
      </c>
      <c r="K27" s="18" t="str">
        <f>HYPERLINK("mailto:hanno.ulmer@i-med.ac.at", "contact")</f>
        <v>contact</v>
      </c>
    </row>
    <row r="28" spans="1:11" x14ac:dyDescent="0.25">
      <c r="A28" s="13" t="s">
        <v>458</v>
      </c>
      <c r="B28" s="13" t="s">
        <v>445</v>
      </c>
      <c r="C28" s="13" t="s">
        <v>409</v>
      </c>
      <c r="D28" s="13" t="s">
        <v>453</v>
      </c>
      <c r="E28" s="16" t="s">
        <v>53</v>
      </c>
      <c r="F28" s="16" t="s">
        <v>12</v>
      </c>
      <c r="G28" s="16" t="s">
        <v>394</v>
      </c>
      <c r="H28" s="16" t="s">
        <v>394</v>
      </c>
      <c r="I28" s="16">
        <v>23890</v>
      </c>
      <c r="J28" s="16">
        <v>20159</v>
      </c>
      <c r="K28" s="18" t="str">
        <f>HYPERLINK("mailto:hanno.ulmer@i-med.ac.at", "contact")</f>
        <v>contact</v>
      </c>
    </row>
    <row r="29" spans="1:11" x14ac:dyDescent="0.25">
      <c r="A29" s="13" t="s">
        <v>459</v>
      </c>
      <c r="B29" s="13" t="s">
        <v>445</v>
      </c>
      <c r="C29" s="13" t="s">
        <v>460</v>
      </c>
      <c r="D29" s="13" t="s">
        <v>461</v>
      </c>
      <c r="E29" s="16" t="s">
        <v>13</v>
      </c>
      <c r="F29" s="16" t="s">
        <v>12</v>
      </c>
      <c r="G29" s="16" t="s">
        <v>462</v>
      </c>
      <c r="H29" s="16" t="s">
        <v>462</v>
      </c>
      <c r="I29" s="16">
        <v>278</v>
      </c>
      <c r="J29" s="16">
        <v>176</v>
      </c>
      <c r="K29" s="18" t="str">
        <f>HYPERLINK("mailto:juergen.koenig@univie.ac.at", "contact")</f>
        <v>contact</v>
      </c>
    </row>
    <row r="30" spans="1:11" x14ac:dyDescent="0.25">
      <c r="A30" s="13" t="s">
        <v>36</v>
      </c>
      <c r="B30" s="13" t="s">
        <v>37</v>
      </c>
      <c r="C30" s="13" t="s">
        <v>463</v>
      </c>
      <c r="D30" s="13" t="s">
        <v>380</v>
      </c>
      <c r="E30" s="16" t="s">
        <v>13</v>
      </c>
      <c r="F30" s="16" t="s">
        <v>12</v>
      </c>
      <c r="G30" s="16" t="s">
        <v>381</v>
      </c>
      <c r="H30" s="16" t="s">
        <v>381</v>
      </c>
      <c r="I30" s="16">
        <v>1642</v>
      </c>
      <c r="J30" s="16">
        <v>1136</v>
      </c>
      <c r="K30" s="17" t="s">
        <v>383</v>
      </c>
    </row>
    <row r="31" spans="1:11" x14ac:dyDescent="0.25">
      <c r="A31" s="13" t="s">
        <v>464</v>
      </c>
      <c r="B31" s="13" t="s">
        <v>465</v>
      </c>
      <c r="C31" s="13" t="s">
        <v>466</v>
      </c>
      <c r="D31" s="13" t="s">
        <v>467</v>
      </c>
      <c r="E31" s="16" t="s">
        <v>41</v>
      </c>
      <c r="F31" s="16" t="s">
        <v>468</v>
      </c>
      <c r="G31" s="16" t="s">
        <v>469</v>
      </c>
      <c r="H31" s="16" t="s">
        <v>469</v>
      </c>
      <c r="I31" s="16">
        <v>412</v>
      </c>
      <c r="J31" s="16">
        <v>397</v>
      </c>
      <c r="K31" s="18" t="str">
        <f>HYPERLINK("mailto:jan.staessen@med.kuleuven.be", "contact")</f>
        <v>contact</v>
      </c>
    </row>
    <row r="32" spans="1:11" x14ac:dyDescent="0.25">
      <c r="A32" s="13" t="s">
        <v>470</v>
      </c>
      <c r="B32" s="13" t="s">
        <v>465</v>
      </c>
      <c r="C32" s="13" t="s">
        <v>471</v>
      </c>
      <c r="D32" s="13" t="s">
        <v>472</v>
      </c>
      <c r="E32" s="16" t="s">
        <v>41</v>
      </c>
      <c r="F32" s="16" t="s">
        <v>12</v>
      </c>
      <c r="G32" s="16"/>
      <c r="H32" s="16" t="s">
        <v>473</v>
      </c>
      <c r="I32" s="16"/>
      <c r="J32" s="16">
        <v>447</v>
      </c>
      <c r="K32" s="18" t="str">
        <f>HYPERLINK("mailto:Dirk.vanderschueren@uzleuven.be", "contact")</f>
        <v>contact</v>
      </c>
    </row>
    <row r="33" spans="1:11" x14ac:dyDescent="0.25">
      <c r="A33" s="13" t="s">
        <v>474</v>
      </c>
      <c r="B33" s="13" t="s">
        <v>465</v>
      </c>
      <c r="C33" s="13" t="s">
        <v>475</v>
      </c>
      <c r="D33" s="13" t="s">
        <v>467</v>
      </c>
      <c r="E33" s="16" t="s">
        <v>41</v>
      </c>
      <c r="F33" s="16" t="s">
        <v>468</v>
      </c>
      <c r="G33" s="16" t="s">
        <v>394</v>
      </c>
      <c r="H33" s="16" t="s">
        <v>394</v>
      </c>
      <c r="I33" s="16">
        <v>357</v>
      </c>
      <c r="J33" s="16">
        <v>346</v>
      </c>
      <c r="K33" s="18" t="str">
        <f>HYPERLINK("mailto:jan.staessen@med.kuleuven.be", "contact")</f>
        <v>contact</v>
      </c>
    </row>
    <row r="34" spans="1:11" x14ac:dyDescent="0.25">
      <c r="A34" s="13" t="s">
        <v>476</v>
      </c>
      <c r="B34" s="13" t="s">
        <v>465</v>
      </c>
      <c r="C34" s="13" t="s">
        <v>477</v>
      </c>
      <c r="D34" s="13" t="s">
        <v>467</v>
      </c>
      <c r="E34" s="16" t="s">
        <v>41</v>
      </c>
      <c r="F34" s="16" t="s">
        <v>468</v>
      </c>
      <c r="G34" s="16" t="s">
        <v>394</v>
      </c>
      <c r="H34" s="16" t="s">
        <v>394</v>
      </c>
      <c r="I34" s="16">
        <v>83</v>
      </c>
      <c r="J34" s="16">
        <v>97</v>
      </c>
      <c r="K34" s="18" t="str">
        <f>HYPERLINK("mailto:jan.staessen@med.kuleuven.be", "contact")</f>
        <v>contact</v>
      </c>
    </row>
    <row r="35" spans="1:11" x14ac:dyDescent="0.25">
      <c r="A35" s="13" t="s">
        <v>478</v>
      </c>
      <c r="B35" s="13" t="s">
        <v>465</v>
      </c>
      <c r="C35" s="13" t="s">
        <v>479</v>
      </c>
      <c r="D35" s="13" t="s">
        <v>472</v>
      </c>
      <c r="E35" s="16" t="s">
        <v>41</v>
      </c>
      <c r="F35" s="16" t="s">
        <v>12</v>
      </c>
      <c r="G35" s="16"/>
      <c r="H35" s="16" t="s">
        <v>480</v>
      </c>
      <c r="I35" s="16"/>
      <c r="J35" s="16">
        <v>372</v>
      </c>
      <c r="K35" s="18" t="str">
        <f>HYPERLINK("mailto:Dirk.vanderschueren@uzleuven.be", "contact")</f>
        <v>contact</v>
      </c>
    </row>
    <row r="36" spans="1:11" x14ac:dyDescent="0.25">
      <c r="A36" s="13" t="s">
        <v>481</v>
      </c>
      <c r="B36" s="13" t="s">
        <v>465</v>
      </c>
      <c r="C36" s="13" t="s">
        <v>482</v>
      </c>
      <c r="D36" s="13" t="s">
        <v>467</v>
      </c>
      <c r="E36" s="16" t="s">
        <v>41</v>
      </c>
      <c r="F36" s="16" t="s">
        <v>468</v>
      </c>
      <c r="G36" s="16" t="s">
        <v>434</v>
      </c>
      <c r="H36" s="16" t="s">
        <v>434</v>
      </c>
      <c r="I36" s="16">
        <v>335</v>
      </c>
      <c r="J36" s="16">
        <v>330</v>
      </c>
      <c r="K36" s="18" t="str">
        <f>HYPERLINK("mailto:jan.staessen@med.kuleuven.be", "contact")</f>
        <v>contact</v>
      </c>
    </row>
    <row r="37" spans="1:11" x14ac:dyDescent="0.25">
      <c r="A37" s="13" t="s">
        <v>483</v>
      </c>
      <c r="B37" s="13" t="s">
        <v>465</v>
      </c>
      <c r="C37" s="13" t="s">
        <v>484</v>
      </c>
      <c r="D37" s="13" t="s">
        <v>467</v>
      </c>
      <c r="E37" s="16" t="s">
        <v>41</v>
      </c>
      <c r="F37" s="16" t="s">
        <v>468</v>
      </c>
      <c r="G37" s="16" t="s">
        <v>394</v>
      </c>
      <c r="H37" s="16" t="s">
        <v>394</v>
      </c>
      <c r="I37" s="16">
        <v>410</v>
      </c>
      <c r="J37" s="16">
        <v>389</v>
      </c>
      <c r="K37" s="18" t="str">
        <f>HYPERLINK("mailto:jan.staessen@med.kuleuven.be", "contact")</f>
        <v>contact</v>
      </c>
    </row>
    <row r="38" spans="1:11" x14ac:dyDescent="0.25">
      <c r="A38" s="13" t="s">
        <v>485</v>
      </c>
      <c r="B38" s="13" t="s">
        <v>465</v>
      </c>
      <c r="C38" s="13" t="s">
        <v>486</v>
      </c>
      <c r="D38" s="13" t="s">
        <v>487</v>
      </c>
      <c r="E38" s="16" t="s">
        <v>13</v>
      </c>
      <c r="F38" s="16" t="s">
        <v>12</v>
      </c>
      <c r="G38" s="16" t="s">
        <v>394</v>
      </c>
      <c r="H38" s="16" t="s">
        <v>394</v>
      </c>
      <c r="I38" s="16">
        <v>614</v>
      </c>
      <c r="J38" s="16">
        <v>557</v>
      </c>
      <c r="K38" s="18" t="str">
        <f>HYPERLINK("mailto:johan.vanderheyden@sciensano.be", "contact")</f>
        <v>contact</v>
      </c>
    </row>
    <row r="39" spans="1:11" x14ac:dyDescent="0.25">
      <c r="A39" s="13" t="s">
        <v>39</v>
      </c>
      <c r="B39" s="13" t="s">
        <v>42</v>
      </c>
      <c r="C39" s="13" t="s">
        <v>488</v>
      </c>
      <c r="D39" s="13" t="s">
        <v>380</v>
      </c>
      <c r="E39" s="16" t="s">
        <v>41</v>
      </c>
      <c r="F39" s="16" t="s">
        <v>40</v>
      </c>
      <c r="G39" s="16" t="s">
        <v>398</v>
      </c>
      <c r="H39" s="16" t="s">
        <v>398</v>
      </c>
      <c r="I39" s="16">
        <v>1508</v>
      </c>
      <c r="J39" s="16">
        <v>955</v>
      </c>
      <c r="K39" s="17" t="s">
        <v>383</v>
      </c>
    </row>
    <row r="40" spans="1:11" x14ac:dyDescent="0.25">
      <c r="A40" s="13" t="s">
        <v>45</v>
      </c>
      <c r="B40" s="13" t="s">
        <v>42</v>
      </c>
      <c r="C40" s="13" t="s">
        <v>479</v>
      </c>
      <c r="D40" s="13" t="s">
        <v>380</v>
      </c>
      <c r="E40" s="16" t="s">
        <v>13</v>
      </c>
      <c r="F40" s="16" t="s">
        <v>12</v>
      </c>
      <c r="G40" s="16" t="s">
        <v>398</v>
      </c>
      <c r="H40" s="16" t="s">
        <v>398</v>
      </c>
      <c r="I40" s="16">
        <v>3391</v>
      </c>
      <c r="J40" s="16">
        <v>3442</v>
      </c>
      <c r="K40" s="17" t="s">
        <v>383</v>
      </c>
    </row>
    <row r="41" spans="1:11" x14ac:dyDescent="0.25">
      <c r="A41" s="13" t="s">
        <v>46</v>
      </c>
      <c r="B41" s="13" t="s">
        <v>42</v>
      </c>
      <c r="C41" s="13" t="s">
        <v>489</v>
      </c>
      <c r="D41" s="13" t="s">
        <v>380</v>
      </c>
      <c r="E41" s="16" t="s">
        <v>13</v>
      </c>
      <c r="F41" s="16" t="s">
        <v>12</v>
      </c>
      <c r="G41" s="16" t="s">
        <v>381</v>
      </c>
      <c r="H41" s="16" t="s">
        <v>381</v>
      </c>
      <c r="I41" s="16">
        <v>2547</v>
      </c>
      <c r="J41" s="16">
        <v>2307</v>
      </c>
      <c r="K41" s="17" t="s">
        <v>383</v>
      </c>
    </row>
    <row r="42" spans="1:11" x14ac:dyDescent="0.25">
      <c r="A42" s="13" t="s">
        <v>48</v>
      </c>
      <c r="B42" s="13" t="s">
        <v>49</v>
      </c>
      <c r="C42" s="13" t="s">
        <v>490</v>
      </c>
      <c r="D42" s="13" t="s">
        <v>380</v>
      </c>
      <c r="E42" s="16" t="s">
        <v>13</v>
      </c>
      <c r="F42" s="16" t="s">
        <v>12</v>
      </c>
      <c r="G42" s="16" t="s">
        <v>398</v>
      </c>
      <c r="H42" s="16" t="s">
        <v>398</v>
      </c>
      <c r="I42" s="16">
        <v>2289</v>
      </c>
      <c r="J42" s="16">
        <v>2254</v>
      </c>
      <c r="K42" s="17" t="s">
        <v>383</v>
      </c>
    </row>
    <row r="43" spans="1:11" x14ac:dyDescent="0.25">
      <c r="A43" s="13" t="s">
        <v>50</v>
      </c>
      <c r="B43" s="13" t="s">
        <v>49</v>
      </c>
      <c r="C43" s="13" t="s">
        <v>491</v>
      </c>
      <c r="D43" s="13" t="s">
        <v>380</v>
      </c>
      <c r="E43" s="16" t="s">
        <v>13</v>
      </c>
      <c r="F43" s="16" t="s">
        <v>12</v>
      </c>
      <c r="G43" s="16" t="s">
        <v>381</v>
      </c>
      <c r="H43" s="16" t="s">
        <v>381</v>
      </c>
      <c r="I43" s="16">
        <v>2026</v>
      </c>
      <c r="J43" s="16">
        <v>1491</v>
      </c>
      <c r="K43" s="17" t="s">
        <v>383</v>
      </c>
    </row>
    <row r="44" spans="1:11" x14ac:dyDescent="0.25">
      <c r="A44" s="13" t="s">
        <v>492</v>
      </c>
      <c r="B44" s="13" t="s">
        <v>54</v>
      </c>
      <c r="C44" s="13" t="s">
        <v>493</v>
      </c>
      <c r="D44" s="13" t="s">
        <v>494</v>
      </c>
      <c r="E44" s="16" t="s">
        <v>41</v>
      </c>
      <c r="F44" s="16" t="s">
        <v>468</v>
      </c>
      <c r="G44" s="16" t="s">
        <v>434</v>
      </c>
      <c r="H44" s="16" t="s">
        <v>434</v>
      </c>
      <c r="I44" s="16">
        <v>2720</v>
      </c>
      <c r="J44" s="16">
        <v>2037</v>
      </c>
      <c r="K44" s="18" t="str">
        <f>HYPERLINK("mailto:ncdrisc@imperial.ac.uk", "contact")</f>
        <v>contact</v>
      </c>
    </row>
    <row r="45" spans="1:11" x14ac:dyDescent="0.25">
      <c r="A45" s="13" t="s">
        <v>495</v>
      </c>
      <c r="B45" s="13" t="s">
        <v>54</v>
      </c>
      <c r="C45" s="13" t="s">
        <v>493</v>
      </c>
      <c r="D45" s="13" t="s">
        <v>494</v>
      </c>
      <c r="E45" s="16" t="s">
        <v>41</v>
      </c>
      <c r="F45" s="16" t="s">
        <v>40</v>
      </c>
      <c r="G45" s="16" t="s">
        <v>434</v>
      </c>
      <c r="H45" s="16" t="s">
        <v>434</v>
      </c>
      <c r="I45" s="16">
        <v>824</v>
      </c>
      <c r="J45" s="16">
        <v>731</v>
      </c>
      <c r="K45" s="18" t="str">
        <f>HYPERLINK("mailto:ncdrisc@imperial.ac.uk", "contact")</f>
        <v>contact</v>
      </c>
    </row>
    <row r="46" spans="1:11" x14ac:dyDescent="0.25">
      <c r="A46" s="13" t="s">
        <v>52</v>
      </c>
      <c r="B46" s="13" t="s">
        <v>54</v>
      </c>
      <c r="C46" s="13" t="s">
        <v>496</v>
      </c>
      <c r="D46" s="13" t="s">
        <v>497</v>
      </c>
      <c r="E46" s="16" t="s">
        <v>53</v>
      </c>
      <c r="F46" s="16" t="s">
        <v>40</v>
      </c>
      <c r="G46" s="16" t="s">
        <v>498</v>
      </c>
      <c r="H46" s="16" t="s">
        <v>498</v>
      </c>
      <c r="I46" s="16">
        <v>1272</v>
      </c>
      <c r="J46" s="16">
        <v>1520</v>
      </c>
      <c r="K46" s="17" t="s">
        <v>383</v>
      </c>
    </row>
    <row r="47" spans="1:11" x14ac:dyDescent="0.25">
      <c r="A47" s="13" t="s">
        <v>55</v>
      </c>
      <c r="B47" s="13" t="s">
        <v>54</v>
      </c>
      <c r="C47" s="13" t="s">
        <v>499</v>
      </c>
      <c r="D47" s="13" t="s">
        <v>500</v>
      </c>
      <c r="E47" s="16" t="s">
        <v>13</v>
      </c>
      <c r="F47" s="16" t="s">
        <v>12</v>
      </c>
      <c r="G47" s="16" t="s">
        <v>501</v>
      </c>
      <c r="H47" s="16" t="s">
        <v>501</v>
      </c>
      <c r="I47" s="16">
        <v>3572</v>
      </c>
      <c r="J47" s="16">
        <v>3753</v>
      </c>
      <c r="K47" s="17" t="s">
        <v>383</v>
      </c>
    </row>
    <row r="48" spans="1:11" x14ac:dyDescent="0.25">
      <c r="A48" s="13" t="s">
        <v>502</v>
      </c>
      <c r="B48" s="13" t="s">
        <v>54</v>
      </c>
      <c r="C48" s="13" t="s">
        <v>400</v>
      </c>
      <c r="D48" s="13" t="s">
        <v>503</v>
      </c>
      <c r="E48" s="16" t="s">
        <v>41</v>
      </c>
      <c r="F48" s="16" t="s">
        <v>468</v>
      </c>
      <c r="G48" s="16" t="s">
        <v>394</v>
      </c>
      <c r="H48" s="16" t="s">
        <v>394</v>
      </c>
      <c r="I48" s="16">
        <v>427</v>
      </c>
      <c r="J48" s="16">
        <v>292</v>
      </c>
      <c r="K48" s="18" t="str">
        <f>HYPERLINK("mailto:shariful.islam@deakin.edu.au", "contact")</f>
        <v>contact</v>
      </c>
    </row>
    <row r="49" spans="1:11" x14ac:dyDescent="0.25">
      <c r="A49" s="13" t="s">
        <v>504</v>
      </c>
      <c r="B49" s="13" t="s">
        <v>54</v>
      </c>
      <c r="C49" s="13" t="s">
        <v>404</v>
      </c>
      <c r="D49" s="13" t="s">
        <v>505</v>
      </c>
      <c r="E49" s="16" t="s">
        <v>53</v>
      </c>
      <c r="F49" s="16" t="s">
        <v>468</v>
      </c>
      <c r="G49" s="16" t="s">
        <v>431</v>
      </c>
      <c r="H49" s="16" t="s">
        <v>431</v>
      </c>
      <c r="I49" s="16">
        <v>6414</v>
      </c>
      <c r="J49" s="16">
        <v>5630</v>
      </c>
      <c r="K49" s="18" t="str">
        <f>HYPERLINK("mailto:e.fottrell@ucl.ac.uk", "contact")</f>
        <v>contact</v>
      </c>
    </row>
    <row r="50" spans="1:11" x14ac:dyDescent="0.25">
      <c r="A50" s="13" t="s">
        <v>56</v>
      </c>
      <c r="B50" s="13" t="s">
        <v>54</v>
      </c>
      <c r="C50" s="13" t="s">
        <v>393</v>
      </c>
      <c r="D50" s="13" t="s">
        <v>506</v>
      </c>
      <c r="E50" s="16" t="s">
        <v>13</v>
      </c>
      <c r="F50" s="16" t="s">
        <v>12</v>
      </c>
      <c r="G50" s="16" t="s">
        <v>507</v>
      </c>
      <c r="H50" s="16"/>
      <c r="I50" s="16">
        <v>4858</v>
      </c>
      <c r="J50" s="16"/>
      <c r="K50" s="17" t="s">
        <v>383</v>
      </c>
    </row>
    <row r="51" spans="1:11" x14ac:dyDescent="0.25">
      <c r="A51" s="13" t="s">
        <v>57</v>
      </c>
      <c r="B51" s="13" t="s">
        <v>54</v>
      </c>
      <c r="C51" s="13" t="s">
        <v>379</v>
      </c>
      <c r="D51" s="13" t="s">
        <v>380</v>
      </c>
      <c r="E51" s="16" t="s">
        <v>13</v>
      </c>
      <c r="F51" s="16" t="s">
        <v>12</v>
      </c>
      <c r="G51" s="16" t="s">
        <v>381</v>
      </c>
      <c r="H51" s="16" t="s">
        <v>381</v>
      </c>
      <c r="I51" s="16">
        <v>3702</v>
      </c>
      <c r="J51" s="16">
        <v>3247</v>
      </c>
      <c r="K51" s="17" t="s">
        <v>383</v>
      </c>
    </row>
    <row r="52" spans="1:11" x14ac:dyDescent="0.25">
      <c r="A52" s="13" t="s">
        <v>508</v>
      </c>
      <c r="B52" s="13" t="s">
        <v>509</v>
      </c>
      <c r="C52" s="13" t="s">
        <v>488</v>
      </c>
      <c r="D52" s="13" t="s">
        <v>380</v>
      </c>
      <c r="E52" s="16" t="s">
        <v>13</v>
      </c>
      <c r="F52" s="16" t="s">
        <v>12</v>
      </c>
      <c r="G52" s="16" t="s">
        <v>510</v>
      </c>
      <c r="H52" s="16" t="s">
        <v>510</v>
      </c>
      <c r="I52" s="16">
        <v>906</v>
      </c>
      <c r="J52" s="16">
        <v>863</v>
      </c>
      <c r="K52" s="18" t="str">
        <f>HYPERLINK("mailto:ncdrisc@imperial.ac.uk", "contact")</f>
        <v>contact</v>
      </c>
    </row>
    <row r="53" spans="1:11" x14ac:dyDescent="0.25">
      <c r="A53" s="13" t="s">
        <v>59</v>
      </c>
      <c r="B53" s="13" t="s">
        <v>60</v>
      </c>
      <c r="C53" s="13" t="s">
        <v>511</v>
      </c>
      <c r="D53" s="13" t="s">
        <v>380</v>
      </c>
      <c r="E53" s="16" t="s">
        <v>13</v>
      </c>
      <c r="F53" s="16" t="s">
        <v>12</v>
      </c>
      <c r="G53" s="16" t="s">
        <v>381</v>
      </c>
      <c r="H53" s="16" t="s">
        <v>381</v>
      </c>
      <c r="I53" s="16">
        <v>1403</v>
      </c>
      <c r="J53" s="16">
        <v>932</v>
      </c>
      <c r="K53" s="17" t="s">
        <v>383</v>
      </c>
    </row>
    <row r="54" spans="1:11" x14ac:dyDescent="0.25">
      <c r="A54" s="13" t="s">
        <v>512</v>
      </c>
      <c r="B54" s="13" t="s">
        <v>513</v>
      </c>
      <c r="C54" s="13" t="s">
        <v>439</v>
      </c>
      <c r="D54" s="13" t="s">
        <v>514</v>
      </c>
      <c r="E54" s="16" t="s">
        <v>53</v>
      </c>
      <c r="F54" s="16" t="s">
        <v>468</v>
      </c>
      <c r="G54" s="16" t="s">
        <v>394</v>
      </c>
      <c r="H54" s="16" t="s">
        <v>394</v>
      </c>
      <c r="I54" s="16">
        <v>1288</v>
      </c>
      <c r="J54" s="16">
        <v>1201</v>
      </c>
      <c r="K54" s="18" t="str">
        <f>HYPERLINK("mailto:idanap@bih.net.ba", "contact")</f>
        <v>contact</v>
      </c>
    </row>
    <row r="55" spans="1:11" x14ac:dyDescent="0.25">
      <c r="A55" s="13" t="s">
        <v>515</v>
      </c>
      <c r="B55" s="13" t="s">
        <v>513</v>
      </c>
      <c r="C55" s="13" t="s">
        <v>439</v>
      </c>
      <c r="D55" s="13" t="s">
        <v>514</v>
      </c>
      <c r="E55" s="16" t="s">
        <v>53</v>
      </c>
      <c r="F55" s="16" t="s">
        <v>40</v>
      </c>
      <c r="G55" s="16" t="s">
        <v>394</v>
      </c>
      <c r="H55" s="16" t="s">
        <v>394</v>
      </c>
      <c r="I55" s="16">
        <v>716</v>
      </c>
      <c r="J55" s="16">
        <v>594</v>
      </c>
      <c r="K55" s="18" t="str">
        <f>HYPERLINK("mailto:idanap@bih.net.ba", "contact")</f>
        <v>contact</v>
      </c>
    </row>
    <row r="56" spans="1:11" x14ac:dyDescent="0.25">
      <c r="A56" s="13" t="s">
        <v>63</v>
      </c>
      <c r="B56" s="13" t="s">
        <v>64</v>
      </c>
      <c r="C56" s="13" t="s">
        <v>516</v>
      </c>
      <c r="D56" s="13" t="s">
        <v>380</v>
      </c>
      <c r="E56" s="16" t="s">
        <v>13</v>
      </c>
      <c r="F56" s="16" t="s">
        <v>12</v>
      </c>
      <c r="G56" s="16" t="s">
        <v>381</v>
      </c>
      <c r="H56" s="16" t="s">
        <v>381</v>
      </c>
      <c r="I56" s="16">
        <v>2897</v>
      </c>
      <c r="J56" s="16">
        <v>2089</v>
      </c>
      <c r="K56" s="17" t="s">
        <v>383</v>
      </c>
    </row>
    <row r="57" spans="1:11" x14ac:dyDescent="0.25">
      <c r="A57" s="13" t="s">
        <v>67</v>
      </c>
      <c r="B57" s="13" t="s">
        <v>64</v>
      </c>
      <c r="C57" s="13" t="s">
        <v>517</v>
      </c>
      <c r="D57" s="13" t="s">
        <v>380</v>
      </c>
      <c r="E57" s="16" t="s">
        <v>13</v>
      </c>
      <c r="F57" s="16" t="s">
        <v>12</v>
      </c>
      <c r="G57" s="16" t="s">
        <v>381</v>
      </c>
      <c r="H57" s="16" t="s">
        <v>381</v>
      </c>
      <c r="I57" s="16">
        <v>2990</v>
      </c>
      <c r="J57" s="16">
        <v>2280</v>
      </c>
      <c r="K57" s="17" t="s">
        <v>383</v>
      </c>
    </row>
    <row r="58" spans="1:11" x14ac:dyDescent="0.25">
      <c r="A58" s="13" t="s">
        <v>518</v>
      </c>
      <c r="B58" s="13" t="s">
        <v>519</v>
      </c>
      <c r="C58" s="13" t="s">
        <v>520</v>
      </c>
      <c r="D58" s="13" t="s">
        <v>521</v>
      </c>
      <c r="E58" s="16" t="s">
        <v>13</v>
      </c>
      <c r="F58" s="16" t="s">
        <v>12</v>
      </c>
      <c r="G58" s="16" t="s">
        <v>434</v>
      </c>
      <c r="H58" s="16" t="s">
        <v>434</v>
      </c>
      <c r="I58" s="16">
        <v>1021</v>
      </c>
      <c r="J58" s="16">
        <v>600</v>
      </c>
      <c r="K58" s="18" t="str">
        <f>HYPERLINK("mailto:abarcelo@med.miami.edu", "contact")</f>
        <v>contact</v>
      </c>
    </row>
    <row r="59" spans="1:11" x14ac:dyDescent="0.25">
      <c r="A59" s="13" t="s">
        <v>522</v>
      </c>
      <c r="B59" s="13" t="s">
        <v>523</v>
      </c>
      <c r="C59" s="13" t="s">
        <v>524</v>
      </c>
      <c r="D59" s="13" t="s">
        <v>525</v>
      </c>
      <c r="E59" s="16" t="s">
        <v>13</v>
      </c>
      <c r="F59" s="16" t="s">
        <v>12</v>
      </c>
      <c r="G59" s="16" t="s">
        <v>526</v>
      </c>
      <c r="H59" s="16" t="s">
        <v>526</v>
      </c>
      <c r="I59" s="16">
        <v>139</v>
      </c>
      <c r="J59" s="16">
        <v>144</v>
      </c>
      <c r="K59" s="18" t="str">
        <f>HYPERLINK("mailto:pkolsteren@itg.be; Patrick.Kolsteren@UGent.be", "contact")</f>
        <v>contact</v>
      </c>
    </row>
    <row r="60" spans="1:11" x14ac:dyDescent="0.25">
      <c r="A60" s="13" t="s">
        <v>527</v>
      </c>
      <c r="B60" s="13" t="s">
        <v>70</v>
      </c>
      <c r="C60" s="13" t="s">
        <v>449</v>
      </c>
      <c r="D60" s="13" t="s">
        <v>528</v>
      </c>
      <c r="E60" s="16" t="s">
        <v>41</v>
      </c>
      <c r="F60" s="16" t="s">
        <v>40</v>
      </c>
      <c r="G60" s="16" t="s">
        <v>414</v>
      </c>
      <c r="H60" s="16" t="s">
        <v>414</v>
      </c>
      <c r="I60" s="16">
        <v>547</v>
      </c>
      <c r="J60" s="16">
        <v>386</v>
      </c>
      <c r="K60" s="18" t="str">
        <f>HYPERLINK("mailto:ncdrisc@imperial.ac.uk", "contact")</f>
        <v>contact</v>
      </c>
    </row>
    <row r="61" spans="1:11" x14ac:dyDescent="0.25">
      <c r="A61" s="13" t="s">
        <v>529</v>
      </c>
      <c r="B61" s="13" t="s">
        <v>70</v>
      </c>
      <c r="C61" s="13" t="s">
        <v>452</v>
      </c>
      <c r="D61" s="13" t="s">
        <v>530</v>
      </c>
      <c r="E61" s="16" t="s">
        <v>41</v>
      </c>
      <c r="F61" s="16" t="s">
        <v>40</v>
      </c>
      <c r="G61" s="16" t="s">
        <v>531</v>
      </c>
      <c r="H61" s="16" t="s">
        <v>531</v>
      </c>
      <c r="I61" s="16">
        <v>293</v>
      </c>
      <c r="J61" s="16">
        <v>171</v>
      </c>
      <c r="K61" s="18" t="str">
        <f>HYPERLINK("mailto:ncdrisc@imperial.ac.uk", "contact")</f>
        <v>contact</v>
      </c>
    </row>
    <row r="62" spans="1:11" x14ac:dyDescent="0.25">
      <c r="A62" s="13" t="s">
        <v>532</v>
      </c>
      <c r="B62" s="13" t="s">
        <v>70</v>
      </c>
      <c r="C62" s="13" t="s">
        <v>533</v>
      </c>
      <c r="D62" s="13" t="s">
        <v>534</v>
      </c>
      <c r="E62" s="16" t="s">
        <v>41</v>
      </c>
      <c r="F62" s="16" t="s">
        <v>40</v>
      </c>
      <c r="G62" s="16" t="s">
        <v>394</v>
      </c>
      <c r="H62" s="16" t="s">
        <v>394</v>
      </c>
      <c r="I62" s="16">
        <v>1389</v>
      </c>
      <c r="J62" s="16">
        <v>974</v>
      </c>
      <c r="K62" s="18" t="str">
        <f>HYPERLINK("mailto:lima-costa@cpqrr.fiocruz.br", "contact")</f>
        <v>contact</v>
      </c>
    </row>
    <row r="63" spans="1:11" x14ac:dyDescent="0.25">
      <c r="A63" s="13" t="s">
        <v>535</v>
      </c>
      <c r="B63" s="13" t="s">
        <v>70</v>
      </c>
      <c r="C63" s="13" t="s">
        <v>390</v>
      </c>
      <c r="D63" s="13" t="s">
        <v>536</v>
      </c>
      <c r="E63" s="16" t="s">
        <v>53</v>
      </c>
      <c r="F63" s="16" t="s">
        <v>40</v>
      </c>
      <c r="G63" s="16" t="s">
        <v>434</v>
      </c>
      <c r="H63" s="16" t="s">
        <v>434</v>
      </c>
      <c r="I63" s="16">
        <v>467</v>
      </c>
      <c r="J63" s="16">
        <v>430</v>
      </c>
      <c r="K63" s="18" t="str">
        <f>HYPERLINK("mailto:marisbaraini@gmail.com", "contact")</f>
        <v>contact</v>
      </c>
    </row>
    <row r="64" spans="1:11" x14ac:dyDescent="0.25">
      <c r="A64" s="13" t="s">
        <v>537</v>
      </c>
      <c r="B64" s="13" t="s">
        <v>70</v>
      </c>
      <c r="C64" s="13" t="s">
        <v>471</v>
      </c>
      <c r="D64" s="13" t="s">
        <v>538</v>
      </c>
      <c r="E64" s="16" t="s">
        <v>41</v>
      </c>
      <c r="F64" s="16" t="s">
        <v>40</v>
      </c>
      <c r="G64" s="16" t="s">
        <v>398</v>
      </c>
      <c r="H64" s="16" t="s">
        <v>398</v>
      </c>
      <c r="I64" s="16">
        <v>1787</v>
      </c>
      <c r="J64" s="16">
        <v>1042</v>
      </c>
      <c r="K64" s="18" t="str">
        <f>HYPERLINK("mailto:ncdrisc@imperial.ac.uk", "contact")</f>
        <v>contact</v>
      </c>
    </row>
    <row r="65" spans="1:11" x14ac:dyDescent="0.25">
      <c r="A65" s="13" t="s">
        <v>539</v>
      </c>
      <c r="B65" s="13" t="s">
        <v>70</v>
      </c>
      <c r="C65" s="13" t="s">
        <v>409</v>
      </c>
      <c r="D65" s="13" t="s">
        <v>540</v>
      </c>
      <c r="E65" s="16" t="s">
        <v>41</v>
      </c>
      <c r="F65" s="16" t="s">
        <v>468</v>
      </c>
      <c r="G65" s="16" t="s">
        <v>394</v>
      </c>
      <c r="H65" s="16" t="s">
        <v>394</v>
      </c>
      <c r="I65" s="16">
        <v>288</v>
      </c>
      <c r="J65" s="16">
        <v>291</v>
      </c>
      <c r="K65" s="18" t="str">
        <f>HYPERLINK("mailto:guveme@ufmg.br", "contact")</f>
        <v>contact</v>
      </c>
    </row>
    <row r="66" spans="1:11" x14ac:dyDescent="0.25">
      <c r="A66" s="13" t="s">
        <v>541</v>
      </c>
      <c r="B66" s="13" t="s">
        <v>70</v>
      </c>
      <c r="C66" s="13" t="s">
        <v>542</v>
      </c>
      <c r="D66" s="13" t="s">
        <v>543</v>
      </c>
      <c r="E66" s="16" t="s">
        <v>41</v>
      </c>
      <c r="F66" s="16" t="s">
        <v>40</v>
      </c>
      <c r="G66" s="16" t="s">
        <v>544</v>
      </c>
      <c r="H66" s="16" t="s">
        <v>544</v>
      </c>
      <c r="I66" s="16">
        <v>1086</v>
      </c>
      <c r="J66" s="16">
        <v>1015</v>
      </c>
      <c r="K66" s="18" t="str">
        <f>HYPERLINK("mailto:hbettiol@fmrp.usp.br", "contact")</f>
        <v>contact</v>
      </c>
    </row>
    <row r="67" spans="1:11" x14ac:dyDescent="0.25">
      <c r="A67" s="13" t="s">
        <v>545</v>
      </c>
      <c r="B67" s="13" t="s">
        <v>70</v>
      </c>
      <c r="C67" s="13" t="s">
        <v>546</v>
      </c>
      <c r="D67" s="13" t="s">
        <v>547</v>
      </c>
      <c r="E67" s="16" t="s">
        <v>41</v>
      </c>
      <c r="F67" s="16" t="s">
        <v>40</v>
      </c>
      <c r="G67" s="16" t="s">
        <v>531</v>
      </c>
      <c r="H67" s="16" t="s">
        <v>531</v>
      </c>
      <c r="I67" s="16">
        <v>1255</v>
      </c>
      <c r="J67" s="16">
        <v>817</v>
      </c>
      <c r="K67" s="18" t="str">
        <f>HYPERLINK("mailto:scazufca@gmail.com", "contact")</f>
        <v>contact</v>
      </c>
    </row>
    <row r="68" spans="1:11" x14ac:dyDescent="0.25">
      <c r="A68" s="13" t="s">
        <v>548</v>
      </c>
      <c r="B68" s="13" t="s">
        <v>70</v>
      </c>
      <c r="C68" s="13" t="s">
        <v>433</v>
      </c>
      <c r="D68" s="13" t="s">
        <v>549</v>
      </c>
      <c r="E68" s="16" t="s">
        <v>13</v>
      </c>
      <c r="F68" s="16" t="s">
        <v>40</v>
      </c>
      <c r="G68" s="16" t="s">
        <v>394</v>
      </c>
      <c r="H68" s="16" t="s">
        <v>394</v>
      </c>
      <c r="I68" s="16">
        <v>655</v>
      </c>
      <c r="J68" s="16">
        <v>577</v>
      </c>
      <c r="K68" s="18" t="str">
        <f>HYPERLINK("mailto:mmakdisse@academiavbhc.org", "contact")</f>
        <v>contact</v>
      </c>
    </row>
    <row r="69" spans="1:11" x14ac:dyDescent="0.25">
      <c r="A69" s="13" t="s">
        <v>550</v>
      </c>
      <c r="B69" s="13" t="s">
        <v>70</v>
      </c>
      <c r="C69" s="13" t="s">
        <v>479</v>
      </c>
      <c r="D69" s="13" t="s">
        <v>534</v>
      </c>
      <c r="E69" s="16" t="s">
        <v>41</v>
      </c>
      <c r="F69" s="16" t="s">
        <v>40</v>
      </c>
      <c r="G69" s="16" t="s">
        <v>551</v>
      </c>
      <c r="H69" s="16" t="s">
        <v>551</v>
      </c>
      <c r="I69" s="16">
        <v>518</v>
      </c>
      <c r="J69" s="16">
        <v>266</v>
      </c>
      <c r="K69" s="18" t="str">
        <f>HYPERLINK("mailto:lima-costa@cpqrr.fiocruz.br", "contact")</f>
        <v>contact</v>
      </c>
    </row>
    <row r="70" spans="1:11" x14ac:dyDescent="0.25">
      <c r="A70" s="13" t="s">
        <v>552</v>
      </c>
      <c r="B70" s="13" t="s">
        <v>70</v>
      </c>
      <c r="C70" s="13" t="s">
        <v>479</v>
      </c>
      <c r="D70" s="13" t="s">
        <v>540</v>
      </c>
      <c r="E70" s="16" t="s">
        <v>41</v>
      </c>
      <c r="F70" s="16" t="s">
        <v>468</v>
      </c>
      <c r="G70" s="16" t="s">
        <v>394</v>
      </c>
      <c r="H70" s="16" t="s">
        <v>394</v>
      </c>
      <c r="I70" s="16">
        <v>289</v>
      </c>
      <c r="J70" s="16">
        <v>273</v>
      </c>
      <c r="K70" s="18" t="str">
        <f>HYPERLINK("mailto:guveme@ufmg.br", "contact")</f>
        <v>contact</v>
      </c>
    </row>
    <row r="71" spans="1:11" x14ac:dyDescent="0.25">
      <c r="A71" s="13" t="s">
        <v>553</v>
      </c>
      <c r="B71" s="13" t="s">
        <v>70</v>
      </c>
      <c r="C71" s="13" t="s">
        <v>554</v>
      </c>
      <c r="D71" s="13" t="s">
        <v>555</v>
      </c>
      <c r="E71" s="16" t="s">
        <v>41</v>
      </c>
      <c r="F71" s="16" t="s">
        <v>468</v>
      </c>
      <c r="G71" s="16" t="s">
        <v>394</v>
      </c>
      <c r="H71" s="16" t="s">
        <v>394</v>
      </c>
      <c r="I71" s="16">
        <v>208</v>
      </c>
      <c r="J71" s="16">
        <v>146</v>
      </c>
      <c r="K71" s="18" t="str">
        <f>HYPERLINK("mailto:guveme@ufmg.br", "contact")</f>
        <v>contact</v>
      </c>
    </row>
    <row r="72" spans="1:11" x14ac:dyDescent="0.25">
      <c r="A72" s="13" t="s">
        <v>556</v>
      </c>
      <c r="B72" s="13" t="s">
        <v>70</v>
      </c>
      <c r="C72" s="13" t="s">
        <v>400</v>
      </c>
      <c r="D72" s="13" t="s">
        <v>557</v>
      </c>
      <c r="E72" s="16" t="s">
        <v>41</v>
      </c>
      <c r="F72" s="16" t="s">
        <v>40</v>
      </c>
      <c r="G72" s="16" t="s">
        <v>558</v>
      </c>
      <c r="H72" s="16" t="s">
        <v>558</v>
      </c>
      <c r="I72" s="16">
        <v>1963</v>
      </c>
      <c r="J72" s="16">
        <v>1883</v>
      </c>
      <c r="K72" s="18" t="str">
        <f>HYPERLINK("mailto:anamene.epi@gmail.com", "contact")</f>
        <v>contact</v>
      </c>
    </row>
    <row r="73" spans="1:11" x14ac:dyDescent="0.25">
      <c r="A73" s="13" t="s">
        <v>559</v>
      </c>
      <c r="B73" s="13" t="s">
        <v>70</v>
      </c>
      <c r="C73" s="13" t="s">
        <v>484</v>
      </c>
      <c r="D73" s="13" t="s">
        <v>560</v>
      </c>
      <c r="E73" s="16" t="s">
        <v>41</v>
      </c>
      <c r="F73" s="16" t="s">
        <v>468</v>
      </c>
      <c r="G73" s="16" t="s">
        <v>394</v>
      </c>
      <c r="H73" s="16" t="s">
        <v>394</v>
      </c>
      <c r="I73" s="16">
        <v>1407</v>
      </c>
      <c r="J73" s="16">
        <v>1057</v>
      </c>
      <c r="K73" s="18" t="str">
        <f>HYPERLINK("mailto:alexandre.pereira@incor.usp.br", "contact")</f>
        <v>contact</v>
      </c>
    </row>
    <row r="74" spans="1:11" x14ac:dyDescent="0.25">
      <c r="A74" s="13" t="s">
        <v>561</v>
      </c>
      <c r="B74" s="13" t="s">
        <v>70</v>
      </c>
      <c r="C74" s="13" t="s">
        <v>562</v>
      </c>
      <c r="D74" s="13" t="s">
        <v>563</v>
      </c>
      <c r="E74" s="16" t="s">
        <v>41</v>
      </c>
      <c r="F74" s="16" t="s">
        <v>40</v>
      </c>
      <c r="G74" s="16" t="s">
        <v>564</v>
      </c>
      <c r="H74" s="16" t="s">
        <v>564</v>
      </c>
      <c r="I74" s="16">
        <v>1737</v>
      </c>
      <c r="J74" s="16">
        <v>1684</v>
      </c>
      <c r="K74" s="18" t="str">
        <f>HYPERLINK("mailto:blhorta@gmail.com", "contact")</f>
        <v>contact</v>
      </c>
    </row>
    <row r="75" spans="1:11" x14ac:dyDescent="0.25">
      <c r="A75" s="13" t="s">
        <v>69</v>
      </c>
      <c r="B75" s="13" t="s">
        <v>70</v>
      </c>
      <c r="C75" s="13" t="s">
        <v>490</v>
      </c>
      <c r="D75" s="13" t="s">
        <v>565</v>
      </c>
      <c r="E75" s="16" t="s">
        <v>13</v>
      </c>
      <c r="F75" s="16" t="s">
        <v>12</v>
      </c>
      <c r="G75" s="16" t="s">
        <v>394</v>
      </c>
      <c r="H75" s="16" t="s">
        <v>394</v>
      </c>
      <c r="I75" s="16">
        <v>32671</v>
      </c>
      <c r="J75" s="16">
        <v>25141</v>
      </c>
      <c r="K75" s="17" t="s">
        <v>383</v>
      </c>
    </row>
    <row r="76" spans="1:11" x14ac:dyDescent="0.25">
      <c r="A76" s="13" t="s">
        <v>566</v>
      </c>
      <c r="B76" s="13" t="s">
        <v>70</v>
      </c>
      <c r="C76" s="13" t="s">
        <v>567</v>
      </c>
      <c r="D76" s="13" t="s">
        <v>568</v>
      </c>
      <c r="E76" s="16" t="s">
        <v>53</v>
      </c>
      <c r="F76" s="16" t="s">
        <v>40</v>
      </c>
      <c r="G76" s="16" t="s">
        <v>434</v>
      </c>
      <c r="H76" s="16" t="s">
        <v>434</v>
      </c>
      <c r="I76" s="16">
        <v>465</v>
      </c>
      <c r="J76" s="16">
        <v>362</v>
      </c>
      <c r="K76" s="18" t="str">
        <f>HYPERLINK("mailto:marisbaraini@gmail.com", "contact")</f>
        <v>contact</v>
      </c>
    </row>
    <row r="77" spans="1:11" x14ac:dyDescent="0.25">
      <c r="A77" s="13" t="s">
        <v>569</v>
      </c>
      <c r="B77" s="13" t="s">
        <v>70</v>
      </c>
      <c r="C77" s="13" t="s">
        <v>570</v>
      </c>
      <c r="D77" s="13" t="s">
        <v>571</v>
      </c>
      <c r="E77" s="16" t="s">
        <v>53</v>
      </c>
      <c r="F77" s="16" t="s">
        <v>12</v>
      </c>
      <c r="G77" s="16" t="s">
        <v>572</v>
      </c>
      <c r="H77" s="16"/>
      <c r="I77" s="16">
        <v>3146</v>
      </c>
      <c r="J77" s="16"/>
      <c r="K77" s="18" t="str">
        <f>HYPERLINK("mailto:haroldo.ufal@gmail.com", "contact")</f>
        <v>contact</v>
      </c>
    </row>
    <row r="78" spans="1:11" x14ac:dyDescent="0.25">
      <c r="A78" s="13" t="s">
        <v>573</v>
      </c>
      <c r="B78" s="13" t="s">
        <v>70</v>
      </c>
      <c r="C78" s="13" t="s">
        <v>570</v>
      </c>
      <c r="D78" s="13" t="s">
        <v>574</v>
      </c>
      <c r="E78" s="16" t="s">
        <v>41</v>
      </c>
      <c r="F78" s="16" t="s">
        <v>40</v>
      </c>
      <c r="G78" s="16" t="s">
        <v>575</v>
      </c>
      <c r="H78" s="16" t="s">
        <v>575</v>
      </c>
      <c r="I78" s="16">
        <v>386</v>
      </c>
      <c r="J78" s="16">
        <v>209</v>
      </c>
      <c r="K78" s="18" t="str">
        <f>HYPERLINK("mailto:eleonora.dorsi@ufsc.br", "contact")</f>
        <v>contact</v>
      </c>
    </row>
    <row r="79" spans="1:11" x14ac:dyDescent="0.25">
      <c r="A79" s="13" t="s">
        <v>576</v>
      </c>
      <c r="B79" s="13" t="s">
        <v>70</v>
      </c>
      <c r="C79" s="13" t="s">
        <v>570</v>
      </c>
      <c r="D79" s="13" t="s">
        <v>577</v>
      </c>
      <c r="E79" s="16" t="s">
        <v>41</v>
      </c>
      <c r="F79" s="16" t="s">
        <v>40</v>
      </c>
      <c r="G79" s="16" t="s">
        <v>578</v>
      </c>
      <c r="H79" s="16" t="s">
        <v>578</v>
      </c>
      <c r="I79" s="16">
        <v>410</v>
      </c>
      <c r="J79" s="16">
        <v>298</v>
      </c>
      <c r="K79" s="18" t="str">
        <f>HYPERLINK("mailto:david.gonzalez@adelaide.edu.au", "contact")</f>
        <v>contact</v>
      </c>
    </row>
    <row r="80" spans="1:11" x14ac:dyDescent="0.25">
      <c r="A80" s="13" t="s">
        <v>579</v>
      </c>
      <c r="B80" s="13" t="s">
        <v>70</v>
      </c>
      <c r="C80" s="13" t="s">
        <v>580</v>
      </c>
      <c r="D80" s="13" t="s">
        <v>581</v>
      </c>
      <c r="E80" s="16" t="s">
        <v>41</v>
      </c>
      <c r="F80" s="16" t="s">
        <v>468</v>
      </c>
      <c r="G80" s="16" t="s">
        <v>394</v>
      </c>
      <c r="H80" s="16" t="s">
        <v>394</v>
      </c>
      <c r="I80" s="16">
        <v>330</v>
      </c>
      <c r="J80" s="16">
        <v>186</v>
      </c>
      <c r="K80" s="18" t="str">
        <f>HYPERLINK("mailto:gmcoelho@ufop.edu.br", "contact")</f>
        <v>contact</v>
      </c>
    </row>
    <row r="81" spans="1:11" x14ac:dyDescent="0.25">
      <c r="A81" s="13" t="s">
        <v>582</v>
      </c>
      <c r="B81" s="13" t="s">
        <v>583</v>
      </c>
      <c r="C81" s="13" t="s">
        <v>452</v>
      </c>
      <c r="D81" s="13" t="s">
        <v>584</v>
      </c>
      <c r="E81" s="16" t="s">
        <v>41</v>
      </c>
      <c r="F81" s="16" t="s">
        <v>12</v>
      </c>
      <c r="G81" s="16" t="s">
        <v>473</v>
      </c>
      <c r="H81" s="16" t="s">
        <v>473</v>
      </c>
      <c r="I81" s="16">
        <v>272</v>
      </c>
      <c r="J81" s="16">
        <v>188</v>
      </c>
      <c r="K81" s="18" t="str">
        <f>HYPERLINK("mailto:ncdrisc@imperial.ac.uk", "contact")</f>
        <v>contact</v>
      </c>
    </row>
    <row r="82" spans="1:11" x14ac:dyDescent="0.25">
      <c r="A82" s="13" t="s">
        <v>585</v>
      </c>
      <c r="B82" s="13" t="s">
        <v>583</v>
      </c>
      <c r="C82" s="13" t="s">
        <v>586</v>
      </c>
      <c r="D82" s="13" t="s">
        <v>587</v>
      </c>
      <c r="E82" s="16" t="s">
        <v>13</v>
      </c>
      <c r="F82" s="16" t="s">
        <v>12</v>
      </c>
      <c r="G82" s="16" t="s">
        <v>588</v>
      </c>
      <c r="H82" s="16" t="s">
        <v>588</v>
      </c>
      <c r="I82" s="16">
        <v>840</v>
      </c>
      <c r="J82" s="16">
        <v>606</v>
      </c>
      <c r="K82" s="18" t="str">
        <f>HYPERLINK("mailto:ncdrisc@imperial.ac.uk", "contact")</f>
        <v>contact</v>
      </c>
    </row>
    <row r="83" spans="1:11" x14ac:dyDescent="0.25">
      <c r="A83" s="13" t="s">
        <v>589</v>
      </c>
      <c r="B83" s="13" t="s">
        <v>583</v>
      </c>
      <c r="C83" s="13" t="s">
        <v>590</v>
      </c>
      <c r="D83" s="13" t="s">
        <v>591</v>
      </c>
      <c r="E83" s="16" t="s">
        <v>13</v>
      </c>
      <c r="F83" s="16" t="s">
        <v>12</v>
      </c>
      <c r="G83" s="16" t="s">
        <v>414</v>
      </c>
      <c r="H83" s="16" t="s">
        <v>414</v>
      </c>
      <c r="I83" s="16">
        <v>741</v>
      </c>
      <c r="J83" s="16">
        <v>469</v>
      </c>
      <c r="K83" s="18" t="str">
        <f>HYPERLINK("mailto: ian.hambleton@caribdata.org; ian.hambleton@cavehill.uwi.edu", "contact")</f>
        <v>contact</v>
      </c>
    </row>
    <row r="84" spans="1:11" x14ac:dyDescent="0.25">
      <c r="A84" s="13" t="s">
        <v>592</v>
      </c>
      <c r="B84" s="13" t="s">
        <v>593</v>
      </c>
      <c r="C84" s="13" t="s">
        <v>594</v>
      </c>
      <c r="D84" s="13" t="s">
        <v>595</v>
      </c>
      <c r="E84" s="16" t="s">
        <v>13</v>
      </c>
      <c r="F84" s="16" t="s">
        <v>12</v>
      </c>
      <c r="G84" s="16" t="s">
        <v>596</v>
      </c>
      <c r="H84" s="16" t="s">
        <v>596</v>
      </c>
      <c r="I84" s="16">
        <v>807</v>
      </c>
      <c r="J84" s="16">
        <v>675</v>
      </c>
      <c r="K84" s="18" t="str">
        <f>HYPERLINK("mailto:sokking.ong@moh.gov.bn; ongsokking@gmail.com; clin84chong@gmail.com", "contact")</f>
        <v>contact</v>
      </c>
    </row>
    <row r="85" spans="1:11" x14ac:dyDescent="0.25">
      <c r="A85" s="13" t="s">
        <v>597</v>
      </c>
      <c r="B85" s="13" t="s">
        <v>593</v>
      </c>
      <c r="C85" s="13" t="s">
        <v>580</v>
      </c>
      <c r="D85" s="13" t="s">
        <v>598</v>
      </c>
      <c r="E85" s="16" t="s">
        <v>13</v>
      </c>
      <c r="F85" s="16" t="s">
        <v>12</v>
      </c>
      <c r="G85" s="16" t="s">
        <v>381</v>
      </c>
      <c r="H85" s="16" t="s">
        <v>381</v>
      </c>
      <c r="I85" s="16">
        <v>2114</v>
      </c>
      <c r="J85" s="16">
        <v>1677</v>
      </c>
      <c r="K85" s="18" t="str">
        <f>HYPERLINK("mailto:sokking.ong@moh.gov.bn; ongsokking@gmail.com; clin84chong@gmail.com", "contact")</f>
        <v>contact</v>
      </c>
    </row>
    <row r="86" spans="1:11" x14ac:dyDescent="0.25">
      <c r="A86" s="13" t="s">
        <v>72</v>
      </c>
      <c r="B86" s="13" t="s">
        <v>73</v>
      </c>
      <c r="C86" s="13" t="s">
        <v>488</v>
      </c>
      <c r="D86" s="13" t="s">
        <v>380</v>
      </c>
      <c r="E86" s="16" t="s">
        <v>41</v>
      </c>
      <c r="F86" s="16" t="s">
        <v>40</v>
      </c>
      <c r="G86" s="16" t="s">
        <v>599</v>
      </c>
      <c r="H86" s="16" t="s">
        <v>599</v>
      </c>
      <c r="I86" s="16">
        <v>1330</v>
      </c>
      <c r="J86" s="16">
        <v>1132</v>
      </c>
      <c r="K86" s="17" t="s">
        <v>383</v>
      </c>
    </row>
    <row r="87" spans="1:11" x14ac:dyDescent="0.25">
      <c r="A87" s="13" t="s">
        <v>74</v>
      </c>
      <c r="B87" s="13" t="s">
        <v>73</v>
      </c>
      <c r="C87" s="13" t="s">
        <v>600</v>
      </c>
      <c r="D87" s="13" t="s">
        <v>380</v>
      </c>
      <c r="E87" s="16" t="s">
        <v>13</v>
      </c>
      <c r="F87" s="16" t="s">
        <v>12</v>
      </c>
      <c r="G87" s="16" t="s">
        <v>381</v>
      </c>
      <c r="H87" s="16" t="s">
        <v>381</v>
      </c>
      <c r="I87" s="16">
        <v>1682</v>
      </c>
      <c r="J87" s="16">
        <v>1072</v>
      </c>
      <c r="K87" s="17" t="s">
        <v>383</v>
      </c>
    </row>
    <row r="88" spans="1:11" x14ac:dyDescent="0.25">
      <c r="A88" s="13" t="s">
        <v>75</v>
      </c>
      <c r="B88" s="13" t="s">
        <v>73</v>
      </c>
      <c r="C88" s="13" t="s">
        <v>511</v>
      </c>
      <c r="D88" s="13" t="s">
        <v>380</v>
      </c>
      <c r="E88" s="16" t="s">
        <v>13</v>
      </c>
      <c r="F88" s="16" t="s">
        <v>12</v>
      </c>
      <c r="G88" s="16" t="s">
        <v>381</v>
      </c>
      <c r="H88" s="16" t="s">
        <v>381</v>
      </c>
      <c r="I88" s="16">
        <v>3280</v>
      </c>
      <c r="J88" s="16">
        <v>2099</v>
      </c>
      <c r="K88" s="17" t="s">
        <v>383</v>
      </c>
    </row>
    <row r="89" spans="1:11" x14ac:dyDescent="0.25">
      <c r="A89" s="13" t="s">
        <v>77</v>
      </c>
      <c r="B89" s="13" t="s">
        <v>78</v>
      </c>
      <c r="C89" s="13" t="s">
        <v>600</v>
      </c>
      <c r="D89" s="13" t="s">
        <v>380</v>
      </c>
      <c r="E89" s="16" t="s">
        <v>13</v>
      </c>
      <c r="F89" s="16" t="s">
        <v>12</v>
      </c>
      <c r="G89" s="16" t="s">
        <v>381</v>
      </c>
      <c r="H89" s="16" t="s">
        <v>381</v>
      </c>
      <c r="I89" s="16">
        <v>2546</v>
      </c>
      <c r="J89" s="16">
        <v>1252</v>
      </c>
      <c r="K89" s="17" t="s">
        <v>383</v>
      </c>
    </row>
    <row r="90" spans="1:11" x14ac:dyDescent="0.25">
      <c r="A90" s="13" t="s">
        <v>81</v>
      </c>
      <c r="B90" s="13" t="s">
        <v>82</v>
      </c>
      <c r="C90" s="13" t="s">
        <v>554</v>
      </c>
      <c r="D90" s="13" t="s">
        <v>380</v>
      </c>
      <c r="E90" s="16" t="s">
        <v>53</v>
      </c>
      <c r="F90" s="16" t="s">
        <v>12</v>
      </c>
      <c r="G90" s="16" t="s">
        <v>398</v>
      </c>
      <c r="H90" s="16" t="s">
        <v>398</v>
      </c>
      <c r="I90" s="16">
        <v>1998</v>
      </c>
      <c r="J90" s="16">
        <v>1882</v>
      </c>
      <c r="K90" s="17" t="s">
        <v>383</v>
      </c>
    </row>
    <row r="91" spans="1:11" x14ac:dyDescent="0.25">
      <c r="A91" s="13" t="s">
        <v>601</v>
      </c>
      <c r="B91" s="13" t="s">
        <v>602</v>
      </c>
      <c r="C91" s="13" t="s">
        <v>603</v>
      </c>
      <c r="D91" s="13" t="s">
        <v>604</v>
      </c>
      <c r="E91" s="16" t="s">
        <v>41</v>
      </c>
      <c r="F91" s="16" t="s">
        <v>468</v>
      </c>
      <c r="G91" s="16" t="s">
        <v>605</v>
      </c>
      <c r="H91" s="16" t="s">
        <v>605</v>
      </c>
      <c r="I91" s="16">
        <v>180</v>
      </c>
      <c r="J91" s="16">
        <v>136</v>
      </c>
      <c r="K91" s="18" t="str">
        <f>HYPERLINK("mailto:ncdrisc@imperial.ac.uk", "contact")</f>
        <v>contact</v>
      </c>
    </row>
    <row r="92" spans="1:11" x14ac:dyDescent="0.25">
      <c r="A92" s="13" t="s">
        <v>606</v>
      </c>
      <c r="B92" s="13" t="s">
        <v>602</v>
      </c>
      <c r="C92" s="13" t="s">
        <v>607</v>
      </c>
      <c r="D92" s="13" t="s">
        <v>608</v>
      </c>
      <c r="E92" s="16" t="s">
        <v>41</v>
      </c>
      <c r="F92" s="16" t="s">
        <v>12</v>
      </c>
      <c r="G92" s="16" t="s">
        <v>414</v>
      </c>
      <c r="H92" s="16" t="s">
        <v>414</v>
      </c>
      <c r="I92" s="16">
        <v>6539</v>
      </c>
      <c r="J92" s="16">
        <v>2884</v>
      </c>
      <c r="K92" s="18" t="str">
        <f>HYPERLINK("mailto:david.goltzman@mcgill.ca", "contact")</f>
        <v>contact</v>
      </c>
    </row>
    <row r="93" spans="1:11" x14ac:dyDescent="0.25">
      <c r="A93" s="13" t="s">
        <v>609</v>
      </c>
      <c r="B93" s="13" t="s">
        <v>602</v>
      </c>
      <c r="C93" s="13" t="s">
        <v>475</v>
      </c>
      <c r="D93" s="13" t="s">
        <v>610</v>
      </c>
      <c r="E93" s="16" t="s">
        <v>53</v>
      </c>
      <c r="F93" s="16" t="s">
        <v>12</v>
      </c>
      <c r="G93" s="16" t="s">
        <v>501</v>
      </c>
      <c r="H93" s="16" t="s">
        <v>501</v>
      </c>
      <c r="I93" s="16">
        <v>3993</v>
      </c>
      <c r="J93" s="16">
        <v>1570</v>
      </c>
      <c r="K93" s="18" t="str">
        <f>HYPERLINK("mailto:david.goltzman@mcgill.ca", "contact")</f>
        <v>contact</v>
      </c>
    </row>
    <row r="94" spans="1:11" x14ac:dyDescent="0.25">
      <c r="A94" s="13" t="s">
        <v>611</v>
      </c>
      <c r="B94" s="13" t="s">
        <v>602</v>
      </c>
      <c r="C94" s="13" t="s">
        <v>612</v>
      </c>
      <c r="D94" s="13" t="s">
        <v>613</v>
      </c>
      <c r="E94" s="16" t="s">
        <v>13</v>
      </c>
      <c r="F94" s="16" t="s">
        <v>12</v>
      </c>
      <c r="G94" s="16" t="s">
        <v>614</v>
      </c>
      <c r="H94" s="16" t="s">
        <v>614</v>
      </c>
      <c r="I94" s="16">
        <v>859</v>
      </c>
      <c r="J94" s="16">
        <v>789</v>
      </c>
      <c r="K94" s="18" t="str">
        <f>HYPERLINK("mailto:Scott.McLean@canada.ca", "contact")</f>
        <v>contact</v>
      </c>
    </row>
    <row r="95" spans="1:11" x14ac:dyDescent="0.25">
      <c r="A95" s="13" t="s">
        <v>615</v>
      </c>
      <c r="B95" s="13" t="s">
        <v>602</v>
      </c>
      <c r="C95" s="13" t="s">
        <v>616</v>
      </c>
      <c r="D95" s="13" t="s">
        <v>617</v>
      </c>
      <c r="E95" s="16" t="s">
        <v>13</v>
      </c>
      <c r="F95" s="16" t="s">
        <v>12</v>
      </c>
      <c r="G95" s="16" t="s">
        <v>614</v>
      </c>
      <c r="H95" s="16" t="s">
        <v>614</v>
      </c>
      <c r="I95" s="16">
        <v>955</v>
      </c>
      <c r="J95" s="16">
        <v>825</v>
      </c>
      <c r="K95" s="18" t="str">
        <f>HYPERLINK("mailto:Scott.McLean@canada.ca", "contact")</f>
        <v>contact</v>
      </c>
    </row>
    <row r="96" spans="1:11" x14ac:dyDescent="0.25">
      <c r="A96" s="13" t="s">
        <v>618</v>
      </c>
      <c r="B96" s="13" t="s">
        <v>602</v>
      </c>
      <c r="C96" s="13" t="s">
        <v>562</v>
      </c>
      <c r="D96" s="13" t="s">
        <v>619</v>
      </c>
      <c r="E96" s="16" t="s">
        <v>13</v>
      </c>
      <c r="F96" s="16" t="s">
        <v>12</v>
      </c>
      <c r="G96" s="16" t="s">
        <v>614</v>
      </c>
      <c r="H96" s="16" t="s">
        <v>614</v>
      </c>
      <c r="I96" s="16">
        <v>763</v>
      </c>
      <c r="J96" s="16">
        <v>798</v>
      </c>
      <c r="K96" s="18" t="str">
        <f>HYPERLINK("mailto:Scott.McLean@canada.ca", "contact")</f>
        <v>contact</v>
      </c>
    </row>
    <row r="97" spans="1:11" x14ac:dyDescent="0.25">
      <c r="A97" s="13" t="s">
        <v>620</v>
      </c>
      <c r="B97" s="13" t="s">
        <v>602</v>
      </c>
      <c r="C97" s="13" t="s">
        <v>570</v>
      </c>
      <c r="D97" s="13" t="s">
        <v>621</v>
      </c>
      <c r="E97" s="16" t="s">
        <v>13</v>
      </c>
      <c r="F97" s="16" t="s">
        <v>12</v>
      </c>
      <c r="G97" s="16" t="s">
        <v>614</v>
      </c>
      <c r="H97" s="16" t="s">
        <v>614</v>
      </c>
      <c r="I97" s="16">
        <v>764</v>
      </c>
      <c r="J97" s="16">
        <v>736</v>
      </c>
      <c r="K97" s="18" t="str">
        <f>HYPERLINK("mailto:Scott.McLean@canada.ca", "contact")</f>
        <v>contact</v>
      </c>
    </row>
    <row r="98" spans="1:11" x14ac:dyDescent="0.25">
      <c r="A98" s="13" t="s">
        <v>622</v>
      </c>
      <c r="B98" s="13" t="s">
        <v>602</v>
      </c>
      <c r="C98" s="13" t="s">
        <v>516</v>
      </c>
      <c r="D98" s="13" t="s">
        <v>623</v>
      </c>
      <c r="E98" s="16" t="s">
        <v>13</v>
      </c>
      <c r="F98" s="16" t="s">
        <v>12</v>
      </c>
      <c r="G98" s="16" t="s">
        <v>614</v>
      </c>
      <c r="H98" s="16" t="s">
        <v>614</v>
      </c>
      <c r="I98" s="16">
        <v>759</v>
      </c>
      <c r="J98" s="16">
        <v>787</v>
      </c>
      <c r="K98" s="18" t="str">
        <f>HYPERLINK("mailto:Scott.McLean@canada.ca", "contact")</f>
        <v>contact</v>
      </c>
    </row>
    <row r="99" spans="1:11" x14ac:dyDescent="0.25">
      <c r="A99" s="13" t="s">
        <v>624</v>
      </c>
      <c r="B99" s="13" t="s">
        <v>602</v>
      </c>
      <c r="C99" s="13" t="s">
        <v>486</v>
      </c>
      <c r="D99" s="13" t="s">
        <v>625</v>
      </c>
      <c r="E99" s="16" t="s">
        <v>13</v>
      </c>
      <c r="F99" s="16" t="s">
        <v>12</v>
      </c>
      <c r="G99" s="16" t="s">
        <v>614</v>
      </c>
      <c r="H99" s="16" t="s">
        <v>614</v>
      </c>
      <c r="I99" s="16">
        <v>750</v>
      </c>
      <c r="J99" s="16">
        <v>809</v>
      </c>
      <c r="K99" s="18" t="str">
        <f>HYPERLINK("mailto:Anie.Marcil@canada.ca", "contact")</f>
        <v>contact</v>
      </c>
    </row>
    <row r="100" spans="1:11" x14ac:dyDescent="0.25">
      <c r="A100" s="13" t="s">
        <v>626</v>
      </c>
      <c r="B100" s="13" t="s">
        <v>627</v>
      </c>
      <c r="C100" s="13" t="s">
        <v>628</v>
      </c>
      <c r="D100" s="13" t="s">
        <v>629</v>
      </c>
      <c r="E100" s="16" t="s">
        <v>53</v>
      </c>
      <c r="F100" s="16" t="s">
        <v>40</v>
      </c>
      <c r="G100" s="16" t="s">
        <v>392</v>
      </c>
      <c r="H100" s="16" t="s">
        <v>392</v>
      </c>
      <c r="I100" s="16">
        <v>74</v>
      </c>
      <c r="J100" s="16">
        <v>53</v>
      </c>
      <c r="K100" s="18" t="str">
        <f>HYPERLINK("mailto:idris.guessous@hcuge.ch ", "contact")</f>
        <v>contact</v>
      </c>
    </row>
    <row r="101" spans="1:11" x14ac:dyDescent="0.25">
      <c r="A101" s="13" t="s">
        <v>631</v>
      </c>
      <c r="B101" s="13" t="s">
        <v>627</v>
      </c>
      <c r="C101" s="13" t="s">
        <v>632</v>
      </c>
      <c r="D101" s="13" t="s">
        <v>633</v>
      </c>
      <c r="E101" s="16" t="s">
        <v>41</v>
      </c>
      <c r="F101" s="16" t="s">
        <v>40</v>
      </c>
      <c r="G101" s="16" t="s">
        <v>634</v>
      </c>
      <c r="H101" s="16" t="s">
        <v>634</v>
      </c>
      <c r="I101" s="16">
        <v>3454</v>
      </c>
      <c r="J101" s="16">
        <v>3104</v>
      </c>
      <c r="K101" s="18" t="str">
        <f>HYPERLINK("mailto:Peter.Vollenweider@chuv.ch", "contact")</f>
        <v>contact</v>
      </c>
    </row>
    <row r="102" spans="1:11" x14ac:dyDescent="0.25">
      <c r="A102" s="13" t="s">
        <v>635</v>
      </c>
      <c r="B102" s="13" t="s">
        <v>627</v>
      </c>
      <c r="C102" s="13" t="s">
        <v>496</v>
      </c>
      <c r="D102" s="13" t="s">
        <v>629</v>
      </c>
      <c r="E102" s="16" t="s">
        <v>53</v>
      </c>
      <c r="F102" s="16" t="s">
        <v>40</v>
      </c>
      <c r="G102" s="16" t="s">
        <v>392</v>
      </c>
      <c r="H102" s="16" t="s">
        <v>392</v>
      </c>
      <c r="I102" s="16">
        <v>53</v>
      </c>
      <c r="J102" s="16">
        <v>67</v>
      </c>
      <c r="K102" s="18" t="str">
        <f t="shared" ref="K102:K107" si="0">HYPERLINK("mailto:idris.guessous@hcuge.ch ", "contact")</f>
        <v>contact</v>
      </c>
    </row>
    <row r="103" spans="1:11" x14ac:dyDescent="0.25">
      <c r="A103" s="13" t="s">
        <v>636</v>
      </c>
      <c r="B103" s="13" t="s">
        <v>627</v>
      </c>
      <c r="C103" s="13" t="s">
        <v>488</v>
      </c>
      <c r="D103" s="13" t="s">
        <v>629</v>
      </c>
      <c r="E103" s="16" t="s">
        <v>53</v>
      </c>
      <c r="F103" s="16" t="s">
        <v>40</v>
      </c>
      <c r="G103" s="16" t="s">
        <v>392</v>
      </c>
      <c r="H103" s="16" t="s">
        <v>392</v>
      </c>
      <c r="I103" s="16">
        <v>46</v>
      </c>
      <c r="J103" s="16">
        <v>48</v>
      </c>
      <c r="K103" s="18" t="str">
        <f t="shared" si="0"/>
        <v>contact</v>
      </c>
    </row>
    <row r="104" spans="1:11" x14ac:dyDescent="0.25">
      <c r="A104" s="13" t="s">
        <v>637</v>
      </c>
      <c r="B104" s="13" t="s">
        <v>627</v>
      </c>
      <c r="C104" s="13" t="s">
        <v>479</v>
      </c>
      <c r="D104" s="13" t="s">
        <v>629</v>
      </c>
      <c r="E104" s="16" t="s">
        <v>53</v>
      </c>
      <c r="F104" s="16" t="s">
        <v>40</v>
      </c>
      <c r="G104" s="16" t="s">
        <v>392</v>
      </c>
      <c r="H104" s="16" t="s">
        <v>392</v>
      </c>
      <c r="I104" s="16">
        <v>209</v>
      </c>
      <c r="J104" s="16">
        <v>215</v>
      </c>
      <c r="K104" s="18" t="str">
        <f t="shared" si="0"/>
        <v>contact</v>
      </c>
    </row>
    <row r="105" spans="1:11" x14ac:dyDescent="0.25">
      <c r="A105" s="13" t="s">
        <v>638</v>
      </c>
      <c r="B105" s="13" t="s">
        <v>627</v>
      </c>
      <c r="C105" s="13" t="s">
        <v>639</v>
      </c>
      <c r="D105" s="13" t="s">
        <v>629</v>
      </c>
      <c r="E105" s="16" t="s">
        <v>53</v>
      </c>
      <c r="F105" s="16" t="s">
        <v>40</v>
      </c>
      <c r="G105" s="16" t="s">
        <v>392</v>
      </c>
      <c r="H105" s="16" t="s">
        <v>392</v>
      </c>
      <c r="I105" s="16">
        <v>505</v>
      </c>
      <c r="J105" s="16">
        <v>455</v>
      </c>
      <c r="K105" s="18" t="str">
        <f t="shared" si="0"/>
        <v>contact</v>
      </c>
    </row>
    <row r="106" spans="1:11" x14ac:dyDescent="0.25">
      <c r="A106" s="13" t="s">
        <v>640</v>
      </c>
      <c r="B106" s="13" t="s">
        <v>627</v>
      </c>
      <c r="C106" s="13" t="s">
        <v>554</v>
      </c>
      <c r="D106" s="13" t="s">
        <v>629</v>
      </c>
      <c r="E106" s="16" t="s">
        <v>53</v>
      </c>
      <c r="F106" s="16" t="s">
        <v>40</v>
      </c>
      <c r="G106" s="16" t="s">
        <v>392</v>
      </c>
      <c r="H106" s="16" t="s">
        <v>392</v>
      </c>
      <c r="I106" s="16">
        <v>483</v>
      </c>
      <c r="J106" s="16">
        <v>467</v>
      </c>
      <c r="K106" s="18" t="str">
        <f t="shared" si="0"/>
        <v>contact</v>
      </c>
    </row>
    <row r="107" spans="1:11" x14ac:dyDescent="0.25">
      <c r="A107" s="13" t="s">
        <v>641</v>
      </c>
      <c r="B107" s="13" t="s">
        <v>627</v>
      </c>
      <c r="C107" s="13" t="s">
        <v>499</v>
      </c>
      <c r="D107" s="13" t="s">
        <v>629</v>
      </c>
      <c r="E107" s="16" t="s">
        <v>53</v>
      </c>
      <c r="F107" s="16" t="s">
        <v>40</v>
      </c>
      <c r="G107" s="16" t="s">
        <v>392</v>
      </c>
      <c r="H107" s="16" t="s">
        <v>392</v>
      </c>
      <c r="I107" s="16">
        <v>457</v>
      </c>
      <c r="J107" s="16">
        <v>434</v>
      </c>
      <c r="K107" s="18" t="str">
        <f t="shared" si="0"/>
        <v>contact</v>
      </c>
    </row>
    <row r="108" spans="1:11" x14ac:dyDescent="0.25">
      <c r="A108" s="13" t="s">
        <v>642</v>
      </c>
      <c r="B108" s="13" t="s">
        <v>627</v>
      </c>
      <c r="C108" s="13" t="s">
        <v>643</v>
      </c>
      <c r="D108" s="13" t="s">
        <v>633</v>
      </c>
      <c r="E108" s="16" t="s">
        <v>41</v>
      </c>
      <c r="F108" s="16" t="s">
        <v>40</v>
      </c>
      <c r="G108" s="16" t="s">
        <v>644</v>
      </c>
      <c r="H108" s="16" t="s">
        <v>644</v>
      </c>
      <c r="I108" s="16">
        <v>29</v>
      </c>
      <c r="J108" s="16">
        <v>2337</v>
      </c>
      <c r="K108" s="18" t="str">
        <f>HYPERLINK("mailto:Peter.Vollenweider@chuv.ch", "contact")</f>
        <v>contact</v>
      </c>
    </row>
    <row r="109" spans="1:11" x14ac:dyDescent="0.25">
      <c r="A109" s="13" t="s">
        <v>645</v>
      </c>
      <c r="B109" s="13" t="s">
        <v>627</v>
      </c>
      <c r="C109" s="13" t="s">
        <v>439</v>
      </c>
      <c r="D109" s="13" t="s">
        <v>629</v>
      </c>
      <c r="E109" s="16" t="s">
        <v>53</v>
      </c>
      <c r="F109" s="16" t="s">
        <v>40</v>
      </c>
      <c r="G109" s="16" t="s">
        <v>392</v>
      </c>
      <c r="H109" s="16" t="s">
        <v>392</v>
      </c>
      <c r="I109" s="16">
        <v>451</v>
      </c>
      <c r="J109" s="16">
        <v>473</v>
      </c>
      <c r="K109" s="18" t="str">
        <f>HYPERLINK("mailto:idris.guessous@hcuge.ch ", "contact")</f>
        <v>contact</v>
      </c>
    </row>
    <row r="110" spans="1:11" x14ac:dyDescent="0.25">
      <c r="A110" s="13" t="s">
        <v>646</v>
      </c>
      <c r="B110" s="13" t="s">
        <v>627</v>
      </c>
      <c r="C110" s="13" t="s">
        <v>490</v>
      </c>
      <c r="D110" s="13" t="s">
        <v>629</v>
      </c>
      <c r="E110" s="16" t="s">
        <v>53</v>
      </c>
      <c r="F110" s="16" t="s">
        <v>40</v>
      </c>
      <c r="G110" s="16" t="s">
        <v>392</v>
      </c>
      <c r="H110" s="16" t="s">
        <v>392</v>
      </c>
      <c r="I110" s="16">
        <v>514</v>
      </c>
      <c r="J110" s="16">
        <v>461</v>
      </c>
      <c r="K110" s="18" t="str">
        <f>HYPERLINK("mailto:idris.guessous@hcuge.ch ", "contact")</f>
        <v>contact</v>
      </c>
    </row>
    <row r="111" spans="1:11" x14ac:dyDescent="0.25">
      <c r="A111" s="13" t="s">
        <v>647</v>
      </c>
      <c r="B111" s="13" t="s">
        <v>627</v>
      </c>
      <c r="C111" s="13" t="s">
        <v>600</v>
      </c>
      <c r="D111" s="13" t="s">
        <v>629</v>
      </c>
      <c r="E111" s="16" t="s">
        <v>53</v>
      </c>
      <c r="F111" s="16" t="s">
        <v>40</v>
      </c>
      <c r="G111" s="16" t="s">
        <v>392</v>
      </c>
      <c r="H111" s="16" t="s">
        <v>392</v>
      </c>
      <c r="I111" s="16">
        <v>512</v>
      </c>
      <c r="J111" s="16">
        <v>464</v>
      </c>
      <c r="K111" s="18" t="str">
        <f>HYPERLINK("mailto:idris.guessous@hcuge.ch ", "contact")</f>
        <v>contact</v>
      </c>
    </row>
    <row r="112" spans="1:11" x14ac:dyDescent="0.25">
      <c r="A112" s="13" t="s">
        <v>648</v>
      </c>
      <c r="B112" s="13" t="s">
        <v>627</v>
      </c>
      <c r="C112" s="13" t="s">
        <v>489</v>
      </c>
      <c r="D112" s="13" t="s">
        <v>629</v>
      </c>
      <c r="E112" s="16" t="s">
        <v>53</v>
      </c>
      <c r="F112" s="16" t="s">
        <v>40</v>
      </c>
      <c r="G112" s="16" t="s">
        <v>392</v>
      </c>
      <c r="H112" s="16" t="s">
        <v>392</v>
      </c>
      <c r="I112" s="16">
        <v>499</v>
      </c>
      <c r="J112" s="16">
        <v>501</v>
      </c>
      <c r="K112" s="18" t="str">
        <f>HYPERLINK("mailto:idris.guessous@hcuge.ch ", "contact")</f>
        <v>contact</v>
      </c>
    </row>
    <row r="113" spans="1:11" x14ac:dyDescent="0.25">
      <c r="A113" s="13" t="s">
        <v>649</v>
      </c>
      <c r="B113" s="13" t="s">
        <v>627</v>
      </c>
      <c r="C113" s="13" t="s">
        <v>404</v>
      </c>
      <c r="D113" s="13" t="s">
        <v>629</v>
      </c>
      <c r="E113" s="16" t="s">
        <v>53</v>
      </c>
      <c r="F113" s="16" t="s">
        <v>40</v>
      </c>
      <c r="G113" s="16" t="s">
        <v>392</v>
      </c>
      <c r="H113" s="16" t="s">
        <v>392</v>
      </c>
      <c r="I113" s="16">
        <v>496</v>
      </c>
      <c r="J113" s="16">
        <v>460</v>
      </c>
      <c r="K113" s="18" t="str">
        <f>HYPERLINK("mailto:idris.guessous@hcuge.ch ", "contact")</f>
        <v>contact</v>
      </c>
    </row>
    <row r="114" spans="1:11" x14ac:dyDescent="0.25">
      <c r="A114" s="13" t="s">
        <v>650</v>
      </c>
      <c r="B114" s="13" t="s">
        <v>627</v>
      </c>
      <c r="C114" s="13" t="s">
        <v>651</v>
      </c>
      <c r="D114" s="13" t="s">
        <v>633</v>
      </c>
      <c r="E114" s="16" t="s">
        <v>41</v>
      </c>
      <c r="F114" s="16" t="s">
        <v>40</v>
      </c>
      <c r="G114" s="16" t="s">
        <v>652</v>
      </c>
      <c r="H114" s="16" t="s">
        <v>652</v>
      </c>
      <c r="I114" s="16">
        <v>2398</v>
      </c>
      <c r="J114" s="16">
        <v>1938</v>
      </c>
      <c r="K114" s="18" t="str">
        <f>HYPERLINK("mailto:Pedro-Manuel.Marques-Vidal@chuv.ch", "contact")</f>
        <v>contact</v>
      </c>
    </row>
    <row r="115" spans="1:11" x14ac:dyDescent="0.25">
      <c r="A115" s="13" t="s">
        <v>653</v>
      </c>
      <c r="B115" s="13" t="s">
        <v>627</v>
      </c>
      <c r="C115" s="13" t="s">
        <v>463</v>
      </c>
      <c r="D115" s="13" t="s">
        <v>629</v>
      </c>
      <c r="E115" s="16" t="s">
        <v>53</v>
      </c>
      <c r="F115" s="16" t="s">
        <v>40</v>
      </c>
      <c r="G115" s="16" t="s">
        <v>392</v>
      </c>
      <c r="H115" s="16" t="s">
        <v>392</v>
      </c>
      <c r="I115" s="16">
        <v>577</v>
      </c>
      <c r="J115" s="16">
        <v>543</v>
      </c>
      <c r="K115" s="18" t="str">
        <f>HYPERLINK("mailto:idris.guessous@hcuge.ch ", "contact")</f>
        <v>contact</v>
      </c>
    </row>
    <row r="116" spans="1:11" x14ac:dyDescent="0.25">
      <c r="A116" s="13" t="s">
        <v>654</v>
      </c>
      <c r="B116" s="13" t="s">
        <v>627</v>
      </c>
      <c r="C116" s="13" t="s">
        <v>379</v>
      </c>
      <c r="D116" s="13" t="s">
        <v>629</v>
      </c>
      <c r="E116" s="16" t="s">
        <v>53</v>
      </c>
      <c r="F116" s="16" t="s">
        <v>40</v>
      </c>
      <c r="G116" s="16" t="s">
        <v>392</v>
      </c>
      <c r="H116" s="16" t="s">
        <v>392</v>
      </c>
      <c r="I116" s="16">
        <v>545</v>
      </c>
      <c r="J116" s="16">
        <v>513</v>
      </c>
      <c r="K116" s="18" t="str">
        <f>HYPERLINK("mailto:idris.guessous@hcuge.ch ", "contact")</f>
        <v>contact</v>
      </c>
    </row>
    <row r="117" spans="1:11" x14ac:dyDescent="0.25">
      <c r="A117" s="13" t="s">
        <v>655</v>
      </c>
      <c r="B117" s="13" t="s">
        <v>627</v>
      </c>
      <c r="C117" s="13" t="s">
        <v>511</v>
      </c>
      <c r="D117" s="13" t="s">
        <v>629</v>
      </c>
      <c r="E117" s="16" t="s">
        <v>53</v>
      </c>
      <c r="F117" s="16" t="s">
        <v>40</v>
      </c>
      <c r="G117" s="16" t="s">
        <v>392</v>
      </c>
      <c r="H117" s="16" t="s">
        <v>392</v>
      </c>
      <c r="I117" s="16">
        <v>418</v>
      </c>
      <c r="J117" s="16">
        <v>350</v>
      </c>
      <c r="K117" s="18" t="str">
        <f>HYPERLINK("mailto:idris.guessous@hcuge.ch ", "contact")</f>
        <v>contact</v>
      </c>
    </row>
    <row r="118" spans="1:11" x14ac:dyDescent="0.25">
      <c r="A118" s="13" t="s">
        <v>656</v>
      </c>
      <c r="B118" s="13" t="s">
        <v>627</v>
      </c>
      <c r="C118" s="13" t="s">
        <v>657</v>
      </c>
      <c r="D118" s="13" t="s">
        <v>633</v>
      </c>
      <c r="E118" s="16" t="s">
        <v>41</v>
      </c>
      <c r="F118" s="16" t="s">
        <v>40</v>
      </c>
      <c r="G118" s="16" t="s">
        <v>658</v>
      </c>
      <c r="H118" s="16" t="s">
        <v>658</v>
      </c>
      <c r="I118" s="16">
        <v>1866</v>
      </c>
      <c r="J118" s="16">
        <v>1510</v>
      </c>
      <c r="K118" s="18" t="str">
        <f>HYPERLINK("mailto:Pedro-Manuel.Marques-Vidal@chuv.ch", "contact")</f>
        <v>contact</v>
      </c>
    </row>
    <row r="119" spans="1:11" x14ac:dyDescent="0.25">
      <c r="A119" s="13" t="s">
        <v>659</v>
      </c>
      <c r="B119" s="13" t="s">
        <v>85</v>
      </c>
      <c r="C119" s="13" t="s">
        <v>660</v>
      </c>
      <c r="D119" s="13" t="s">
        <v>661</v>
      </c>
      <c r="E119" s="16" t="s">
        <v>53</v>
      </c>
      <c r="F119" s="16" t="s">
        <v>40</v>
      </c>
      <c r="G119" s="16" t="s">
        <v>394</v>
      </c>
      <c r="H119" s="16" t="s">
        <v>394</v>
      </c>
      <c r="I119" s="16">
        <v>688</v>
      </c>
      <c r="J119" s="16">
        <v>415</v>
      </c>
      <c r="K119" s="18" t="str">
        <f>HYPERLINK("mailto:ncdrisc@imperial.ac.uk", "contact")</f>
        <v>contact</v>
      </c>
    </row>
    <row r="120" spans="1:11" x14ac:dyDescent="0.25">
      <c r="A120" s="13" t="s">
        <v>662</v>
      </c>
      <c r="B120" s="13" t="s">
        <v>85</v>
      </c>
      <c r="C120" s="13" t="s">
        <v>663</v>
      </c>
      <c r="D120" s="13" t="s">
        <v>664</v>
      </c>
      <c r="E120" s="16" t="s">
        <v>41</v>
      </c>
      <c r="F120" s="16" t="s">
        <v>40</v>
      </c>
      <c r="G120" s="16" t="s">
        <v>394</v>
      </c>
      <c r="H120" s="16" t="s">
        <v>394</v>
      </c>
      <c r="I120" s="16">
        <v>1032</v>
      </c>
      <c r="J120" s="16">
        <v>657</v>
      </c>
      <c r="K120" s="18" t="str">
        <f>HYPERLINK("mailto:fnervi@med.puc.cl", "contact")</f>
        <v>contact</v>
      </c>
    </row>
    <row r="121" spans="1:11" x14ac:dyDescent="0.25">
      <c r="A121" s="13" t="s">
        <v>665</v>
      </c>
      <c r="B121" s="13" t="s">
        <v>85</v>
      </c>
      <c r="C121" s="13" t="s">
        <v>666</v>
      </c>
      <c r="D121" s="13" t="s">
        <v>667</v>
      </c>
      <c r="E121" s="16" t="s">
        <v>41</v>
      </c>
      <c r="F121" s="16" t="s">
        <v>40</v>
      </c>
      <c r="G121" s="16" t="s">
        <v>394</v>
      </c>
      <c r="H121" s="16" t="s">
        <v>394</v>
      </c>
      <c r="I121" s="16">
        <v>625</v>
      </c>
      <c r="J121" s="16">
        <v>335</v>
      </c>
      <c r="K121" s="18" t="str">
        <f>HYPERLINK("mailto:fnervi@med.puc.cl", "contact")</f>
        <v>contact</v>
      </c>
    </row>
    <row r="122" spans="1:11" x14ac:dyDescent="0.25">
      <c r="A122" s="13" t="s">
        <v>84</v>
      </c>
      <c r="B122" s="13" t="s">
        <v>85</v>
      </c>
      <c r="C122" s="13" t="s">
        <v>471</v>
      </c>
      <c r="D122" s="13" t="s">
        <v>668</v>
      </c>
      <c r="E122" s="16" t="s">
        <v>13</v>
      </c>
      <c r="F122" s="16" t="s">
        <v>12</v>
      </c>
      <c r="G122" s="16" t="s">
        <v>394</v>
      </c>
      <c r="H122" s="16" t="s">
        <v>394</v>
      </c>
      <c r="I122" s="16">
        <v>1951</v>
      </c>
      <c r="J122" s="16">
        <v>1632</v>
      </c>
      <c r="K122" s="17" t="s">
        <v>383</v>
      </c>
    </row>
    <row r="123" spans="1:11" x14ac:dyDescent="0.25">
      <c r="A123" s="13" t="s">
        <v>669</v>
      </c>
      <c r="B123" s="13" t="s">
        <v>85</v>
      </c>
      <c r="C123" s="13" t="s">
        <v>396</v>
      </c>
      <c r="D123" s="13" t="s">
        <v>397</v>
      </c>
      <c r="E123" s="16" t="s">
        <v>41</v>
      </c>
      <c r="F123" s="16" t="s">
        <v>40</v>
      </c>
      <c r="G123" s="16" t="s">
        <v>398</v>
      </c>
      <c r="H123" s="16" t="s">
        <v>398</v>
      </c>
      <c r="I123" s="16">
        <v>872</v>
      </c>
      <c r="J123" s="16">
        <v>783</v>
      </c>
      <c r="K123" s="18" t="str">
        <f>HYPERLINK("mailto:pboisson@intramed.net", "contact")</f>
        <v>contact</v>
      </c>
    </row>
    <row r="124" spans="1:11" x14ac:dyDescent="0.25">
      <c r="A124" s="13" t="s">
        <v>86</v>
      </c>
      <c r="B124" s="13" t="s">
        <v>85</v>
      </c>
      <c r="C124" s="13" t="s">
        <v>670</v>
      </c>
      <c r="D124" s="13" t="s">
        <v>668</v>
      </c>
      <c r="E124" s="16" t="s">
        <v>13</v>
      </c>
      <c r="F124" s="16" t="s">
        <v>12</v>
      </c>
      <c r="G124" s="16" t="s">
        <v>394</v>
      </c>
      <c r="H124" s="16" t="s">
        <v>394</v>
      </c>
      <c r="I124" s="16">
        <v>2791</v>
      </c>
      <c r="J124" s="16">
        <v>1841</v>
      </c>
      <c r="K124" s="17" t="s">
        <v>383</v>
      </c>
    </row>
    <row r="125" spans="1:11" x14ac:dyDescent="0.25">
      <c r="A125" s="13" t="s">
        <v>671</v>
      </c>
      <c r="B125" s="13" t="s">
        <v>85</v>
      </c>
      <c r="C125" s="13" t="s">
        <v>400</v>
      </c>
      <c r="D125" s="13" t="s">
        <v>401</v>
      </c>
      <c r="E125" s="16" t="s">
        <v>41</v>
      </c>
      <c r="F125" s="16" t="s">
        <v>40</v>
      </c>
      <c r="G125" s="16" t="s">
        <v>402</v>
      </c>
      <c r="H125" s="16" t="s">
        <v>402</v>
      </c>
      <c r="I125" s="16">
        <v>999</v>
      </c>
      <c r="J125" s="16">
        <v>916</v>
      </c>
      <c r="K125" s="18" t="str">
        <f>HYPERLINK("mailto:arubinstein@gmail.com", "contact")</f>
        <v>contact</v>
      </c>
    </row>
    <row r="126" spans="1:11" x14ac:dyDescent="0.25">
      <c r="A126" s="13" t="s">
        <v>87</v>
      </c>
      <c r="B126" s="13" t="s">
        <v>85</v>
      </c>
      <c r="C126" s="13" t="s">
        <v>516</v>
      </c>
      <c r="D126" s="13" t="s">
        <v>668</v>
      </c>
      <c r="E126" s="16" t="s">
        <v>13</v>
      </c>
      <c r="F126" s="16" t="s">
        <v>12</v>
      </c>
      <c r="G126" s="16" t="s">
        <v>394</v>
      </c>
      <c r="H126" s="16" t="s">
        <v>394</v>
      </c>
      <c r="I126" s="16">
        <v>3796</v>
      </c>
      <c r="J126" s="16">
        <v>2199</v>
      </c>
      <c r="K126" s="17" t="s">
        <v>383</v>
      </c>
    </row>
    <row r="127" spans="1:11" x14ac:dyDescent="0.25">
      <c r="A127" s="13" t="s">
        <v>672</v>
      </c>
      <c r="B127" s="13" t="s">
        <v>673</v>
      </c>
      <c r="C127" s="13" t="s">
        <v>663</v>
      </c>
      <c r="D127" s="13" t="s">
        <v>674</v>
      </c>
      <c r="E127" s="16" t="s">
        <v>41</v>
      </c>
      <c r="F127" s="16" t="s">
        <v>40</v>
      </c>
      <c r="G127" s="16" t="s">
        <v>675</v>
      </c>
      <c r="H127" s="16" t="s">
        <v>675</v>
      </c>
      <c r="I127" s="16">
        <v>2112</v>
      </c>
      <c r="J127" s="16">
        <v>2030</v>
      </c>
      <c r="K127" s="18" t="str">
        <f>HYPERLINK("mailto:markw@georgeinstitute.org.au", "contact")</f>
        <v>contact</v>
      </c>
    </row>
    <row r="128" spans="1:11" x14ac:dyDescent="0.25">
      <c r="A128" s="13" t="s">
        <v>676</v>
      </c>
      <c r="B128" s="13" t="s">
        <v>673</v>
      </c>
      <c r="C128" s="13" t="s">
        <v>677</v>
      </c>
      <c r="D128" s="13" t="s">
        <v>678</v>
      </c>
      <c r="E128" s="16" t="s">
        <v>41</v>
      </c>
      <c r="F128" s="16" t="s">
        <v>40</v>
      </c>
      <c r="G128" s="16" t="s">
        <v>679</v>
      </c>
      <c r="H128" s="16" t="s">
        <v>679</v>
      </c>
      <c r="I128" s="16">
        <v>555</v>
      </c>
      <c r="J128" s="16">
        <v>266</v>
      </c>
      <c r="K128" s="18" t="str">
        <f>HYPERLINK("mailto:markw@georgeinstitute.org.au", "contact")</f>
        <v>contact</v>
      </c>
    </row>
    <row r="129" spans="1:11" x14ac:dyDescent="0.25">
      <c r="A129" s="13" t="s">
        <v>680</v>
      </c>
      <c r="B129" s="13" t="s">
        <v>673</v>
      </c>
      <c r="C129" s="13" t="s">
        <v>681</v>
      </c>
      <c r="D129" s="13" t="s">
        <v>682</v>
      </c>
      <c r="E129" s="16" t="s">
        <v>41</v>
      </c>
      <c r="F129" s="16" t="s">
        <v>40</v>
      </c>
      <c r="G129" s="16" t="s">
        <v>599</v>
      </c>
      <c r="H129" s="16" t="s">
        <v>599</v>
      </c>
      <c r="I129" s="16">
        <v>1483</v>
      </c>
      <c r="J129" s="16">
        <v>1412</v>
      </c>
      <c r="K129" s="18" t="str">
        <f>HYPERLINK("mailto:edwarddj@unimelb.edu.au", "contact")</f>
        <v>contact</v>
      </c>
    </row>
    <row r="130" spans="1:11" x14ac:dyDescent="0.25">
      <c r="A130" s="13" t="s">
        <v>683</v>
      </c>
      <c r="B130" s="13" t="s">
        <v>673</v>
      </c>
      <c r="C130" s="13" t="s">
        <v>684</v>
      </c>
      <c r="D130" s="13" t="s">
        <v>685</v>
      </c>
      <c r="E130" s="16" t="s">
        <v>41</v>
      </c>
      <c r="F130" s="16" t="s">
        <v>40</v>
      </c>
      <c r="G130" s="16" t="s">
        <v>686</v>
      </c>
      <c r="H130" s="16" t="s">
        <v>686</v>
      </c>
      <c r="I130" s="16">
        <v>2571</v>
      </c>
      <c r="J130" s="16">
        <v>1577</v>
      </c>
      <c r="K130" s="18" t="str">
        <f>HYPERLINK("mailto:ncdrisc@imperial.ac.uk", "contact")</f>
        <v>contact</v>
      </c>
    </row>
    <row r="131" spans="1:11" x14ac:dyDescent="0.25">
      <c r="A131" s="13" t="s">
        <v>687</v>
      </c>
      <c r="B131" s="13" t="s">
        <v>673</v>
      </c>
      <c r="C131" s="13" t="s">
        <v>688</v>
      </c>
      <c r="D131" s="13" t="s">
        <v>689</v>
      </c>
      <c r="E131" s="16" t="s">
        <v>13</v>
      </c>
      <c r="F131" s="16" t="s">
        <v>12</v>
      </c>
      <c r="G131" s="16" t="s">
        <v>402</v>
      </c>
      <c r="H131" s="16" t="s">
        <v>402</v>
      </c>
      <c r="I131" s="16">
        <v>7828</v>
      </c>
      <c r="J131" s="16">
        <v>7327</v>
      </c>
      <c r="K131" s="18" t="str">
        <f>HYPERLINK("mailto:jhe@tulane.edu", "contact")</f>
        <v>contact</v>
      </c>
    </row>
    <row r="132" spans="1:11" x14ac:dyDescent="0.25">
      <c r="A132" s="13" t="s">
        <v>690</v>
      </c>
      <c r="B132" s="13" t="s">
        <v>673</v>
      </c>
      <c r="C132" s="13" t="s">
        <v>471</v>
      </c>
      <c r="D132" s="13" t="s">
        <v>691</v>
      </c>
      <c r="E132" s="16" t="s">
        <v>41</v>
      </c>
      <c r="F132" s="16" t="s">
        <v>12</v>
      </c>
      <c r="G132" s="16" t="s">
        <v>414</v>
      </c>
      <c r="H132" s="16" t="s">
        <v>414</v>
      </c>
      <c r="I132" s="16">
        <v>7770</v>
      </c>
      <c r="J132" s="16">
        <v>5529</v>
      </c>
      <c r="K132" s="18" t="str">
        <f>HYPERLINK("mailto:ncdrisc@imperial.ac.uk", "contact")</f>
        <v>contact</v>
      </c>
    </row>
    <row r="133" spans="1:11" x14ac:dyDescent="0.25">
      <c r="A133" s="13" t="s">
        <v>692</v>
      </c>
      <c r="B133" s="13" t="s">
        <v>673</v>
      </c>
      <c r="C133" s="13" t="s">
        <v>471</v>
      </c>
      <c r="D133" s="13" t="s">
        <v>693</v>
      </c>
      <c r="E133" s="16" t="s">
        <v>41</v>
      </c>
      <c r="F133" s="16" t="s">
        <v>12</v>
      </c>
      <c r="G133" s="16" t="s">
        <v>694</v>
      </c>
      <c r="H133" s="16" t="s">
        <v>694</v>
      </c>
      <c r="I133" s="16">
        <v>8260</v>
      </c>
      <c r="J133" s="16">
        <v>6123</v>
      </c>
      <c r="K133" s="18" t="str">
        <f>HYPERLINK("mailto:ncdrisc@imperial.ac.uk", "contact")</f>
        <v>contact</v>
      </c>
    </row>
    <row r="134" spans="1:11" x14ac:dyDescent="0.25">
      <c r="A134" s="13" t="s">
        <v>695</v>
      </c>
      <c r="B134" s="13" t="s">
        <v>673</v>
      </c>
      <c r="C134" s="13" t="s">
        <v>409</v>
      </c>
      <c r="D134" s="13" t="s">
        <v>696</v>
      </c>
      <c r="E134" s="16" t="s">
        <v>41</v>
      </c>
      <c r="F134" s="16" t="s">
        <v>468</v>
      </c>
      <c r="G134" s="16" t="s">
        <v>501</v>
      </c>
      <c r="H134" s="16" t="s">
        <v>501</v>
      </c>
      <c r="I134" s="16">
        <v>405011</v>
      </c>
      <c r="J134" s="16">
        <v>364781</v>
      </c>
      <c r="K134" s="18" t="str">
        <f>HYPERLINK("mailto:ncdrisc@imperial.ac.uk", "contact")</f>
        <v>contact</v>
      </c>
    </row>
    <row r="135" spans="1:11" x14ac:dyDescent="0.25">
      <c r="A135" s="13" t="s">
        <v>697</v>
      </c>
      <c r="B135" s="13" t="s">
        <v>673</v>
      </c>
      <c r="C135" s="13" t="s">
        <v>628</v>
      </c>
      <c r="D135" s="13" t="s">
        <v>698</v>
      </c>
      <c r="E135" s="16" t="s">
        <v>41</v>
      </c>
      <c r="F135" s="16" t="s">
        <v>12</v>
      </c>
      <c r="G135" s="16" t="s">
        <v>381</v>
      </c>
      <c r="H135" s="16" t="s">
        <v>381</v>
      </c>
      <c r="I135" s="16">
        <v>10716</v>
      </c>
      <c r="J135" s="16">
        <v>9943</v>
      </c>
      <c r="K135" s="18" t="str">
        <f>HYPERLINK("mailto:ncdrisc@imperial.ac.uk", "contact")</f>
        <v>contact</v>
      </c>
    </row>
    <row r="136" spans="1:11" x14ac:dyDescent="0.25">
      <c r="A136" s="13" t="s">
        <v>699</v>
      </c>
      <c r="B136" s="13" t="s">
        <v>673</v>
      </c>
      <c r="C136" s="13" t="s">
        <v>396</v>
      </c>
      <c r="D136" s="13" t="s">
        <v>700</v>
      </c>
      <c r="E136" s="16" t="s">
        <v>41</v>
      </c>
      <c r="F136" s="16" t="s">
        <v>40</v>
      </c>
      <c r="G136" s="16" t="s">
        <v>526</v>
      </c>
      <c r="H136" s="16" t="s">
        <v>526</v>
      </c>
      <c r="I136" s="16">
        <v>68</v>
      </c>
      <c r="J136" s="16">
        <v>55</v>
      </c>
      <c r="K136" s="18" t="str">
        <f>HYPERLINK("mailto:Yanwl@fudan.edu.cn", "contact")</f>
        <v>contact</v>
      </c>
    </row>
    <row r="137" spans="1:11" x14ac:dyDescent="0.25">
      <c r="A137" s="13" t="s">
        <v>701</v>
      </c>
      <c r="B137" s="13" t="s">
        <v>673</v>
      </c>
      <c r="C137" s="13" t="s">
        <v>496</v>
      </c>
      <c r="D137" s="13" t="s">
        <v>702</v>
      </c>
      <c r="E137" s="16" t="s">
        <v>41</v>
      </c>
      <c r="F137" s="16" t="s">
        <v>12</v>
      </c>
      <c r="G137" s="16" t="s">
        <v>480</v>
      </c>
      <c r="H137" s="16" t="s">
        <v>480</v>
      </c>
      <c r="I137" s="16">
        <v>1827</v>
      </c>
      <c r="J137" s="16">
        <v>1393</v>
      </c>
      <c r="K137" s="18" t="str">
        <f>HYPERLINK("mailto:Jost.Jonas@medma.uni-heidelberg.de", "contact")</f>
        <v>contact</v>
      </c>
    </row>
    <row r="138" spans="1:11" x14ac:dyDescent="0.25">
      <c r="A138" s="13" t="s">
        <v>703</v>
      </c>
      <c r="B138" s="13" t="s">
        <v>673</v>
      </c>
      <c r="C138" s="13" t="s">
        <v>496</v>
      </c>
      <c r="D138" s="13" t="s">
        <v>704</v>
      </c>
      <c r="E138" s="16" t="s">
        <v>41</v>
      </c>
      <c r="F138" s="16" t="s">
        <v>12</v>
      </c>
      <c r="G138" s="16" t="s">
        <v>402</v>
      </c>
      <c r="H138" s="16" t="s">
        <v>402</v>
      </c>
      <c r="I138" s="16">
        <v>2310</v>
      </c>
      <c r="J138" s="16">
        <v>1536</v>
      </c>
      <c r="K138" s="18" t="str">
        <f>HYPERLINK("mailto:qing.qiao@boehringer-ingelheim.com", "contact")</f>
        <v>contact</v>
      </c>
    </row>
    <row r="139" spans="1:11" x14ac:dyDescent="0.25">
      <c r="A139" s="13" t="s">
        <v>705</v>
      </c>
      <c r="B139" s="13" t="s">
        <v>673</v>
      </c>
      <c r="C139" s="13" t="s">
        <v>706</v>
      </c>
      <c r="D139" s="13" t="s">
        <v>707</v>
      </c>
      <c r="E139" s="16" t="s">
        <v>41</v>
      </c>
      <c r="F139" s="16" t="s">
        <v>468</v>
      </c>
      <c r="G139" s="16" t="s">
        <v>708</v>
      </c>
      <c r="H139" s="16" t="s">
        <v>708</v>
      </c>
      <c r="I139" s="16">
        <v>2582</v>
      </c>
      <c r="J139" s="16">
        <v>1815</v>
      </c>
      <c r="K139" s="18" t="str">
        <f>HYPERLINK("mailto:ncdrisc@imperial.ac.uk", "contact")</f>
        <v>contact</v>
      </c>
    </row>
    <row r="140" spans="1:11" x14ac:dyDescent="0.25">
      <c r="A140" s="13" t="s">
        <v>709</v>
      </c>
      <c r="B140" s="13" t="s">
        <v>673</v>
      </c>
      <c r="C140" s="13" t="s">
        <v>706</v>
      </c>
      <c r="D140" s="13" t="s">
        <v>710</v>
      </c>
      <c r="E140" s="16" t="s">
        <v>41</v>
      </c>
      <c r="F140" s="16" t="s">
        <v>468</v>
      </c>
      <c r="G140" s="16" t="s">
        <v>431</v>
      </c>
      <c r="H140" s="16" t="s">
        <v>431</v>
      </c>
      <c r="I140" s="16">
        <v>3430</v>
      </c>
      <c r="J140" s="16">
        <v>2998</v>
      </c>
      <c r="K140" s="18" t="str">
        <f>HYPERLINK("mailto:wningli@vip.163.com", "contact")</f>
        <v>contact</v>
      </c>
    </row>
    <row r="141" spans="1:11" x14ac:dyDescent="0.25">
      <c r="A141" s="13" t="s">
        <v>711</v>
      </c>
      <c r="B141" s="13" t="s">
        <v>673</v>
      </c>
      <c r="C141" s="13" t="s">
        <v>712</v>
      </c>
      <c r="D141" s="13" t="s">
        <v>713</v>
      </c>
      <c r="E141" s="16" t="s">
        <v>53</v>
      </c>
      <c r="F141" s="16" t="s">
        <v>12</v>
      </c>
      <c r="G141" s="16" t="s">
        <v>531</v>
      </c>
      <c r="H141" s="16" t="s">
        <v>531</v>
      </c>
      <c r="I141" s="16">
        <v>753</v>
      </c>
      <c r="J141" s="16">
        <v>477</v>
      </c>
      <c r="K141" s="18" t="str">
        <f>HYPERLINK("mailto:zengyi@duke.edu", "contact")</f>
        <v>contact</v>
      </c>
    </row>
    <row r="142" spans="1:11" x14ac:dyDescent="0.25">
      <c r="A142" s="13" t="s">
        <v>714</v>
      </c>
      <c r="B142" s="13" t="s">
        <v>673</v>
      </c>
      <c r="C142" s="13" t="s">
        <v>639</v>
      </c>
      <c r="D142" s="13" t="s">
        <v>715</v>
      </c>
      <c r="E142" s="16" t="s">
        <v>13</v>
      </c>
      <c r="F142" s="16" t="s">
        <v>12</v>
      </c>
      <c r="G142" s="16" t="s">
        <v>394</v>
      </c>
      <c r="H142" s="16" t="s">
        <v>394</v>
      </c>
      <c r="I142" s="16">
        <v>5163</v>
      </c>
      <c r="J142" s="16">
        <v>4811</v>
      </c>
      <c r="K142" s="18" t="str">
        <f>HYPERLINK("mailto:popkin@unc.edu", "contact")</f>
        <v>contact</v>
      </c>
    </row>
    <row r="143" spans="1:11" x14ac:dyDescent="0.25">
      <c r="A143" s="13" t="s">
        <v>716</v>
      </c>
      <c r="B143" s="13" t="s">
        <v>673</v>
      </c>
      <c r="C143" s="13" t="s">
        <v>639</v>
      </c>
      <c r="D143" s="13" t="s">
        <v>704</v>
      </c>
      <c r="E143" s="16" t="s">
        <v>41</v>
      </c>
      <c r="F143" s="16" t="s">
        <v>12</v>
      </c>
      <c r="G143" s="16" t="s">
        <v>717</v>
      </c>
      <c r="H143" s="16" t="s">
        <v>717</v>
      </c>
      <c r="I143" s="16">
        <v>1528</v>
      </c>
      <c r="J143" s="16">
        <v>979</v>
      </c>
      <c r="K143" s="18" t="str">
        <f>HYPERLINK("mailto:qdcdcsjp@126.com", "contact")</f>
        <v>contact</v>
      </c>
    </row>
    <row r="144" spans="1:11" x14ac:dyDescent="0.25">
      <c r="A144" s="13" t="s">
        <v>718</v>
      </c>
      <c r="B144" s="13" t="s">
        <v>673</v>
      </c>
      <c r="C144" s="13" t="s">
        <v>554</v>
      </c>
      <c r="D144" s="13" t="s">
        <v>719</v>
      </c>
      <c r="E144" s="16" t="s">
        <v>13</v>
      </c>
      <c r="F144" s="16" t="s">
        <v>468</v>
      </c>
      <c r="G144" s="16" t="s">
        <v>394</v>
      </c>
      <c r="H144" s="16" t="s">
        <v>394</v>
      </c>
      <c r="I144" s="16">
        <v>31297</v>
      </c>
      <c r="J144" s="16">
        <v>27369</v>
      </c>
      <c r="K144" s="18" t="str">
        <f>HYPERLINK("mailto:gning@sibs.ac.cn", "contact")</f>
        <v>contact</v>
      </c>
    </row>
    <row r="145" spans="1:11" x14ac:dyDescent="0.25">
      <c r="A145" s="13" t="s">
        <v>720</v>
      </c>
      <c r="B145" s="13" t="s">
        <v>673</v>
      </c>
      <c r="C145" s="13" t="s">
        <v>554</v>
      </c>
      <c r="D145" s="13" t="s">
        <v>719</v>
      </c>
      <c r="E145" s="16" t="s">
        <v>13</v>
      </c>
      <c r="F145" s="16" t="s">
        <v>40</v>
      </c>
      <c r="G145" s="16" t="s">
        <v>394</v>
      </c>
      <c r="H145" s="16" t="s">
        <v>394</v>
      </c>
      <c r="I145" s="16">
        <v>21279</v>
      </c>
      <c r="J145" s="16">
        <v>16973</v>
      </c>
      <c r="K145" s="18" t="str">
        <f>HYPERLINK("mailto:gning@sibs.ac.cn", "contact")</f>
        <v>contact</v>
      </c>
    </row>
    <row r="146" spans="1:11" x14ac:dyDescent="0.25">
      <c r="A146" s="13" t="s">
        <v>721</v>
      </c>
      <c r="B146" s="13" t="s">
        <v>673</v>
      </c>
      <c r="C146" s="13" t="s">
        <v>670</v>
      </c>
      <c r="D146" s="13" t="s">
        <v>722</v>
      </c>
      <c r="E146" s="16" t="s">
        <v>13</v>
      </c>
      <c r="F146" s="16" t="s">
        <v>12</v>
      </c>
      <c r="G146" s="16" t="s">
        <v>394</v>
      </c>
      <c r="H146" s="16" t="s">
        <v>394</v>
      </c>
      <c r="I146" s="16">
        <v>23341</v>
      </c>
      <c r="J146" s="16">
        <v>16611</v>
      </c>
      <c r="K146" s="18" t="str">
        <f>HYPERLINK("mailto:mhzhao@bjmu.edu.cn", "contact")</f>
        <v>contact</v>
      </c>
    </row>
    <row r="147" spans="1:11" x14ac:dyDescent="0.25">
      <c r="A147" s="13" t="s">
        <v>723</v>
      </c>
      <c r="B147" s="13" t="s">
        <v>673</v>
      </c>
      <c r="C147" s="13" t="s">
        <v>499</v>
      </c>
      <c r="D147" s="13" t="s">
        <v>702</v>
      </c>
      <c r="E147" s="16" t="s">
        <v>41</v>
      </c>
      <c r="F147" s="16" t="s">
        <v>12</v>
      </c>
      <c r="G147" s="16" t="s">
        <v>724</v>
      </c>
      <c r="H147" s="16" t="s">
        <v>724</v>
      </c>
      <c r="I147" s="16">
        <v>1963</v>
      </c>
      <c r="J147" s="16">
        <v>1505</v>
      </c>
      <c r="K147" s="18" t="str">
        <f>HYPERLINK("mailto:Jost.Jonas@medma.uni-heidelberg.de", "contact")</f>
        <v>contact</v>
      </c>
    </row>
    <row r="148" spans="1:11" x14ac:dyDescent="0.25">
      <c r="A148" s="13" t="s">
        <v>725</v>
      </c>
      <c r="B148" s="13" t="s">
        <v>673</v>
      </c>
      <c r="C148" s="13" t="s">
        <v>400</v>
      </c>
      <c r="D148" s="13" t="s">
        <v>726</v>
      </c>
      <c r="E148" s="16" t="s">
        <v>13</v>
      </c>
      <c r="F148" s="16" t="s">
        <v>12</v>
      </c>
      <c r="G148" s="16" t="s">
        <v>480</v>
      </c>
      <c r="H148" s="16" t="s">
        <v>480</v>
      </c>
      <c r="I148" s="16">
        <v>7083</v>
      </c>
      <c r="J148" s="16">
        <v>6425</v>
      </c>
      <c r="K148" s="18" t="str">
        <f>HYPERLINK("mailto:ncdrisc@imperial.ac.uk", "contact")</f>
        <v>contact</v>
      </c>
    </row>
    <row r="149" spans="1:11" x14ac:dyDescent="0.25">
      <c r="A149" s="13" t="s">
        <v>727</v>
      </c>
      <c r="B149" s="13" t="s">
        <v>673</v>
      </c>
      <c r="C149" s="13" t="s">
        <v>400</v>
      </c>
      <c r="D149" s="13" t="s">
        <v>713</v>
      </c>
      <c r="E149" s="16" t="s">
        <v>53</v>
      </c>
      <c r="F149" s="16" t="s">
        <v>12</v>
      </c>
      <c r="G149" s="16" t="s">
        <v>531</v>
      </c>
      <c r="H149" s="16" t="s">
        <v>531</v>
      </c>
      <c r="I149" s="16">
        <v>1123</v>
      </c>
      <c r="J149" s="16">
        <v>944</v>
      </c>
      <c r="K149" s="18" t="str">
        <f>HYPERLINK("mailto:ncdrisc@imperial.ac.uk", "contact")</f>
        <v>contact</v>
      </c>
    </row>
    <row r="150" spans="1:11" x14ac:dyDescent="0.25">
      <c r="A150" s="13" t="s">
        <v>728</v>
      </c>
      <c r="B150" s="13" t="s">
        <v>673</v>
      </c>
      <c r="C150" s="13" t="s">
        <v>729</v>
      </c>
      <c r="D150" s="13" t="s">
        <v>730</v>
      </c>
      <c r="E150" s="16" t="s">
        <v>13</v>
      </c>
      <c r="F150" s="16" t="s">
        <v>12</v>
      </c>
      <c r="G150" s="16" t="s">
        <v>394</v>
      </c>
      <c r="H150" s="16" t="s">
        <v>394</v>
      </c>
      <c r="I150" s="16">
        <v>65491</v>
      </c>
      <c r="J150" s="16">
        <v>50394</v>
      </c>
      <c r="K150" s="18" t="str">
        <f>HYPERLINK("mailto:ncdrisc@imperial.ac.uk", "contact")</f>
        <v>contact</v>
      </c>
    </row>
    <row r="151" spans="1:11" x14ac:dyDescent="0.25">
      <c r="A151" s="13" t="s">
        <v>731</v>
      </c>
      <c r="B151" s="13" t="s">
        <v>673</v>
      </c>
      <c r="C151" s="13" t="s">
        <v>600</v>
      </c>
      <c r="D151" s="13" t="s">
        <v>713</v>
      </c>
      <c r="E151" s="16" t="s">
        <v>53</v>
      </c>
      <c r="F151" s="16" t="s">
        <v>12</v>
      </c>
      <c r="G151" s="16" t="s">
        <v>531</v>
      </c>
      <c r="H151" s="16" t="s">
        <v>531</v>
      </c>
      <c r="I151" s="16">
        <v>1219</v>
      </c>
      <c r="J151" s="16">
        <v>1022</v>
      </c>
      <c r="K151" s="18" t="str">
        <f>HYPERLINK("mailto:ncdrisc@imperial.ac.uk", "contact")</f>
        <v>contact</v>
      </c>
    </row>
    <row r="152" spans="1:11" x14ac:dyDescent="0.25">
      <c r="A152" s="13" t="s">
        <v>732</v>
      </c>
      <c r="B152" s="13" t="s">
        <v>673</v>
      </c>
      <c r="C152" s="13" t="s">
        <v>489</v>
      </c>
      <c r="D152" s="13" t="s">
        <v>733</v>
      </c>
      <c r="E152" s="16" t="s">
        <v>13</v>
      </c>
      <c r="F152" s="16" t="s">
        <v>12</v>
      </c>
      <c r="G152" s="16" t="s">
        <v>394</v>
      </c>
      <c r="H152" s="16" t="s">
        <v>394</v>
      </c>
      <c r="I152" s="16">
        <v>64059</v>
      </c>
      <c r="J152" s="16">
        <v>56354</v>
      </c>
      <c r="K152" s="18" t="str">
        <f>HYPERLINK("mailto:ncdrisc@imperial.ac.uk", "contact")</f>
        <v>contact</v>
      </c>
    </row>
    <row r="153" spans="1:11" x14ac:dyDescent="0.25">
      <c r="A153" s="13" t="s">
        <v>734</v>
      </c>
      <c r="B153" s="13" t="s">
        <v>673</v>
      </c>
      <c r="C153" s="13" t="s">
        <v>735</v>
      </c>
      <c r="D153" s="13" t="s">
        <v>736</v>
      </c>
      <c r="E153" s="16" t="s">
        <v>41</v>
      </c>
      <c r="F153" s="16" t="s">
        <v>12</v>
      </c>
      <c r="G153" s="16" t="s">
        <v>737</v>
      </c>
      <c r="H153" s="16" t="s">
        <v>737</v>
      </c>
      <c r="I153" s="16">
        <v>250</v>
      </c>
      <c r="J153" s="16">
        <v>255</v>
      </c>
      <c r="K153" s="18" t="str">
        <f>HYPERLINK("mailto:ayslryan@hku.hk", "contact")</f>
        <v>contact</v>
      </c>
    </row>
    <row r="154" spans="1:11" x14ac:dyDescent="0.25">
      <c r="A154" s="13" t="s">
        <v>738</v>
      </c>
      <c r="B154" s="13" t="s">
        <v>673</v>
      </c>
      <c r="C154" s="13" t="s">
        <v>739</v>
      </c>
      <c r="D154" s="13" t="s">
        <v>740</v>
      </c>
      <c r="E154" s="16" t="s">
        <v>53</v>
      </c>
      <c r="F154" s="16" t="s">
        <v>468</v>
      </c>
      <c r="G154" s="16" t="s">
        <v>614</v>
      </c>
      <c r="H154" s="16" t="s">
        <v>614</v>
      </c>
      <c r="I154" s="16">
        <v>23721</v>
      </c>
      <c r="J154" s="16">
        <v>15488</v>
      </c>
      <c r="K154" s="18" t="str">
        <f>HYPERLINK("mailto:tjwcj2005@126.com", "contact")</f>
        <v>contact</v>
      </c>
    </row>
    <row r="155" spans="1:11" x14ac:dyDescent="0.25">
      <c r="A155" s="13" t="s">
        <v>741</v>
      </c>
      <c r="B155" s="13" t="s">
        <v>673</v>
      </c>
      <c r="C155" s="13" t="s">
        <v>580</v>
      </c>
      <c r="D155" s="13" t="s">
        <v>742</v>
      </c>
      <c r="E155" s="16" t="s">
        <v>53</v>
      </c>
      <c r="F155" s="16" t="s">
        <v>468</v>
      </c>
      <c r="G155" s="16" t="s">
        <v>743</v>
      </c>
      <c r="H155" s="16" t="s">
        <v>743</v>
      </c>
      <c r="I155" s="16">
        <v>433</v>
      </c>
      <c r="J155" s="16">
        <v>348</v>
      </c>
      <c r="K155" s="18" t="str">
        <f>HYPERLINK("mailto:q.chan@imperial.ac.uk", "contact")</f>
        <v>contact</v>
      </c>
    </row>
    <row r="156" spans="1:11" x14ac:dyDescent="0.25">
      <c r="A156" s="13" t="s">
        <v>744</v>
      </c>
      <c r="B156" s="13" t="s">
        <v>673</v>
      </c>
      <c r="C156" s="13" t="s">
        <v>745</v>
      </c>
      <c r="D156" s="13" t="s">
        <v>746</v>
      </c>
      <c r="E156" s="16" t="s">
        <v>41</v>
      </c>
      <c r="F156" s="16" t="s">
        <v>40</v>
      </c>
      <c r="G156" s="16" t="s">
        <v>394</v>
      </c>
      <c r="H156" s="16" t="s">
        <v>394</v>
      </c>
      <c r="I156" s="16">
        <v>1118</v>
      </c>
      <c r="J156" s="16">
        <v>842</v>
      </c>
      <c r="K156" s="18" t="str">
        <f>HYPERLINK("mailto:nimy@hku.hk", "contact")</f>
        <v>contact</v>
      </c>
    </row>
    <row r="157" spans="1:11" x14ac:dyDescent="0.25">
      <c r="A157" s="13" t="s">
        <v>747</v>
      </c>
      <c r="B157" s="13" t="s">
        <v>673</v>
      </c>
      <c r="C157" s="13" t="s">
        <v>379</v>
      </c>
      <c r="D157" s="13" t="s">
        <v>713</v>
      </c>
      <c r="E157" s="16" t="s">
        <v>53</v>
      </c>
      <c r="F157" s="16" t="s">
        <v>12</v>
      </c>
      <c r="G157" s="16" t="s">
        <v>531</v>
      </c>
      <c r="H157" s="16" t="s">
        <v>531</v>
      </c>
      <c r="I157" s="16">
        <v>7771</v>
      </c>
      <c r="J157" s="16">
        <v>6191</v>
      </c>
      <c r="K157" s="18" t="str">
        <f>HYPERLINK("mailto:huashuai.chen@gmail.com", "contact")</f>
        <v>contact</v>
      </c>
    </row>
    <row r="158" spans="1:11" x14ac:dyDescent="0.25">
      <c r="A158" s="13" t="s">
        <v>748</v>
      </c>
      <c r="B158" s="13" t="s">
        <v>749</v>
      </c>
      <c r="C158" s="13" t="s">
        <v>457</v>
      </c>
      <c r="D158" s="13" t="s">
        <v>750</v>
      </c>
      <c r="E158" s="16" t="s">
        <v>41</v>
      </c>
      <c r="F158" s="16" t="s">
        <v>468</v>
      </c>
      <c r="G158" s="16" t="s">
        <v>394</v>
      </c>
      <c r="H158" s="16" t="s">
        <v>394</v>
      </c>
      <c r="I158" s="16">
        <v>698</v>
      </c>
      <c r="J158" s="16">
        <v>485</v>
      </c>
      <c r="K158" s="18" t="str">
        <f>HYPERLINK("mailto:sobngwieugene@yahoo.fr", "contact")</f>
        <v>contact</v>
      </c>
    </row>
    <row r="159" spans="1:11" x14ac:dyDescent="0.25">
      <c r="A159" s="13" t="s">
        <v>751</v>
      </c>
      <c r="B159" s="13" t="s">
        <v>749</v>
      </c>
      <c r="C159" s="13" t="s">
        <v>457</v>
      </c>
      <c r="D159" s="13" t="s">
        <v>750</v>
      </c>
      <c r="E159" s="16" t="s">
        <v>41</v>
      </c>
      <c r="F159" s="16" t="s">
        <v>40</v>
      </c>
      <c r="G159" s="16" t="s">
        <v>394</v>
      </c>
      <c r="H159" s="16" t="s">
        <v>394</v>
      </c>
      <c r="I159" s="16">
        <v>538</v>
      </c>
      <c r="J159" s="16">
        <v>430</v>
      </c>
      <c r="K159" s="18" t="str">
        <f>HYPERLINK("mailto:sobngwieugene@yahoo.fr", "contact")</f>
        <v>contact</v>
      </c>
    </row>
    <row r="160" spans="1:11" x14ac:dyDescent="0.25">
      <c r="A160" s="13" t="s">
        <v>752</v>
      </c>
      <c r="B160" s="13" t="s">
        <v>749</v>
      </c>
      <c r="C160" s="13" t="s">
        <v>666</v>
      </c>
      <c r="D160" s="13" t="s">
        <v>753</v>
      </c>
      <c r="E160" s="16" t="s">
        <v>53</v>
      </c>
      <c r="F160" s="16" t="s">
        <v>40</v>
      </c>
      <c r="G160" s="16" t="s">
        <v>394</v>
      </c>
      <c r="H160" s="16" t="s">
        <v>394</v>
      </c>
      <c r="I160" s="16">
        <v>2028</v>
      </c>
      <c r="J160" s="16">
        <v>1641</v>
      </c>
      <c r="K160" s="18" t="str">
        <f>HYPERLINK("mailto:ncdrisc@imperial.ac.uk", "contact")</f>
        <v>contact</v>
      </c>
    </row>
    <row r="161" spans="1:11" x14ac:dyDescent="0.25">
      <c r="A161" s="13" t="s">
        <v>754</v>
      </c>
      <c r="B161" s="13" t="s">
        <v>749</v>
      </c>
      <c r="C161" s="13" t="s">
        <v>488</v>
      </c>
      <c r="D161" s="13" t="s">
        <v>755</v>
      </c>
      <c r="E161" s="16" t="s">
        <v>53</v>
      </c>
      <c r="F161" s="16" t="s">
        <v>40</v>
      </c>
      <c r="G161" s="16" t="s">
        <v>394</v>
      </c>
      <c r="H161" s="16" t="s">
        <v>394</v>
      </c>
      <c r="I161" s="16">
        <v>4581</v>
      </c>
      <c r="J161" s="16">
        <v>3305</v>
      </c>
      <c r="K161" s="18" t="str">
        <f>HYPERLINK("mailto:jcmbanya@yahoo.co.uk", "contact")</f>
        <v>contact</v>
      </c>
    </row>
    <row r="162" spans="1:11" x14ac:dyDescent="0.25">
      <c r="A162" s="13" t="s">
        <v>756</v>
      </c>
      <c r="B162" s="13" t="s">
        <v>749</v>
      </c>
      <c r="C162" s="13" t="s">
        <v>600</v>
      </c>
      <c r="D162" s="13" t="s">
        <v>757</v>
      </c>
      <c r="E162" s="16" t="s">
        <v>41</v>
      </c>
      <c r="F162" s="16" t="s">
        <v>12</v>
      </c>
      <c r="G162" s="16" t="s">
        <v>434</v>
      </c>
      <c r="H162" s="16" t="s">
        <v>434</v>
      </c>
      <c r="I162" s="16">
        <v>253</v>
      </c>
      <c r="J162" s="16">
        <v>183</v>
      </c>
      <c r="K162" s="18" t="str">
        <f>HYPERLINK("mailto:f_kaze@yahoo.fr", "contact")</f>
        <v>contact</v>
      </c>
    </row>
    <row r="163" spans="1:11" x14ac:dyDescent="0.25">
      <c r="A163" s="13" t="s">
        <v>758</v>
      </c>
      <c r="B163" s="13" t="s">
        <v>749</v>
      </c>
      <c r="C163" s="13" t="s">
        <v>570</v>
      </c>
      <c r="D163" s="13" t="s">
        <v>759</v>
      </c>
      <c r="E163" s="16" t="s">
        <v>53</v>
      </c>
      <c r="F163" s="16" t="s">
        <v>12</v>
      </c>
      <c r="G163" s="16" t="s">
        <v>434</v>
      </c>
      <c r="H163" s="16" t="s">
        <v>434</v>
      </c>
      <c r="I163" s="16">
        <v>369</v>
      </c>
      <c r="J163" s="16">
        <v>520</v>
      </c>
      <c r="K163" s="18" t="str">
        <f>HYPERLINK("mailto:dlems2002@yahoo.fr", "contact")</f>
        <v>contact</v>
      </c>
    </row>
    <row r="164" spans="1:11" x14ac:dyDescent="0.25">
      <c r="A164" s="13" t="s">
        <v>760</v>
      </c>
      <c r="B164" s="13" t="s">
        <v>749</v>
      </c>
      <c r="C164" s="13" t="s">
        <v>379</v>
      </c>
      <c r="D164" s="13" t="s">
        <v>761</v>
      </c>
      <c r="E164" s="16" t="s">
        <v>41</v>
      </c>
      <c r="F164" s="16" t="s">
        <v>40</v>
      </c>
      <c r="G164" s="16" t="s">
        <v>434</v>
      </c>
      <c r="H164" s="16" t="s">
        <v>434</v>
      </c>
      <c r="I164" s="16">
        <v>220</v>
      </c>
      <c r="J164" s="16">
        <v>209</v>
      </c>
      <c r="K164" s="18" t="str">
        <f>HYPERLINK("mailto:f_kaze@yahoo.fr", "contact")</f>
        <v>contact</v>
      </c>
    </row>
    <row r="165" spans="1:11" x14ac:dyDescent="0.25">
      <c r="A165" s="13" t="s">
        <v>762</v>
      </c>
      <c r="B165" s="13" t="s">
        <v>763</v>
      </c>
      <c r="C165" s="13" t="s">
        <v>488</v>
      </c>
      <c r="D165" s="13" t="s">
        <v>764</v>
      </c>
      <c r="E165" s="16" t="s">
        <v>41</v>
      </c>
      <c r="F165" s="16" t="s">
        <v>40</v>
      </c>
      <c r="G165" s="16" t="s">
        <v>434</v>
      </c>
      <c r="H165" s="16" t="s">
        <v>434</v>
      </c>
      <c r="I165" s="16">
        <v>1197</v>
      </c>
      <c r="J165" s="16">
        <v>656</v>
      </c>
      <c r="K165" s="18" t="str">
        <f>HYPERLINK("mailto:muel_telo@yahoo.fr", "contact")</f>
        <v>contact</v>
      </c>
    </row>
    <row r="166" spans="1:11" x14ac:dyDescent="0.25">
      <c r="A166" s="13" t="s">
        <v>765</v>
      </c>
      <c r="B166" s="13" t="s">
        <v>763</v>
      </c>
      <c r="C166" s="13" t="s">
        <v>516</v>
      </c>
      <c r="D166" s="13" t="s">
        <v>766</v>
      </c>
      <c r="E166" s="16" t="s">
        <v>53</v>
      </c>
      <c r="F166" s="16" t="s">
        <v>12</v>
      </c>
      <c r="G166" s="16" t="s">
        <v>394</v>
      </c>
      <c r="H166" s="16" t="s">
        <v>394</v>
      </c>
      <c r="I166" s="16">
        <v>802</v>
      </c>
      <c r="J166" s="16">
        <v>515</v>
      </c>
      <c r="K166" s="18" t="str">
        <f>HYPERLINK("mailto:masimax2003@gmail.com", "contact")</f>
        <v>contact</v>
      </c>
    </row>
    <row r="167" spans="1:11" x14ac:dyDescent="0.25">
      <c r="A167" s="13" t="s">
        <v>767</v>
      </c>
      <c r="B167" s="13" t="s">
        <v>768</v>
      </c>
      <c r="C167" s="13" t="s">
        <v>511</v>
      </c>
      <c r="D167" s="13" t="s">
        <v>769</v>
      </c>
      <c r="E167" s="16" t="s">
        <v>41</v>
      </c>
      <c r="F167" s="16" t="s">
        <v>468</v>
      </c>
      <c r="G167" s="16" t="s">
        <v>770</v>
      </c>
      <c r="H167" s="16" t="s">
        <v>770</v>
      </c>
      <c r="I167" s="16">
        <v>797</v>
      </c>
      <c r="J167" s="16">
        <v>709</v>
      </c>
      <c r="K167" s="18" t="str">
        <f>HYPERLINK("mailto:botombasteve@gmail.com", "contact")</f>
        <v>contact</v>
      </c>
    </row>
    <row r="168" spans="1:11" x14ac:dyDescent="0.25">
      <c r="A168" s="13" t="s">
        <v>89</v>
      </c>
      <c r="B168" s="13" t="s">
        <v>90</v>
      </c>
      <c r="C168" s="13" t="s">
        <v>771</v>
      </c>
      <c r="D168" s="13" t="s">
        <v>380</v>
      </c>
      <c r="E168" s="16" t="s">
        <v>13</v>
      </c>
      <c r="F168" s="16" t="s">
        <v>12</v>
      </c>
      <c r="G168" s="16" t="s">
        <v>708</v>
      </c>
      <c r="H168" s="16" t="s">
        <v>708</v>
      </c>
      <c r="I168" s="16">
        <v>630</v>
      </c>
      <c r="J168" s="16">
        <v>622</v>
      </c>
      <c r="K168" s="17" t="s">
        <v>383</v>
      </c>
    </row>
    <row r="169" spans="1:11" x14ac:dyDescent="0.25">
      <c r="A169" s="13" t="s">
        <v>772</v>
      </c>
      <c r="B169" s="13" t="s">
        <v>90</v>
      </c>
      <c r="C169" s="13" t="s">
        <v>773</v>
      </c>
      <c r="D169" s="13" t="s">
        <v>380</v>
      </c>
      <c r="E169" s="16" t="s">
        <v>13</v>
      </c>
      <c r="F169" s="16" t="s">
        <v>12</v>
      </c>
      <c r="G169" s="16" t="s">
        <v>381</v>
      </c>
      <c r="H169" s="16" t="s">
        <v>381</v>
      </c>
      <c r="I169" s="16">
        <v>718</v>
      </c>
      <c r="J169" s="16">
        <v>692</v>
      </c>
      <c r="K169" s="17" t="s">
        <v>383</v>
      </c>
    </row>
    <row r="170" spans="1:11" x14ac:dyDescent="0.25">
      <c r="A170" s="13" t="s">
        <v>774</v>
      </c>
      <c r="B170" s="13" t="s">
        <v>775</v>
      </c>
      <c r="C170" s="13" t="s">
        <v>776</v>
      </c>
      <c r="D170" s="13" t="s">
        <v>777</v>
      </c>
      <c r="E170" s="16" t="s">
        <v>41</v>
      </c>
      <c r="F170" s="16" t="s">
        <v>40</v>
      </c>
      <c r="G170" s="16" t="s">
        <v>398</v>
      </c>
      <c r="H170" s="16" t="s">
        <v>398</v>
      </c>
      <c r="I170" s="16">
        <v>1217</v>
      </c>
      <c r="J170" s="16">
        <v>622</v>
      </c>
      <c r="K170" s="18" t="str">
        <f>HYPERLINK("mailto:ncdrisc@imperial.ac.uk", "contact")</f>
        <v>contact</v>
      </c>
    </row>
    <row r="171" spans="1:11" x14ac:dyDescent="0.25">
      <c r="A171" s="13" t="s">
        <v>778</v>
      </c>
      <c r="B171" s="13" t="s">
        <v>775</v>
      </c>
      <c r="C171" s="13" t="s">
        <v>396</v>
      </c>
      <c r="D171" s="13" t="s">
        <v>397</v>
      </c>
      <c r="E171" s="16" t="s">
        <v>41</v>
      </c>
      <c r="F171" s="16" t="s">
        <v>40</v>
      </c>
      <c r="G171" s="16" t="s">
        <v>398</v>
      </c>
      <c r="H171" s="16" t="s">
        <v>398</v>
      </c>
      <c r="I171" s="16">
        <v>815</v>
      </c>
      <c r="J171" s="16">
        <v>738</v>
      </c>
      <c r="K171" s="18" t="str">
        <f>HYPERLINK("mailto:pboisson@intramed.net", "contact")</f>
        <v>contact</v>
      </c>
    </row>
    <row r="172" spans="1:11" x14ac:dyDescent="0.25">
      <c r="A172" s="13" t="s">
        <v>779</v>
      </c>
      <c r="B172" s="13" t="s">
        <v>775</v>
      </c>
      <c r="C172" s="13" t="s">
        <v>488</v>
      </c>
      <c r="D172" s="13" t="s">
        <v>668</v>
      </c>
      <c r="E172" s="16" t="s">
        <v>13</v>
      </c>
      <c r="F172" s="16" t="s">
        <v>12</v>
      </c>
      <c r="G172" s="16" t="s">
        <v>381</v>
      </c>
      <c r="H172" s="16" t="s">
        <v>381</v>
      </c>
      <c r="I172" s="16">
        <v>7637</v>
      </c>
      <c r="J172" s="16">
        <v>5348</v>
      </c>
      <c r="K172" s="18" t="str">
        <f>HYPERLINK("mailto:rguerrero@proesa.org.co", "contact")</f>
        <v>contact</v>
      </c>
    </row>
    <row r="173" spans="1:11" x14ac:dyDescent="0.25">
      <c r="A173" s="13" t="s">
        <v>780</v>
      </c>
      <c r="B173" s="13" t="s">
        <v>775</v>
      </c>
      <c r="C173" s="13" t="s">
        <v>554</v>
      </c>
      <c r="D173" s="13" t="s">
        <v>380</v>
      </c>
      <c r="E173" s="16" t="s">
        <v>53</v>
      </c>
      <c r="F173" s="16" t="s">
        <v>40</v>
      </c>
      <c r="G173" s="16" t="s">
        <v>708</v>
      </c>
      <c r="H173" s="16" t="s">
        <v>708</v>
      </c>
      <c r="I173" s="16">
        <v>1239</v>
      </c>
      <c r="J173" s="16">
        <v>924</v>
      </c>
      <c r="K173" s="18" t="str">
        <f>HYPERLINK("mailto:jaoterow@gmail.com", "contact")</f>
        <v>contact</v>
      </c>
    </row>
    <row r="174" spans="1:11" x14ac:dyDescent="0.25">
      <c r="A174" s="13" t="s">
        <v>781</v>
      </c>
      <c r="B174" s="13" t="s">
        <v>775</v>
      </c>
      <c r="C174" s="13" t="s">
        <v>489</v>
      </c>
      <c r="D174" s="13" t="s">
        <v>380</v>
      </c>
      <c r="E174" s="16" t="s">
        <v>53</v>
      </c>
      <c r="F174" s="16" t="s">
        <v>12</v>
      </c>
      <c r="G174" s="16" t="s">
        <v>708</v>
      </c>
      <c r="H174" s="16" t="s">
        <v>708</v>
      </c>
      <c r="I174" s="16">
        <v>1142</v>
      </c>
      <c r="J174" s="16">
        <v>868</v>
      </c>
      <c r="K174" s="18" t="str">
        <f>HYPERLINK("mailto:epidemiologia@observatorio.co", "contact")</f>
        <v>contact</v>
      </c>
    </row>
    <row r="175" spans="1:11" x14ac:dyDescent="0.25">
      <c r="A175" s="13" t="s">
        <v>782</v>
      </c>
      <c r="B175" s="13" t="s">
        <v>775</v>
      </c>
      <c r="C175" s="13" t="s">
        <v>404</v>
      </c>
      <c r="D175" s="13" t="s">
        <v>783</v>
      </c>
      <c r="E175" s="16" t="s">
        <v>13</v>
      </c>
      <c r="F175" s="16" t="s">
        <v>12</v>
      </c>
      <c r="G175" s="16" t="s">
        <v>784</v>
      </c>
      <c r="H175" s="16" t="s">
        <v>784</v>
      </c>
      <c r="I175" s="16">
        <v>13582</v>
      </c>
      <c r="J175" s="16">
        <v>10112</v>
      </c>
      <c r="K175" s="18" t="str">
        <f>HYPERLINK("mailto:lena.i.barrera@correounivalle.edu.co; lbarrera@ic.ac.uk", "contact")</f>
        <v>contact</v>
      </c>
    </row>
    <row r="176" spans="1:11" x14ac:dyDescent="0.25">
      <c r="A176" s="13" t="s">
        <v>92</v>
      </c>
      <c r="B176" s="13" t="s">
        <v>93</v>
      </c>
      <c r="C176" s="13" t="s">
        <v>499</v>
      </c>
      <c r="D176" s="13" t="s">
        <v>380</v>
      </c>
      <c r="E176" s="16" t="s">
        <v>13</v>
      </c>
      <c r="F176" s="16" t="s">
        <v>12</v>
      </c>
      <c r="G176" s="16" t="s">
        <v>398</v>
      </c>
      <c r="H176" s="16" t="s">
        <v>398</v>
      </c>
      <c r="I176" s="16">
        <v>3639</v>
      </c>
      <c r="J176" s="16">
        <v>1584</v>
      </c>
      <c r="K176" s="17" t="s">
        <v>383</v>
      </c>
    </row>
    <row r="177" spans="1:11" x14ac:dyDescent="0.25">
      <c r="A177" s="13" t="s">
        <v>96</v>
      </c>
      <c r="B177" s="13" t="s">
        <v>97</v>
      </c>
      <c r="C177" s="13" t="s">
        <v>488</v>
      </c>
      <c r="D177" s="13" t="s">
        <v>380</v>
      </c>
      <c r="E177" s="16" t="s">
        <v>13</v>
      </c>
      <c r="F177" s="16" t="s">
        <v>12</v>
      </c>
      <c r="G177" s="16" t="s">
        <v>398</v>
      </c>
      <c r="H177" s="16" t="s">
        <v>398</v>
      </c>
      <c r="I177" s="16">
        <v>1076</v>
      </c>
      <c r="J177" s="16">
        <v>664</v>
      </c>
      <c r="K177" s="17" t="s">
        <v>383</v>
      </c>
    </row>
    <row r="178" spans="1:11" x14ac:dyDescent="0.25">
      <c r="A178" s="13" t="s">
        <v>98</v>
      </c>
      <c r="B178" s="13" t="s">
        <v>97</v>
      </c>
      <c r="C178" s="13" t="s">
        <v>517</v>
      </c>
      <c r="D178" s="13" t="s">
        <v>380</v>
      </c>
      <c r="E178" s="16" t="s">
        <v>13</v>
      </c>
      <c r="F178" s="16" t="s">
        <v>12</v>
      </c>
      <c r="G178" s="16" t="s">
        <v>381</v>
      </c>
      <c r="H178" s="16" t="s">
        <v>381</v>
      </c>
      <c r="I178" s="16">
        <v>1994</v>
      </c>
      <c r="J178" s="16">
        <v>1318</v>
      </c>
      <c r="K178" s="17" t="s">
        <v>383</v>
      </c>
    </row>
    <row r="179" spans="1:11" x14ac:dyDescent="0.25">
      <c r="A179" s="13" t="s">
        <v>785</v>
      </c>
      <c r="B179" s="13" t="s">
        <v>786</v>
      </c>
      <c r="C179" s="13" t="s">
        <v>660</v>
      </c>
      <c r="D179" s="13" t="s">
        <v>787</v>
      </c>
      <c r="E179" s="16" t="s">
        <v>41</v>
      </c>
      <c r="F179" s="16" t="s">
        <v>468</v>
      </c>
      <c r="G179" s="16" t="s">
        <v>788</v>
      </c>
      <c r="H179" s="16" t="s">
        <v>788</v>
      </c>
      <c r="I179" s="16">
        <v>123</v>
      </c>
      <c r="J179" s="16">
        <v>111</v>
      </c>
      <c r="K179" s="18" t="str">
        <f>HYPERLINK("mailto:ncdrisc@imperial.ac.uk", "contact")</f>
        <v>contact</v>
      </c>
    </row>
    <row r="180" spans="1:11" x14ac:dyDescent="0.25">
      <c r="A180" s="13" t="s">
        <v>789</v>
      </c>
      <c r="B180" s="13" t="s">
        <v>786</v>
      </c>
      <c r="C180" s="13" t="s">
        <v>660</v>
      </c>
      <c r="D180" s="13" t="s">
        <v>787</v>
      </c>
      <c r="E180" s="16" t="s">
        <v>41</v>
      </c>
      <c r="F180" s="16" t="s">
        <v>40</v>
      </c>
      <c r="G180" s="16" t="s">
        <v>788</v>
      </c>
      <c r="H180" s="16" t="s">
        <v>788</v>
      </c>
      <c r="I180" s="16">
        <v>120</v>
      </c>
      <c r="J180" s="16">
        <v>111</v>
      </c>
      <c r="K180" s="18" t="str">
        <f>HYPERLINK("mailto:ncdrisc@imperial.ac.uk", "contact")</f>
        <v>contact</v>
      </c>
    </row>
    <row r="181" spans="1:11" x14ac:dyDescent="0.25">
      <c r="A181" s="13" t="s">
        <v>790</v>
      </c>
      <c r="B181" s="13" t="s">
        <v>786</v>
      </c>
      <c r="C181" s="13" t="s">
        <v>666</v>
      </c>
      <c r="D181" s="13" t="s">
        <v>791</v>
      </c>
      <c r="E181" s="16" t="s">
        <v>41</v>
      </c>
      <c r="F181" s="16" t="s">
        <v>40</v>
      </c>
      <c r="G181" s="16" t="s">
        <v>398</v>
      </c>
      <c r="H181" s="16" t="s">
        <v>398</v>
      </c>
      <c r="I181" s="16">
        <v>636</v>
      </c>
      <c r="J181" s="16">
        <v>330</v>
      </c>
      <c r="K181" s="18" t="str">
        <f>HYPERLINK("mailto:ncdrisc@imperial.ac.uk", "contact")</f>
        <v>contact</v>
      </c>
    </row>
    <row r="182" spans="1:11" x14ac:dyDescent="0.25">
      <c r="A182" s="13" t="s">
        <v>792</v>
      </c>
      <c r="B182" s="13" t="s">
        <v>786</v>
      </c>
      <c r="C182" s="13" t="s">
        <v>409</v>
      </c>
      <c r="D182" s="13" t="s">
        <v>521</v>
      </c>
      <c r="E182" s="16" t="s">
        <v>41</v>
      </c>
      <c r="F182" s="16" t="s">
        <v>40</v>
      </c>
      <c r="G182" s="16" t="s">
        <v>434</v>
      </c>
      <c r="H182" s="16" t="s">
        <v>434</v>
      </c>
      <c r="I182" s="16">
        <v>756</v>
      </c>
      <c r="J182" s="16">
        <v>390</v>
      </c>
      <c r="K182" s="18" t="str">
        <f>HYPERLINK("mailto:abarcelo@med.miami.edu", "contact")</f>
        <v>contact</v>
      </c>
    </row>
    <row r="183" spans="1:11" x14ac:dyDescent="0.25">
      <c r="A183" s="13" t="s">
        <v>793</v>
      </c>
      <c r="B183" s="13" t="s">
        <v>786</v>
      </c>
      <c r="C183" s="13" t="s">
        <v>433</v>
      </c>
      <c r="D183" s="13" t="s">
        <v>794</v>
      </c>
      <c r="E183" s="16" t="s">
        <v>13</v>
      </c>
      <c r="F183" s="16" t="s">
        <v>12</v>
      </c>
      <c r="G183" s="16" t="s">
        <v>784</v>
      </c>
      <c r="H183" s="16" t="s">
        <v>784</v>
      </c>
      <c r="I183" s="16">
        <v>1534</v>
      </c>
      <c r="J183" s="16">
        <v>1293</v>
      </c>
      <c r="K183" s="18" t="str">
        <f>HYPERLINK("mailto:ncdrisc@imperial.ac.uk", "contact")</f>
        <v>contact</v>
      </c>
    </row>
    <row r="184" spans="1:11" x14ac:dyDescent="0.25">
      <c r="A184" s="13" t="s">
        <v>795</v>
      </c>
      <c r="B184" s="13" t="s">
        <v>786</v>
      </c>
      <c r="C184" s="13" t="s">
        <v>477</v>
      </c>
      <c r="D184" s="13" t="s">
        <v>796</v>
      </c>
      <c r="E184" s="16" t="s">
        <v>13</v>
      </c>
      <c r="F184" s="16" t="s">
        <v>12</v>
      </c>
      <c r="G184" s="16" t="s">
        <v>797</v>
      </c>
      <c r="H184" s="16" t="s">
        <v>797</v>
      </c>
      <c r="I184" s="16">
        <v>1286</v>
      </c>
      <c r="J184" s="16">
        <v>1075</v>
      </c>
      <c r="K184" s="18" t="str">
        <f>HYPERLINK("mailto:ncdrisc@imperial.ac.uk", "contact")</f>
        <v>contact</v>
      </c>
    </row>
    <row r="185" spans="1:11" x14ac:dyDescent="0.25">
      <c r="A185" s="13" t="s">
        <v>798</v>
      </c>
      <c r="B185" s="13" t="s">
        <v>786</v>
      </c>
      <c r="C185" s="13" t="s">
        <v>554</v>
      </c>
      <c r="D185" s="13" t="s">
        <v>799</v>
      </c>
      <c r="E185" s="16" t="s">
        <v>13</v>
      </c>
      <c r="F185" s="16" t="s">
        <v>12</v>
      </c>
      <c r="G185" s="16" t="s">
        <v>434</v>
      </c>
      <c r="H185" s="16" t="s">
        <v>434</v>
      </c>
      <c r="I185" s="16">
        <v>2571</v>
      </c>
      <c r="J185" s="16">
        <v>992</v>
      </c>
      <c r="K185" s="18" t="str">
        <f>HYPERLINK("mailto:rwong@ccss.sa.cr; roy_wong672005@yahoo.com", "contact")</f>
        <v>contact</v>
      </c>
    </row>
    <row r="186" spans="1:11" x14ac:dyDescent="0.25">
      <c r="A186" s="13" t="s">
        <v>800</v>
      </c>
      <c r="B186" s="13" t="s">
        <v>786</v>
      </c>
      <c r="C186" s="13" t="s">
        <v>594</v>
      </c>
      <c r="D186" s="13" t="s">
        <v>801</v>
      </c>
      <c r="E186" s="16" t="s">
        <v>13</v>
      </c>
      <c r="F186" s="16" t="s">
        <v>12</v>
      </c>
      <c r="G186" s="16" t="s">
        <v>802</v>
      </c>
      <c r="H186" s="16" t="s">
        <v>802</v>
      </c>
      <c r="I186" s="16">
        <v>1688</v>
      </c>
      <c r="J186" s="16">
        <v>1077</v>
      </c>
      <c r="K186" s="18" t="str">
        <f>HYPERLINK("mailto:ncdrisc@imperial.ac.uk", "contact")</f>
        <v>contact</v>
      </c>
    </row>
    <row r="187" spans="1:11" x14ac:dyDescent="0.25">
      <c r="A187" s="13" t="s">
        <v>803</v>
      </c>
      <c r="B187" s="13" t="s">
        <v>786</v>
      </c>
      <c r="C187" s="13" t="s">
        <v>600</v>
      </c>
      <c r="D187" s="13" t="s">
        <v>804</v>
      </c>
      <c r="E187" s="16" t="s">
        <v>13</v>
      </c>
      <c r="F187" s="16" t="s">
        <v>12</v>
      </c>
      <c r="G187" s="16" t="s">
        <v>434</v>
      </c>
      <c r="H187" s="16" t="s">
        <v>434</v>
      </c>
      <c r="I187" s="16">
        <v>2126</v>
      </c>
      <c r="J187" s="16">
        <v>954</v>
      </c>
      <c r="K187" s="18" t="str">
        <f>HYPERLINK("mailto:ncdrisc@imperial.ac.uk", "contact")</f>
        <v>contact</v>
      </c>
    </row>
    <row r="188" spans="1:11" x14ac:dyDescent="0.25">
      <c r="A188" s="13" t="s">
        <v>805</v>
      </c>
      <c r="B188" s="13" t="s">
        <v>786</v>
      </c>
      <c r="C188" s="13" t="s">
        <v>379</v>
      </c>
      <c r="D188" s="13" t="s">
        <v>806</v>
      </c>
      <c r="E188" s="16" t="s">
        <v>13</v>
      </c>
      <c r="F188" s="16" t="s">
        <v>12</v>
      </c>
      <c r="G188" s="16" t="s">
        <v>434</v>
      </c>
      <c r="H188" s="16" t="s">
        <v>434</v>
      </c>
      <c r="I188" s="16">
        <v>2291</v>
      </c>
      <c r="J188" s="16">
        <v>1286</v>
      </c>
      <c r="K188" s="18" t="str">
        <f>HYPERLINK("mailto:ajnavarro@ccss.sa.cr", "contact")</f>
        <v>contact</v>
      </c>
    </row>
    <row r="189" spans="1:11" x14ac:dyDescent="0.25">
      <c r="A189" s="13" t="s">
        <v>807</v>
      </c>
      <c r="B189" s="13" t="s">
        <v>808</v>
      </c>
      <c r="C189" s="13" t="s">
        <v>554</v>
      </c>
      <c r="D189" s="13" t="s">
        <v>809</v>
      </c>
      <c r="E189" s="16" t="s">
        <v>13</v>
      </c>
      <c r="F189" s="16" t="s">
        <v>12</v>
      </c>
      <c r="G189" s="16" t="s">
        <v>394</v>
      </c>
      <c r="H189" s="16" t="s">
        <v>394</v>
      </c>
      <c r="I189" s="16">
        <v>4036</v>
      </c>
      <c r="J189" s="16">
        <v>3558</v>
      </c>
      <c r="K189" s="18" t="str">
        <f>HYPERLINK("mailto:Peng_Nie@uni-hohenheim.de", "contact")</f>
        <v>contact</v>
      </c>
    </row>
    <row r="190" spans="1:11" x14ac:dyDescent="0.25">
      <c r="A190" s="13" t="s">
        <v>810</v>
      </c>
      <c r="B190" s="13" t="s">
        <v>808</v>
      </c>
      <c r="C190" s="13" t="s">
        <v>594</v>
      </c>
      <c r="D190" s="13" t="s">
        <v>811</v>
      </c>
      <c r="E190" s="16" t="s">
        <v>41</v>
      </c>
      <c r="F190" s="16" t="s">
        <v>40</v>
      </c>
      <c r="G190" s="16" t="s">
        <v>812</v>
      </c>
      <c r="H190" s="16" t="s">
        <v>812</v>
      </c>
      <c r="I190" s="16">
        <v>841</v>
      </c>
      <c r="J190" s="16">
        <v>587</v>
      </c>
      <c r="K190" s="18" t="str">
        <f>HYPERLINK("mailto:ordunezp@paho.org", "contact")</f>
        <v>contact</v>
      </c>
    </row>
    <row r="191" spans="1:11" x14ac:dyDescent="0.25">
      <c r="A191" s="13" t="s">
        <v>813</v>
      </c>
      <c r="B191" s="13" t="s">
        <v>808</v>
      </c>
      <c r="C191" s="13" t="s">
        <v>814</v>
      </c>
      <c r="D191" s="13" t="s">
        <v>815</v>
      </c>
      <c r="E191" s="16" t="s">
        <v>13</v>
      </c>
      <c r="F191" s="16" t="s">
        <v>12</v>
      </c>
      <c r="G191" s="16" t="s">
        <v>394</v>
      </c>
      <c r="H191" s="16" t="s">
        <v>394</v>
      </c>
      <c r="I191" s="16">
        <v>3219</v>
      </c>
      <c r="J191" s="16">
        <v>2057</v>
      </c>
      <c r="K191" s="18" t="str">
        <f>HYPERLINK("mailto:ncdrisc@imperial.ac.uk", "contact")</f>
        <v>contact</v>
      </c>
    </row>
    <row r="192" spans="1:11" x14ac:dyDescent="0.25">
      <c r="A192" s="13" t="s">
        <v>816</v>
      </c>
      <c r="B192" s="13" t="s">
        <v>817</v>
      </c>
      <c r="C192" s="13" t="s">
        <v>412</v>
      </c>
      <c r="D192" s="13" t="s">
        <v>818</v>
      </c>
      <c r="E192" s="16" t="s">
        <v>53</v>
      </c>
      <c r="F192" s="16" t="s">
        <v>468</v>
      </c>
      <c r="G192" s="16" t="s">
        <v>414</v>
      </c>
      <c r="H192" s="16" t="s">
        <v>414</v>
      </c>
      <c r="I192" s="16">
        <v>11004</v>
      </c>
      <c r="J192" s="16">
        <v>9189</v>
      </c>
      <c r="K192" s="18" t="str">
        <f>HYPERLINK("mailto:ncdrisc@imperial.ac.uk", "contact")</f>
        <v>contact</v>
      </c>
    </row>
    <row r="193" spans="1:11" x14ac:dyDescent="0.25">
      <c r="A193" s="13" t="s">
        <v>819</v>
      </c>
      <c r="B193" s="13" t="s">
        <v>817</v>
      </c>
      <c r="C193" s="13" t="s">
        <v>412</v>
      </c>
      <c r="D193" s="13" t="s">
        <v>820</v>
      </c>
      <c r="E193" s="16" t="s">
        <v>53</v>
      </c>
      <c r="F193" s="16" t="s">
        <v>468</v>
      </c>
      <c r="G193" s="16" t="s">
        <v>414</v>
      </c>
      <c r="H193" s="16" t="s">
        <v>414</v>
      </c>
      <c r="I193" s="16">
        <v>11004</v>
      </c>
      <c r="J193" s="16">
        <v>9189</v>
      </c>
      <c r="K193" s="18" t="str">
        <f>HYPERLINK("mailto:ncdrisc@imperial.ac.uk", "contact")</f>
        <v>contact</v>
      </c>
    </row>
    <row r="194" spans="1:11" x14ac:dyDescent="0.25">
      <c r="A194" s="13" t="s">
        <v>821</v>
      </c>
      <c r="B194" s="13" t="s">
        <v>817</v>
      </c>
      <c r="C194" s="13" t="s">
        <v>822</v>
      </c>
      <c r="D194" s="13" t="s">
        <v>823</v>
      </c>
      <c r="E194" s="16" t="s">
        <v>13</v>
      </c>
      <c r="F194" s="16" t="s">
        <v>12</v>
      </c>
      <c r="G194" s="16" t="s">
        <v>398</v>
      </c>
      <c r="H194" s="16" t="s">
        <v>398</v>
      </c>
      <c r="I194" s="16">
        <v>1664</v>
      </c>
      <c r="J194" s="16">
        <v>1529</v>
      </c>
      <c r="K194" s="18" t="str">
        <f>HYPERLINK("mailto:renata.cifkova@ftn.cz", "contact")</f>
        <v>contact</v>
      </c>
    </row>
    <row r="195" spans="1:11" x14ac:dyDescent="0.25">
      <c r="A195" s="13" t="s">
        <v>824</v>
      </c>
      <c r="B195" s="13" t="s">
        <v>817</v>
      </c>
      <c r="C195" s="13" t="s">
        <v>688</v>
      </c>
      <c r="D195" s="13" t="s">
        <v>823</v>
      </c>
      <c r="E195" s="16" t="s">
        <v>13</v>
      </c>
      <c r="F195" s="16" t="s">
        <v>12</v>
      </c>
      <c r="G195" s="16" t="s">
        <v>398</v>
      </c>
      <c r="H195" s="16" t="s">
        <v>398</v>
      </c>
      <c r="I195" s="16">
        <v>1755</v>
      </c>
      <c r="J195" s="16">
        <v>1686</v>
      </c>
      <c r="K195" s="18" t="str">
        <f>HYPERLINK("mailto:renata.cifkova@ftn.cz", "contact")</f>
        <v>contact</v>
      </c>
    </row>
    <row r="196" spans="1:11" x14ac:dyDescent="0.25">
      <c r="A196" s="13" t="s">
        <v>825</v>
      </c>
      <c r="B196" s="13" t="s">
        <v>817</v>
      </c>
      <c r="C196" s="13" t="s">
        <v>826</v>
      </c>
      <c r="D196" s="13" t="s">
        <v>827</v>
      </c>
      <c r="E196" s="16" t="s">
        <v>53</v>
      </c>
      <c r="F196" s="16" t="s">
        <v>40</v>
      </c>
      <c r="G196" s="16" t="s">
        <v>828</v>
      </c>
      <c r="H196" s="16" t="s">
        <v>828</v>
      </c>
      <c r="I196" s="16">
        <v>4665</v>
      </c>
      <c r="J196" s="16">
        <v>4060</v>
      </c>
      <c r="K196" s="18" t="str">
        <f>HYPERLINK("mailto:h.pikhart@ucl.ac.uk", "contact")</f>
        <v>contact</v>
      </c>
    </row>
    <row r="197" spans="1:11" x14ac:dyDescent="0.25">
      <c r="A197" s="13" t="s">
        <v>829</v>
      </c>
      <c r="B197" s="13" t="s">
        <v>817</v>
      </c>
      <c r="C197" s="13" t="s">
        <v>830</v>
      </c>
      <c r="D197" s="13" t="s">
        <v>823</v>
      </c>
      <c r="E197" s="16" t="s">
        <v>13</v>
      </c>
      <c r="F197" s="16" t="s">
        <v>12</v>
      </c>
      <c r="G197" s="16" t="s">
        <v>398</v>
      </c>
      <c r="H197" s="16" t="s">
        <v>398</v>
      </c>
      <c r="I197" s="16">
        <v>1840</v>
      </c>
      <c r="J197" s="16">
        <v>1679</v>
      </c>
      <c r="K197" s="18" t="str">
        <f>HYPERLINK("mailto:renata.cifkova@ftn.cz", "contact")</f>
        <v>contact</v>
      </c>
    </row>
    <row r="198" spans="1:11" x14ac:dyDescent="0.25">
      <c r="A198" s="13" t="s">
        <v>831</v>
      </c>
      <c r="B198" s="13" t="s">
        <v>817</v>
      </c>
      <c r="C198" s="13" t="s">
        <v>570</v>
      </c>
      <c r="D198" s="13" t="s">
        <v>832</v>
      </c>
      <c r="E198" s="16" t="s">
        <v>13</v>
      </c>
      <c r="F198" s="16" t="s">
        <v>12</v>
      </c>
      <c r="G198" s="16" t="s">
        <v>398</v>
      </c>
      <c r="H198" s="16" t="s">
        <v>398</v>
      </c>
      <c r="I198" s="16">
        <v>691</v>
      </c>
      <c r="J198" s="16">
        <v>473</v>
      </c>
      <c r="K198" s="18" t="str">
        <f>HYPERLINK("mailto:nadezda.capkova@szu.cz", "contact")</f>
        <v>contact</v>
      </c>
    </row>
    <row r="199" spans="1:11" x14ac:dyDescent="0.25">
      <c r="A199" s="13" t="s">
        <v>833</v>
      </c>
      <c r="B199" s="13" t="s">
        <v>817</v>
      </c>
      <c r="C199" s="13" t="s">
        <v>834</v>
      </c>
      <c r="D199" s="13" t="s">
        <v>823</v>
      </c>
      <c r="E199" s="16" t="s">
        <v>13</v>
      </c>
      <c r="F199" s="16" t="s">
        <v>12</v>
      </c>
      <c r="G199" s="16" t="s">
        <v>398</v>
      </c>
      <c r="H199" s="16" t="s">
        <v>398</v>
      </c>
      <c r="I199" s="16">
        <v>1338</v>
      </c>
      <c r="J199" s="16">
        <v>1215</v>
      </c>
      <c r="K199" s="18" t="str">
        <f>HYPERLINK("mailto:renata.cifkova@ftn.cz", "contact")</f>
        <v>contact</v>
      </c>
    </row>
    <row r="200" spans="1:11" x14ac:dyDescent="0.25">
      <c r="A200" s="13" t="s">
        <v>835</v>
      </c>
      <c r="B200" s="13" t="s">
        <v>817</v>
      </c>
      <c r="C200" s="13" t="s">
        <v>836</v>
      </c>
      <c r="D200" s="13" t="s">
        <v>832</v>
      </c>
      <c r="E200" s="16" t="s">
        <v>13</v>
      </c>
      <c r="F200" s="16" t="s">
        <v>12</v>
      </c>
      <c r="G200" s="16" t="s">
        <v>398</v>
      </c>
      <c r="H200" s="16" t="s">
        <v>398</v>
      </c>
      <c r="I200" s="16">
        <v>628</v>
      </c>
      <c r="J200" s="16">
        <v>426</v>
      </c>
      <c r="K200" s="18" t="str">
        <f>HYPERLINK("mailto:nadezda.capkova@szu.cz", "contact")</f>
        <v>contact</v>
      </c>
    </row>
    <row r="201" spans="1:11" x14ac:dyDescent="0.25">
      <c r="A201" s="13" t="s">
        <v>837</v>
      </c>
      <c r="B201" s="13" t="s">
        <v>817</v>
      </c>
      <c r="C201" s="13" t="s">
        <v>838</v>
      </c>
      <c r="D201" s="13" t="s">
        <v>839</v>
      </c>
      <c r="E201" s="16" t="s">
        <v>41</v>
      </c>
      <c r="F201" s="16" t="s">
        <v>12</v>
      </c>
      <c r="G201" s="16" t="s">
        <v>840</v>
      </c>
      <c r="H201" s="16" t="s">
        <v>840</v>
      </c>
      <c r="I201" s="16">
        <v>151</v>
      </c>
      <c r="J201" s="16">
        <v>138</v>
      </c>
      <c r="K201" s="18" t="str">
        <f>HYPERLINK("mailto:pavel.piler@recetox.muni.cz", "contact")</f>
        <v>contact</v>
      </c>
    </row>
    <row r="202" spans="1:11" x14ac:dyDescent="0.25">
      <c r="A202" s="13" t="s">
        <v>841</v>
      </c>
      <c r="B202" s="13" t="s">
        <v>842</v>
      </c>
      <c r="C202" s="13" t="s">
        <v>843</v>
      </c>
      <c r="D202" s="13" t="s">
        <v>844</v>
      </c>
      <c r="E202" s="16" t="s">
        <v>53</v>
      </c>
      <c r="F202" s="16" t="s">
        <v>12</v>
      </c>
      <c r="G202" s="16" t="s">
        <v>845</v>
      </c>
      <c r="H202" s="16" t="s">
        <v>845</v>
      </c>
      <c r="I202" s="16">
        <v>5418</v>
      </c>
      <c r="J202" s="16">
        <v>4436</v>
      </c>
      <c r="K202" s="18" t="str">
        <f>HYPERLINK("mailto:h.brenner@dkfz.de", "contact")</f>
        <v>contact</v>
      </c>
    </row>
    <row r="203" spans="1:11" x14ac:dyDescent="0.25">
      <c r="A203" s="13" t="s">
        <v>846</v>
      </c>
      <c r="B203" s="13" t="s">
        <v>842</v>
      </c>
      <c r="C203" s="13" t="s">
        <v>493</v>
      </c>
      <c r="D203" s="13" t="s">
        <v>847</v>
      </c>
      <c r="E203" s="16" t="s">
        <v>41</v>
      </c>
      <c r="F203" s="16" t="s">
        <v>40</v>
      </c>
      <c r="G203" s="16" t="s">
        <v>388</v>
      </c>
      <c r="H203" s="16" t="s">
        <v>388</v>
      </c>
      <c r="I203" s="16">
        <v>964</v>
      </c>
      <c r="J203" s="16">
        <v>875</v>
      </c>
      <c r="K203" s="18" t="str">
        <f>HYPERLINK("mailto:wolfgang.kratzer@uniklinik-ulm.de", "contact")</f>
        <v>contact</v>
      </c>
    </row>
    <row r="204" spans="1:11" x14ac:dyDescent="0.25">
      <c r="A204" s="13" t="s">
        <v>848</v>
      </c>
      <c r="B204" s="13" t="s">
        <v>842</v>
      </c>
      <c r="C204" s="13" t="s">
        <v>849</v>
      </c>
      <c r="D204" s="13" t="s">
        <v>850</v>
      </c>
      <c r="E204" s="16" t="s">
        <v>53</v>
      </c>
      <c r="F204" s="16" t="s">
        <v>40</v>
      </c>
      <c r="G204" s="16" t="s">
        <v>851</v>
      </c>
      <c r="H204" s="16" t="s">
        <v>851</v>
      </c>
      <c r="I204" s="16">
        <v>2273</v>
      </c>
      <c r="J204" s="16">
        <v>2223</v>
      </c>
      <c r="K204" s="18" t="str">
        <f>HYPERLINK("mailto:dragano@med.uni-duesseldorf.de ", "contact")</f>
        <v>contact</v>
      </c>
    </row>
    <row r="205" spans="1:11" x14ac:dyDescent="0.25">
      <c r="A205" s="13" t="s">
        <v>852</v>
      </c>
      <c r="B205" s="13" t="s">
        <v>842</v>
      </c>
      <c r="C205" s="13" t="s">
        <v>853</v>
      </c>
      <c r="D205" s="13" t="s">
        <v>854</v>
      </c>
      <c r="E205" s="16" t="s">
        <v>53</v>
      </c>
      <c r="F205" s="16" t="s">
        <v>12</v>
      </c>
      <c r="G205" s="16" t="s">
        <v>855</v>
      </c>
      <c r="H205" s="16" t="s">
        <v>855</v>
      </c>
      <c r="I205" s="16">
        <v>1674</v>
      </c>
      <c r="J205" s="16">
        <v>1568</v>
      </c>
      <c r="K205" s="18" t="str">
        <f>HYPERLINK("mailto:till.ittermann@uni-greifswald.de", "contact")</f>
        <v>contact</v>
      </c>
    </row>
    <row r="206" spans="1:11" x14ac:dyDescent="0.25">
      <c r="A206" s="13" t="s">
        <v>856</v>
      </c>
      <c r="B206" s="13" t="s">
        <v>842</v>
      </c>
      <c r="C206" s="13" t="s">
        <v>475</v>
      </c>
      <c r="D206" s="13" t="s">
        <v>850</v>
      </c>
      <c r="E206" s="16" t="s">
        <v>53</v>
      </c>
      <c r="F206" s="16" t="s">
        <v>12</v>
      </c>
      <c r="G206" s="16" t="s">
        <v>857</v>
      </c>
      <c r="H206" s="16" t="s">
        <v>857</v>
      </c>
      <c r="I206" s="16">
        <v>2103</v>
      </c>
      <c r="J206" s="16">
        <v>2054</v>
      </c>
      <c r="K206" s="18" t="str">
        <f>HYPERLINK("mailto:sara.schramm@uk-essen.de", "contact")</f>
        <v>contact</v>
      </c>
    </row>
    <row r="207" spans="1:11" x14ac:dyDescent="0.25">
      <c r="A207" s="13" t="s">
        <v>858</v>
      </c>
      <c r="B207" s="13" t="s">
        <v>842</v>
      </c>
      <c r="C207" s="13" t="s">
        <v>859</v>
      </c>
      <c r="D207" s="13" t="s">
        <v>844</v>
      </c>
      <c r="E207" s="16" t="s">
        <v>53</v>
      </c>
      <c r="F207" s="16" t="s">
        <v>12</v>
      </c>
      <c r="G207" s="16" t="s">
        <v>860</v>
      </c>
      <c r="H207" s="16" t="s">
        <v>860</v>
      </c>
      <c r="I207" s="16">
        <v>3267</v>
      </c>
      <c r="J207" s="16">
        <v>2655</v>
      </c>
      <c r="K207" s="18" t="str">
        <f>HYPERLINK("mailto:h.brenner@dkfz.de", "contact")</f>
        <v>contact</v>
      </c>
    </row>
    <row r="208" spans="1:11" x14ac:dyDescent="0.25">
      <c r="A208" s="13" t="s">
        <v>861</v>
      </c>
      <c r="B208" s="13" t="s">
        <v>842</v>
      </c>
      <c r="C208" s="13" t="s">
        <v>859</v>
      </c>
      <c r="D208" s="13" t="s">
        <v>862</v>
      </c>
      <c r="E208" s="16" t="s">
        <v>13</v>
      </c>
      <c r="F208" s="16" t="s">
        <v>12</v>
      </c>
      <c r="G208" s="16" t="s">
        <v>614</v>
      </c>
      <c r="H208" s="16" t="s">
        <v>614</v>
      </c>
      <c r="I208" s="16">
        <v>3549</v>
      </c>
      <c r="J208" s="16">
        <v>3280</v>
      </c>
      <c r="K208" s="18" t="str">
        <f>HYPERLINK("mailto:duy@rki.de", "contact")</f>
        <v>contact</v>
      </c>
    </row>
    <row r="209" spans="1:11" x14ac:dyDescent="0.25">
      <c r="A209" s="13" t="s">
        <v>863</v>
      </c>
      <c r="B209" s="13" t="s">
        <v>842</v>
      </c>
      <c r="C209" s="13" t="s">
        <v>864</v>
      </c>
      <c r="D209" s="13" t="s">
        <v>865</v>
      </c>
      <c r="E209" s="16" t="s">
        <v>53</v>
      </c>
      <c r="F209" s="16" t="s">
        <v>12</v>
      </c>
      <c r="G209" s="16" t="s">
        <v>866</v>
      </c>
      <c r="H209" s="16" t="s">
        <v>866</v>
      </c>
      <c r="I209" s="16">
        <v>1198</v>
      </c>
      <c r="J209" s="16">
        <v>1052</v>
      </c>
      <c r="K209" s="18" t="str">
        <f>HYPERLINK("mailto:till.ittermann@uni-greifswald.de", "contact")</f>
        <v>contact</v>
      </c>
    </row>
    <row r="210" spans="1:11" x14ac:dyDescent="0.25">
      <c r="A210" s="13" t="s">
        <v>867</v>
      </c>
      <c r="B210" s="13" t="s">
        <v>842</v>
      </c>
      <c r="C210" s="13" t="s">
        <v>864</v>
      </c>
      <c r="D210" s="13" t="s">
        <v>868</v>
      </c>
      <c r="E210" s="16" t="s">
        <v>53</v>
      </c>
      <c r="F210" s="16" t="s">
        <v>12</v>
      </c>
      <c r="G210" s="16" t="s">
        <v>869</v>
      </c>
      <c r="H210" s="16" t="s">
        <v>869</v>
      </c>
      <c r="I210" s="16">
        <v>2229</v>
      </c>
      <c r="J210" s="16">
        <v>2096</v>
      </c>
      <c r="K210" s="18" t="str">
        <f>HYPERLINK("mailto:till.ittermann@uni-greifswald.de", "contact")</f>
        <v>contact</v>
      </c>
    </row>
    <row r="211" spans="1:11" x14ac:dyDescent="0.25">
      <c r="A211" s="13" t="s">
        <v>870</v>
      </c>
      <c r="B211" s="13" t="s">
        <v>842</v>
      </c>
      <c r="C211" s="13" t="s">
        <v>567</v>
      </c>
      <c r="D211" s="13" t="s">
        <v>850</v>
      </c>
      <c r="E211" s="16" t="s">
        <v>53</v>
      </c>
      <c r="F211" s="16" t="s">
        <v>12</v>
      </c>
      <c r="G211" s="16" t="s">
        <v>871</v>
      </c>
      <c r="H211" s="16" t="s">
        <v>871</v>
      </c>
      <c r="I211" s="16">
        <v>1573</v>
      </c>
      <c r="J211" s="16">
        <v>1504</v>
      </c>
      <c r="K211" s="18" t="str">
        <f>HYPERLINK("mailto:imibe.dir@uk-essen.de", "contact")</f>
        <v>contact</v>
      </c>
    </row>
    <row r="212" spans="1:11" x14ac:dyDescent="0.25">
      <c r="A212" s="13" t="s">
        <v>872</v>
      </c>
      <c r="B212" s="13" t="s">
        <v>842</v>
      </c>
      <c r="C212" s="13" t="s">
        <v>873</v>
      </c>
      <c r="D212" s="13" t="s">
        <v>874</v>
      </c>
      <c r="E212" s="16" t="s">
        <v>53</v>
      </c>
      <c r="F212" s="16" t="s">
        <v>12</v>
      </c>
      <c r="G212" s="16" t="s">
        <v>875</v>
      </c>
      <c r="H212" s="16" t="s">
        <v>875</v>
      </c>
      <c r="I212" s="16">
        <v>908</v>
      </c>
      <c r="J212" s="16">
        <v>776</v>
      </c>
      <c r="K212" s="18" t="str">
        <f>HYPERLINK("mailto:till.ittermann@uni-greifswald.de", "contact")</f>
        <v>contact</v>
      </c>
    </row>
    <row r="213" spans="1:11" x14ac:dyDescent="0.25">
      <c r="A213" s="13" t="s">
        <v>876</v>
      </c>
      <c r="B213" s="13" t="s">
        <v>842</v>
      </c>
      <c r="C213" s="13" t="s">
        <v>877</v>
      </c>
      <c r="D213" s="13" t="s">
        <v>878</v>
      </c>
      <c r="E213" s="16" t="s">
        <v>53</v>
      </c>
      <c r="F213" s="16" t="s">
        <v>12</v>
      </c>
      <c r="G213" s="16" t="s">
        <v>879</v>
      </c>
      <c r="H213" s="16" t="s">
        <v>879</v>
      </c>
      <c r="I213" s="16">
        <v>1276</v>
      </c>
      <c r="J213" s="16">
        <v>1202</v>
      </c>
      <c r="K213" s="18" t="str">
        <f>HYPERLINK("mailto:till.ittermann@uni-greifswald.de", "contact")</f>
        <v>contact</v>
      </c>
    </row>
    <row r="214" spans="1:11" x14ac:dyDescent="0.25">
      <c r="A214" s="13" t="s">
        <v>100</v>
      </c>
      <c r="B214" s="13" t="s">
        <v>101</v>
      </c>
      <c r="C214" s="13" t="s">
        <v>880</v>
      </c>
      <c r="D214" s="13" t="s">
        <v>380</v>
      </c>
      <c r="E214" s="16" t="s">
        <v>13</v>
      </c>
      <c r="F214" s="16" t="s">
        <v>12</v>
      </c>
      <c r="G214" s="16" t="s">
        <v>708</v>
      </c>
      <c r="H214" s="16" t="s">
        <v>708</v>
      </c>
      <c r="I214" s="16">
        <v>531</v>
      </c>
      <c r="J214" s="16">
        <v>430</v>
      </c>
      <c r="K214" s="17" t="s">
        <v>383</v>
      </c>
    </row>
    <row r="215" spans="1:11" x14ac:dyDescent="0.25">
      <c r="A215" s="13" t="s">
        <v>881</v>
      </c>
      <c r="B215" s="13" t="s">
        <v>882</v>
      </c>
      <c r="C215" s="13" t="s">
        <v>880</v>
      </c>
      <c r="D215" s="13" t="s">
        <v>883</v>
      </c>
      <c r="E215" s="16" t="s">
        <v>13</v>
      </c>
      <c r="F215" s="16" t="s">
        <v>12</v>
      </c>
      <c r="G215" s="16" t="s">
        <v>394</v>
      </c>
      <c r="H215" s="16" t="s">
        <v>394</v>
      </c>
      <c r="I215" s="16">
        <v>10334</v>
      </c>
      <c r="J215" s="16">
        <v>7089</v>
      </c>
      <c r="K215" s="18" t="str">
        <f>HYPERLINK("mailto:jst@niph.dk", "contact")</f>
        <v>contact</v>
      </c>
    </row>
    <row r="216" spans="1:11" x14ac:dyDescent="0.25">
      <c r="A216" s="13" t="s">
        <v>884</v>
      </c>
      <c r="B216" s="13" t="s">
        <v>882</v>
      </c>
      <c r="C216" s="13" t="s">
        <v>670</v>
      </c>
      <c r="D216" s="13" t="s">
        <v>885</v>
      </c>
      <c r="E216" s="16" t="s">
        <v>41</v>
      </c>
      <c r="F216" s="16" t="s">
        <v>12</v>
      </c>
      <c r="G216" s="16" t="s">
        <v>886</v>
      </c>
      <c r="H216" s="16" t="s">
        <v>886</v>
      </c>
      <c r="I216" s="16">
        <v>333</v>
      </c>
      <c r="J216" s="16">
        <v>305</v>
      </c>
      <c r="K216" s="18" t="str">
        <f>HYPERLINK("mailto:agroentved@health.sdu.dk", "contact")</f>
        <v>contact</v>
      </c>
    </row>
    <row r="217" spans="1:11" x14ac:dyDescent="0.25">
      <c r="A217" s="13" t="s">
        <v>887</v>
      </c>
      <c r="B217" s="13" t="s">
        <v>882</v>
      </c>
      <c r="C217" s="13" t="s">
        <v>404</v>
      </c>
      <c r="D217" s="13" t="s">
        <v>888</v>
      </c>
      <c r="E217" s="16" t="s">
        <v>53</v>
      </c>
      <c r="F217" s="16" t="s">
        <v>40</v>
      </c>
      <c r="G217" s="16" t="s">
        <v>889</v>
      </c>
      <c r="H217" s="16" t="s">
        <v>889</v>
      </c>
      <c r="I217" s="16">
        <v>5031</v>
      </c>
      <c r="J217" s="16">
        <v>4148</v>
      </c>
      <c r="K217" s="18" t="str">
        <f>HYPERLINK("mailto:Boerge.Nordestgaard@regionh.dk", "contact")</f>
        <v>contact</v>
      </c>
    </row>
    <row r="218" spans="1:11" x14ac:dyDescent="0.25">
      <c r="A218" s="13" t="s">
        <v>890</v>
      </c>
      <c r="B218" s="13" t="s">
        <v>882</v>
      </c>
      <c r="C218" s="13" t="s">
        <v>463</v>
      </c>
      <c r="D218" s="13" t="s">
        <v>888</v>
      </c>
      <c r="E218" s="16" t="s">
        <v>53</v>
      </c>
      <c r="F218" s="16" t="s">
        <v>40</v>
      </c>
      <c r="G218" s="16" t="s">
        <v>889</v>
      </c>
      <c r="H218" s="16" t="s">
        <v>889</v>
      </c>
      <c r="I218" s="16">
        <v>4519</v>
      </c>
      <c r="J218" s="16">
        <v>3282</v>
      </c>
      <c r="K218" s="18" t="str">
        <f>HYPERLINK("mailto:Boerge.Nordestgaard@regionh.dk", "contact")</f>
        <v>contact</v>
      </c>
    </row>
    <row r="219" spans="1:11" x14ac:dyDescent="0.25">
      <c r="A219" s="13" t="s">
        <v>891</v>
      </c>
      <c r="B219" s="13" t="s">
        <v>882</v>
      </c>
      <c r="C219" s="13" t="s">
        <v>379</v>
      </c>
      <c r="D219" s="13" t="s">
        <v>888</v>
      </c>
      <c r="E219" s="16" t="s">
        <v>53</v>
      </c>
      <c r="F219" s="16" t="s">
        <v>40</v>
      </c>
      <c r="G219" s="16" t="s">
        <v>889</v>
      </c>
      <c r="H219" s="16" t="s">
        <v>889</v>
      </c>
      <c r="I219" s="16">
        <v>4018</v>
      </c>
      <c r="J219" s="16">
        <v>3042</v>
      </c>
      <c r="K219" s="18" t="str">
        <f>HYPERLINK("mailto:boerge.nordestgaard@regionh.dk", "contact")</f>
        <v>contact</v>
      </c>
    </row>
    <row r="220" spans="1:11" x14ac:dyDescent="0.25">
      <c r="A220" s="13" t="s">
        <v>892</v>
      </c>
      <c r="B220" s="13" t="s">
        <v>882</v>
      </c>
      <c r="C220" s="13" t="s">
        <v>511</v>
      </c>
      <c r="D220" s="13" t="s">
        <v>888</v>
      </c>
      <c r="E220" s="16" t="s">
        <v>53</v>
      </c>
      <c r="F220" s="16" t="s">
        <v>40</v>
      </c>
      <c r="G220" s="16" t="s">
        <v>889</v>
      </c>
      <c r="H220" s="16" t="s">
        <v>889</v>
      </c>
      <c r="I220" s="16">
        <v>1635</v>
      </c>
      <c r="J220" s="16">
        <v>1324</v>
      </c>
      <c r="K220" s="18" t="str">
        <f>HYPERLINK("mailto:boerge.nordestgaard@regionh.dk", "contact")</f>
        <v>contact</v>
      </c>
    </row>
    <row r="221" spans="1:11" x14ac:dyDescent="0.25">
      <c r="A221" s="13" t="s">
        <v>893</v>
      </c>
      <c r="B221" s="13" t="s">
        <v>882</v>
      </c>
      <c r="C221" s="13" t="s">
        <v>894</v>
      </c>
      <c r="D221" s="13" t="s">
        <v>888</v>
      </c>
      <c r="E221" s="16" t="s">
        <v>53</v>
      </c>
      <c r="F221" s="16" t="s">
        <v>40</v>
      </c>
      <c r="G221" s="16" t="s">
        <v>889</v>
      </c>
      <c r="H221" s="16" t="s">
        <v>889</v>
      </c>
      <c r="I221" s="16">
        <v>1205</v>
      </c>
      <c r="J221" s="16">
        <v>1066</v>
      </c>
      <c r="K221" s="18" t="str">
        <f>HYPERLINK("mailto:boerge.nordestgaard@regionh.dk", "contact")</f>
        <v>contact</v>
      </c>
    </row>
    <row r="222" spans="1:11" x14ac:dyDescent="0.25">
      <c r="A222" s="13" t="s">
        <v>895</v>
      </c>
      <c r="B222" s="13" t="s">
        <v>882</v>
      </c>
      <c r="C222" s="13" t="s">
        <v>896</v>
      </c>
      <c r="D222" s="13" t="s">
        <v>888</v>
      </c>
      <c r="E222" s="16" t="s">
        <v>53</v>
      </c>
      <c r="F222" s="16" t="s">
        <v>40</v>
      </c>
      <c r="G222" s="16" t="s">
        <v>889</v>
      </c>
      <c r="H222" s="16" t="s">
        <v>889</v>
      </c>
      <c r="I222" s="16">
        <v>4047</v>
      </c>
      <c r="J222" s="16">
        <v>3551</v>
      </c>
      <c r="K222" s="18" t="str">
        <f>HYPERLINK("mailto:boerge.nordestgaard@regionh.dk", "contact")</f>
        <v>contact</v>
      </c>
    </row>
    <row r="223" spans="1:11" x14ac:dyDescent="0.25">
      <c r="A223" s="13" t="s">
        <v>897</v>
      </c>
      <c r="B223" s="13" t="s">
        <v>898</v>
      </c>
      <c r="C223" s="13" t="s">
        <v>899</v>
      </c>
      <c r="D223" s="13" t="s">
        <v>900</v>
      </c>
      <c r="E223" s="16" t="s">
        <v>13</v>
      </c>
      <c r="F223" s="16" t="s">
        <v>12</v>
      </c>
      <c r="G223" s="16" t="s">
        <v>901</v>
      </c>
      <c r="H223" s="16" t="s">
        <v>901</v>
      </c>
      <c r="I223" s="16">
        <v>4097</v>
      </c>
      <c r="J223" s="16">
        <v>2087</v>
      </c>
      <c r="K223" s="18" t="str">
        <f>HYPERLINK("mailto:angel_cardiologia@hotmail.com", "contact")</f>
        <v>contact</v>
      </c>
    </row>
    <row r="224" spans="1:11" x14ac:dyDescent="0.25">
      <c r="A224" s="13" t="s">
        <v>902</v>
      </c>
      <c r="B224" s="13" t="s">
        <v>898</v>
      </c>
      <c r="C224" s="13" t="s">
        <v>460</v>
      </c>
      <c r="D224" s="13" t="s">
        <v>903</v>
      </c>
      <c r="E224" s="16" t="s">
        <v>13</v>
      </c>
      <c r="F224" s="16" t="s">
        <v>12</v>
      </c>
      <c r="G224" s="16" t="s">
        <v>901</v>
      </c>
      <c r="H224" s="16" t="s">
        <v>901</v>
      </c>
      <c r="I224" s="16">
        <v>3318</v>
      </c>
      <c r="J224" s="16">
        <v>1658</v>
      </c>
      <c r="K224" s="18" t="str">
        <f>HYPERLINK("mailto:angel_cardiologia@hotmail.com", "contact")</f>
        <v>contact</v>
      </c>
    </row>
    <row r="225" spans="1:11" x14ac:dyDescent="0.25">
      <c r="A225" s="13" t="s">
        <v>904</v>
      </c>
      <c r="B225" s="13" t="s">
        <v>104</v>
      </c>
      <c r="C225" s="13" t="s">
        <v>776</v>
      </c>
      <c r="D225" s="13" t="s">
        <v>905</v>
      </c>
      <c r="E225" s="16" t="s">
        <v>41</v>
      </c>
      <c r="F225" s="16" t="s">
        <v>468</v>
      </c>
      <c r="G225" s="16" t="s">
        <v>501</v>
      </c>
      <c r="H225" s="16" t="s">
        <v>501</v>
      </c>
      <c r="I225" s="16">
        <v>655</v>
      </c>
      <c r="J225" s="16">
        <v>561</v>
      </c>
      <c r="K225" s="18" t="str">
        <f>HYPERLINK("mailto:ncdrisc@imperial.ac.uk", "contact")</f>
        <v>contact</v>
      </c>
    </row>
    <row r="226" spans="1:11" x14ac:dyDescent="0.25">
      <c r="A226" s="13" t="s">
        <v>103</v>
      </c>
      <c r="B226" s="13" t="s">
        <v>104</v>
      </c>
      <c r="C226" s="13" t="s">
        <v>471</v>
      </c>
      <c r="D226" s="13" t="s">
        <v>380</v>
      </c>
      <c r="E226" s="16" t="s">
        <v>53</v>
      </c>
      <c r="F226" s="16" t="s">
        <v>12</v>
      </c>
      <c r="G226" s="16" t="s">
        <v>398</v>
      </c>
      <c r="H226" s="16" t="s">
        <v>398</v>
      </c>
      <c r="I226" s="16">
        <v>2451</v>
      </c>
      <c r="J226" s="16">
        <v>1613</v>
      </c>
      <c r="K226" s="17" t="s">
        <v>383</v>
      </c>
    </row>
    <row r="227" spans="1:11" x14ac:dyDescent="0.25">
      <c r="A227" s="13" t="s">
        <v>906</v>
      </c>
      <c r="B227" s="13" t="s">
        <v>104</v>
      </c>
      <c r="C227" s="13" t="s">
        <v>628</v>
      </c>
      <c r="D227" s="13" t="s">
        <v>907</v>
      </c>
      <c r="E227" s="16" t="s">
        <v>13</v>
      </c>
      <c r="F227" s="16" t="s">
        <v>12</v>
      </c>
      <c r="G227" s="16" t="s">
        <v>908</v>
      </c>
      <c r="H227" s="16" t="s">
        <v>908</v>
      </c>
      <c r="I227" s="16">
        <v>2770</v>
      </c>
      <c r="J227" s="16">
        <v>2002</v>
      </c>
      <c r="K227" s="18" t="str">
        <f>HYPERLINK("mailto:youceflaid@yahoo.fr; ylaid.inspa@gmail.com", "contact")</f>
        <v>contact</v>
      </c>
    </row>
    <row r="228" spans="1:11" x14ac:dyDescent="0.25">
      <c r="A228" s="13" t="s">
        <v>909</v>
      </c>
      <c r="B228" s="13" t="s">
        <v>104</v>
      </c>
      <c r="C228" s="13" t="s">
        <v>612</v>
      </c>
      <c r="D228" s="13" t="s">
        <v>910</v>
      </c>
      <c r="E228" s="16" t="s">
        <v>41</v>
      </c>
      <c r="F228" s="16" t="s">
        <v>40</v>
      </c>
      <c r="G228" s="16" t="s">
        <v>911</v>
      </c>
      <c r="H228" s="16" t="s">
        <v>911</v>
      </c>
      <c r="I228" s="16">
        <v>408</v>
      </c>
      <c r="J228" s="16">
        <v>375</v>
      </c>
      <c r="K228" s="18" t="str">
        <f>HYPERLINK("mailto:sonia_mediene@yahoo.fr", "contact")</f>
        <v>contact</v>
      </c>
    </row>
    <row r="229" spans="1:11" x14ac:dyDescent="0.25">
      <c r="A229" s="13" t="s">
        <v>105</v>
      </c>
      <c r="B229" s="13" t="s">
        <v>104</v>
      </c>
      <c r="C229" s="13" t="s">
        <v>516</v>
      </c>
      <c r="D229" s="13" t="s">
        <v>380</v>
      </c>
      <c r="E229" s="16" t="s">
        <v>13</v>
      </c>
      <c r="F229" s="16" t="s">
        <v>12</v>
      </c>
      <c r="G229" s="16" t="s">
        <v>381</v>
      </c>
      <c r="H229" s="16" t="s">
        <v>381</v>
      </c>
      <c r="I229" s="16">
        <v>3690</v>
      </c>
      <c r="J229" s="16">
        <v>3022</v>
      </c>
      <c r="K229" s="17" t="s">
        <v>383</v>
      </c>
    </row>
    <row r="230" spans="1:11" x14ac:dyDescent="0.25">
      <c r="A230" s="13" t="s">
        <v>912</v>
      </c>
      <c r="B230" s="13" t="s">
        <v>108</v>
      </c>
      <c r="C230" s="13" t="s">
        <v>396</v>
      </c>
      <c r="D230" s="13" t="s">
        <v>397</v>
      </c>
      <c r="E230" s="16" t="s">
        <v>41</v>
      </c>
      <c r="F230" s="16" t="s">
        <v>40</v>
      </c>
      <c r="G230" s="16" t="s">
        <v>398</v>
      </c>
      <c r="H230" s="16" t="s">
        <v>398</v>
      </c>
      <c r="I230" s="16">
        <v>825</v>
      </c>
      <c r="J230" s="16">
        <v>813</v>
      </c>
      <c r="K230" s="18" t="str">
        <f>HYPERLINK("mailto:pboisson@intramed.net", "contact")</f>
        <v>contact</v>
      </c>
    </row>
    <row r="231" spans="1:11" x14ac:dyDescent="0.25">
      <c r="A231" s="13" t="s">
        <v>913</v>
      </c>
      <c r="B231" s="13" t="s">
        <v>108</v>
      </c>
      <c r="C231" s="13" t="s">
        <v>670</v>
      </c>
      <c r="D231" s="13" t="s">
        <v>783</v>
      </c>
      <c r="E231" s="16" t="s">
        <v>13</v>
      </c>
      <c r="F231" s="16" t="s">
        <v>12</v>
      </c>
      <c r="G231" s="16" t="s">
        <v>784</v>
      </c>
      <c r="H231" s="16" t="s">
        <v>784</v>
      </c>
      <c r="I231" s="16">
        <v>2706</v>
      </c>
      <c r="J231" s="16">
        <v>2426</v>
      </c>
      <c r="K231" s="18" t="str">
        <f>HYPERLINK("mailto:ncdrisc@imperial.ac.uk", "contact")</f>
        <v>contact</v>
      </c>
    </row>
    <row r="232" spans="1:11" x14ac:dyDescent="0.25">
      <c r="A232" s="13" t="s">
        <v>107</v>
      </c>
      <c r="B232" s="13" t="s">
        <v>108</v>
      </c>
      <c r="C232" s="13" t="s">
        <v>590</v>
      </c>
      <c r="D232" s="13" t="s">
        <v>914</v>
      </c>
      <c r="E232" s="16" t="s">
        <v>13</v>
      </c>
      <c r="F232" s="16" t="s">
        <v>12</v>
      </c>
      <c r="G232" s="16" t="s">
        <v>915</v>
      </c>
      <c r="H232" s="16" t="s">
        <v>915</v>
      </c>
      <c r="I232" s="16">
        <v>8068</v>
      </c>
      <c r="J232" s="16">
        <v>3690</v>
      </c>
      <c r="K232" s="17" t="s">
        <v>383</v>
      </c>
    </row>
    <row r="233" spans="1:11" x14ac:dyDescent="0.25">
      <c r="A233" s="13" t="s">
        <v>110</v>
      </c>
      <c r="B233" s="13" t="s">
        <v>108</v>
      </c>
      <c r="C233" s="13" t="s">
        <v>379</v>
      </c>
      <c r="D233" s="13" t="s">
        <v>380</v>
      </c>
      <c r="E233" s="16" t="s">
        <v>13</v>
      </c>
      <c r="F233" s="16" t="s">
        <v>12</v>
      </c>
      <c r="G233" s="16" t="s">
        <v>381</v>
      </c>
      <c r="H233" s="16" t="s">
        <v>381</v>
      </c>
      <c r="I233" s="16">
        <v>2632</v>
      </c>
      <c r="J233" s="16">
        <v>1944</v>
      </c>
      <c r="K233" s="17" t="s">
        <v>383</v>
      </c>
    </row>
    <row r="234" spans="1:11" x14ac:dyDescent="0.25">
      <c r="A234" s="13" t="s">
        <v>916</v>
      </c>
      <c r="B234" s="13" t="s">
        <v>113</v>
      </c>
      <c r="C234" s="13" t="s">
        <v>917</v>
      </c>
      <c r="D234" s="13" t="s">
        <v>918</v>
      </c>
      <c r="E234" s="16" t="s">
        <v>41</v>
      </c>
      <c r="F234" s="16" t="s">
        <v>40</v>
      </c>
      <c r="G234" s="16" t="s">
        <v>869</v>
      </c>
      <c r="H234" s="16" t="s">
        <v>869</v>
      </c>
      <c r="I234" s="16">
        <v>425</v>
      </c>
      <c r="J234" s="16">
        <v>604</v>
      </c>
      <c r="K234" s="18" t="str">
        <f>HYPERLINK("mailto:ncdrisc@imperial.ac.uk", "contact")</f>
        <v>contact</v>
      </c>
    </row>
    <row r="235" spans="1:11" x14ac:dyDescent="0.25">
      <c r="A235" s="13" t="s">
        <v>919</v>
      </c>
      <c r="B235" s="13" t="s">
        <v>113</v>
      </c>
      <c r="C235" s="13" t="s">
        <v>920</v>
      </c>
      <c r="D235" s="13" t="s">
        <v>921</v>
      </c>
      <c r="E235" s="16" t="s">
        <v>41</v>
      </c>
      <c r="F235" s="16" t="s">
        <v>468</v>
      </c>
      <c r="G235" s="16" t="s">
        <v>414</v>
      </c>
      <c r="H235" s="16" t="s">
        <v>414</v>
      </c>
      <c r="I235" s="16">
        <v>455</v>
      </c>
      <c r="J235" s="16">
        <v>321</v>
      </c>
      <c r="K235" s="18" t="str">
        <f>HYPERLINK("mailto:aya.kamaleldin@gmail.com; aya.kamaleldin@med.asu.edu.eg", "contact")</f>
        <v>contact</v>
      </c>
    </row>
    <row r="236" spans="1:11" x14ac:dyDescent="0.25">
      <c r="A236" s="13" t="s">
        <v>112</v>
      </c>
      <c r="B236" s="13" t="s">
        <v>113</v>
      </c>
      <c r="C236" s="13" t="s">
        <v>628</v>
      </c>
      <c r="D236" s="13" t="s">
        <v>380</v>
      </c>
      <c r="E236" s="16" t="s">
        <v>13</v>
      </c>
      <c r="F236" s="16" t="s">
        <v>12</v>
      </c>
      <c r="G236" s="16" t="s">
        <v>388</v>
      </c>
      <c r="H236" s="16" t="s">
        <v>388</v>
      </c>
      <c r="I236" s="16">
        <v>3923</v>
      </c>
      <c r="J236" s="16">
        <v>4164</v>
      </c>
      <c r="K236" s="17" t="s">
        <v>383</v>
      </c>
    </row>
    <row r="237" spans="1:11" x14ac:dyDescent="0.25">
      <c r="A237" s="13" t="s">
        <v>922</v>
      </c>
      <c r="B237" s="13" t="s">
        <v>113</v>
      </c>
      <c r="C237" s="13" t="s">
        <v>612</v>
      </c>
      <c r="D237" s="13" t="s">
        <v>923</v>
      </c>
      <c r="E237" s="16" t="s">
        <v>41</v>
      </c>
      <c r="F237" s="16" t="s">
        <v>468</v>
      </c>
      <c r="G237" s="16" t="s">
        <v>501</v>
      </c>
      <c r="H237" s="16" t="s">
        <v>501</v>
      </c>
      <c r="I237" s="16">
        <v>846</v>
      </c>
      <c r="J237" s="16">
        <v>642</v>
      </c>
      <c r="K237" s="18" t="str">
        <f>HYPERLINK("mailto:aya.kamaleldin@gmail.com; aya.kamaleldin@med.asu.edu.eg", "contact")</f>
        <v>contact</v>
      </c>
    </row>
    <row r="238" spans="1:11" x14ac:dyDescent="0.25">
      <c r="A238" s="13" t="s">
        <v>114</v>
      </c>
      <c r="B238" s="13" t="s">
        <v>113</v>
      </c>
      <c r="C238" s="13" t="s">
        <v>499</v>
      </c>
      <c r="D238" s="13" t="s">
        <v>380</v>
      </c>
      <c r="E238" s="16" t="s">
        <v>13</v>
      </c>
      <c r="F238" s="16" t="s">
        <v>12</v>
      </c>
      <c r="G238" s="16" t="s">
        <v>388</v>
      </c>
      <c r="H238" s="16" t="s">
        <v>388</v>
      </c>
      <c r="I238" s="16">
        <v>2959</v>
      </c>
      <c r="J238" s="16">
        <v>1740</v>
      </c>
      <c r="K238" s="17" t="s">
        <v>383</v>
      </c>
    </row>
    <row r="239" spans="1:11" x14ac:dyDescent="0.25">
      <c r="A239" s="13" t="s">
        <v>115</v>
      </c>
      <c r="B239" s="13" t="s">
        <v>113</v>
      </c>
      <c r="C239" s="13" t="s">
        <v>463</v>
      </c>
      <c r="D239" s="13" t="s">
        <v>380</v>
      </c>
      <c r="E239" s="16" t="s">
        <v>13</v>
      </c>
      <c r="F239" s="16" t="s">
        <v>12</v>
      </c>
      <c r="G239" s="16" t="s">
        <v>381</v>
      </c>
      <c r="H239" s="16" t="s">
        <v>381</v>
      </c>
      <c r="I239" s="16">
        <v>3669</v>
      </c>
      <c r="J239" s="16">
        <v>2094</v>
      </c>
      <c r="K239" s="17" t="s">
        <v>383</v>
      </c>
    </row>
    <row r="240" spans="1:11" x14ac:dyDescent="0.25">
      <c r="A240" s="13" t="s">
        <v>117</v>
      </c>
      <c r="B240" s="13" t="s">
        <v>118</v>
      </c>
      <c r="C240" s="13" t="s">
        <v>554</v>
      </c>
      <c r="D240" s="13" t="s">
        <v>380</v>
      </c>
      <c r="E240" s="16" t="s">
        <v>13</v>
      </c>
      <c r="F240" s="16" t="s">
        <v>12</v>
      </c>
      <c r="G240" s="16" t="s">
        <v>599</v>
      </c>
      <c r="H240" s="16" t="s">
        <v>599</v>
      </c>
      <c r="I240" s="16">
        <v>4309</v>
      </c>
      <c r="J240" s="16">
        <v>1725</v>
      </c>
      <c r="K240" s="17" t="s">
        <v>383</v>
      </c>
    </row>
    <row r="241" spans="1:11" x14ac:dyDescent="0.25">
      <c r="A241" s="13" t="s">
        <v>924</v>
      </c>
      <c r="B241" s="13" t="s">
        <v>925</v>
      </c>
      <c r="C241" s="13" t="s">
        <v>926</v>
      </c>
      <c r="D241" s="13" t="s">
        <v>927</v>
      </c>
      <c r="E241" s="16" t="s">
        <v>53</v>
      </c>
      <c r="F241" s="16" t="s">
        <v>12</v>
      </c>
      <c r="G241" s="16" t="s">
        <v>394</v>
      </c>
      <c r="H241" s="16" t="s">
        <v>394</v>
      </c>
      <c r="I241" s="16">
        <v>115</v>
      </c>
      <c r="J241" s="16">
        <v>109</v>
      </c>
      <c r="K241" s="18" t="str">
        <f>HYPERLINK("mailto:pedro.plans@yahoo.es", "contact")</f>
        <v>contact</v>
      </c>
    </row>
    <row r="242" spans="1:11" x14ac:dyDescent="0.25">
      <c r="A242" s="13" t="s">
        <v>928</v>
      </c>
      <c r="B242" s="13" t="s">
        <v>925</v>
      </c>
      <c r="C242" s="13" t="s">
        <v>406</v>
      </c>
      <c r="D242" s="13" t="s">
        <v>929</v>
      </c>
      <c r="E242" s="16" t="s">
        <v>41</v>
      </c>
      <c r="F242" s="16" t="s">
        <v>40</v>
      </c>
      <c r="G242" s="16" t="s">
        <v>686</v>
      </c>
      <c r="H242" s="16" t="s">
        <v>686</v>
      </c>
      <c r="I242" s="16">
        <v>2699</v>
      </c>
      <c r="J242" s="16">
        <v>2108</v>
      </c>
      <c r="K242" s="18" t="str">
        <f>HYPERLINK("mailto:ncdrisc@imperial.ac.uk", "contact")</f>
        <v>contact</v>
      </c>
    </row>
    <row r="243" spans="1:11" x14ac:dyDescent="0.25">
      <c r="A243" s="13" t="s">
        <v>930</v>
      </c>
      <c r="B243" s="13" t="s">
        <v>925</v>
      </c>
      <c r="C243" s="13" t="s">
        <v>931</v>
      </c>
      <c r="D243" s="13" t="s">
        <v>932</v>
      </c>
      <c r="E243" s="16" t="s">
        <v>53</v>
      </c>
      <c r="F243" s="16" t="s">
        <v>12</v>
      </c>
      <c r="G243" s="16" t="s">
        <v>599</v>
      </c>
      <c r="H243" s="16" t="s">
        <v>599</v>
      </c>
      <c r="I243" s="16">
        <v>874</v>
      </c>
      <c r="J243" s="16">
        <v>874</v>
      </c>
      <c r="K243" s="18" t="str">
        <f>HYPERLINK("mailto:ncdrisc@imperial.ac.uk", "contact")</f>
        <v>contact</v>
      </c>
    </row>
    <row r="244" spans="1:11" x14ac:dyDescent="0.25">
      <c r="A244" s="13" t="s">
        <v>933</v>
      </c>
      <c r="B244" s="13" t="s">
        <v>925</v>
      </c>
      <c r="C244" s="13" t="s">
        <v>934</v>
      </c>
      <c r="D244" s="13" t="s">
        <v>935</v>
      </c>
      <c r="E244" s="16" t="s">
        <v>53</v>
      </c>
      <c r="F244" s="16" t="s">
        <v>12</v>
      </c>
      <c r="G244" s="16" t="s">
        <v>936</v>
      </c>
      <c r="H244" s="16" t="s">
        <v>936</v>
      </c>
      <c r="I244" s="16">
        <v>542</v>
      </c>
      <c r="J244" s="16">
        <v>445</v>
      </c>
      <c r="K244" s="18" t="str">
        <f>HYPERLINK("mailto:ncdrisc@imperial.ac.uk", "contact")</f>
        <v>contact</v>
      </c>
    </row>
    <row r="245" spans="1:11" x14ac:dyDescent="0.25">
      <c r="A245" s="13" t="s">
        <v>937</v>
      </c>
      <c r="B245" s="13" t="s">
        <v>925</v>
      </c>
      <c r="C245" s="13" t="s">
        <v>390</v>
      </c>
      <c r="D245" s="13" t="s">
        <v>938</v>
      </c>
      <c r="E245" s="16" t="s">
        <v>53</v>
      </c>
      <c r="F245" s="16" t="s">
        <v>12</v>
      </c>
      <c r="G245" s="16" t="s">
        <v>402</v>
      </c>
      <c r="H245" s="16" t="s">
        <v>402</v>
      </c>
      <c r="I245" s="16">
        <v>865</v>
      </c>
      <c r="J245" s="16">
        <v>804</v>
      </c>
      <c r="K245" s="18" t="str">
        <f>HYPERLINK("mailto:guillem.frontera@ssib.es", "contact")</f>
        <v>contact</v>
      </c>
    </row>
    <row r="246" spans="1:11" x14ac:dyDescent="0.25">
      <c r="A246" s="13" t="s">
        <v>939</v>
      </c>
      <c r="B246" s="13" t="s">
        <v>925</v>
      </c>
      <c r="C246" s="13" t="s">
        <v>940</v>
      </c>
      <c r="D246" s="13" t="s">
        <v>941</v>
      </c>
      <c r="E246" s="16" t="s">
        <v>53</v>
      </c>
      <c r="F246" s="16" t="s">
        <v>12</v>
      </c>
      <c r="G246" s="16" t="s">
        <v>812</v>
      </c>
      <c r="H246" s="16" t="s">
        <v>812</v>
      </c>
      <c r="I246" s="16">
        <v>755</v>
      </c>
      <c r="J246" s="16">
        <v>599</v>
      </c>
      <c r="K246" s="18" t="str">
        <f>HYPERLINK("mailto:mporta@imim.es", "contact")</f>
        <v>contact</v>
      </c>
    </row>
    <row r="247" spans="1:11" x14ac:dyDescent="0.25">
      <c r="A247" s="13" t="s">
        <v>942</v>
      </c>
      <c r="B247" s="13" t="s">
        <v>925</v>
      </c>
      <c r="C247" s="13" t="s">
        <v>943</v>
      </c>
      <c r="D247" s="13" t="s">
        <v>944</v>
      </c>
      <c r="E247" s="16" t="s">
        <v>53</v>
      </c>
      <c r="F247" s="16" t="s">
        <v>12</v>
      </c>
      <c r="G247" s="16" t="s">
        <v>434</v>
      </c>
      <c r="H247" s="16" t="s">
        <v>434</v>
      </c>
      <c r="I247" s="16">
        <v>837</v>
      </c>
      <c r="J247" s="16">
        <v>719</v>
      </c>
      <c r="K247" s="18" t="str">
        <f>HYPERLINK("mailto:mdolores.chirlaque@carm.es", "contact")</f>
        <v>contact</v>
      </c>
    </row>
    <row r="248" spans="1:11" x14ac:dyDescent="0.25">
      <c r="A248" s="13" t="s">
        <v>945</v>
      </c>
      <c r="B248" s="13" t="s">
        <v>925</v>
      </c>
      <c r="C248" s="13" t="s">
        <v>946</v>
      </c>
      <c r="D248" s="13" t="s">
        <v>947</v>
      </c>
      <c r="E248" s="16" t="s">
        <v>53</v>
      </c>
      <c r="F248" s="16" t="s">
        <v>12</v>
      </c>
      <c r="G248" s="16" t="s">
        <v>901</v>
      </c>
      <c r="H248" s="16" t="s">
        <v>901</v>
      </c>
      <c r="I248" s="16">
        <v>3763</v>
      </c>
      <c r="J248" s="16">
        <v>2908</v>
      </c>
      <c r="K248" s="18" t="str">
        <f>HYPERLINK("mailto:acableo@gobiernodecanarias.org", "contact")</f>
        <v>contact</v>
      </c>
    </row>
    <row r="249" spans="1:11" x14ac:dyDescent="0.25">
      <c r="A249" s="13" t="s">
        <v>948</v>
      </c>
      <c r="B249" s="13" t="s">
        <v>925</v>
      </c>
      <c r="C249" s="13" t="s">
        <v>471</v>
      </c>
      <c r="D249" s="13" t="s">
        <v>472</v>
      </c>
      <c r="E249" s="16" t="s">
        <v>41</v>
      </c>
      <c r="F249" s="16" t="s">
        <v>12</v>
      </c>
      <c r="G249" s="16"/>
      <c r="H249" s="16" t="s">
        <v>473</v>
      </c>
      <c r="I249" s="16"/>
      <c r="J249" s="16">
        <v>402</v>
      </c>
      <c r="K249" s="18" t="str">
        <f>HYPERLINK("mailto:ncdrisc@imperial.ac.uk", "contact")</f>
        <v>contact</v>
      </c>
    </row>
    <row r="250" spans="1:11" x14ac:dyDescent="0.25">
      <c r="A250" s="13" t="s">
        <v>949</v>
      </c>
      <c r="B250" s="13" t="s">
        <v>925</v>
      </c>
      <c r="C250" s="13" t="s">
        <v>409</v>
      </c>
      <c r="D250" s="13" t="s">
        <v>950</v>
      </c>
      <c r="E250" s="16" t="s">
        <v>41</v>
      </c>
      <c r="F250" s="16" t="s">
        <v>40</v>
      </c>
      <c r="G250" s="16" t="s">
        <v>437</v>
      </c>
      <c r="H250" s="16" t="s">
        <v>437</v>
      </c>
      <c r="I250" s="16">
        <v>117</v>
      </c>
      <c r="J250" s="16">
        <v>87</v>
      </c>
      <c r="K250" s="18" t="str">
        <f>HYPERLINK("mailto:vioque@umh.es", "contact")</f>
        <v>contact</v>
      </c>
    </row>
    <row r="251" spans="1:11" x14ac:dyDescent="0.25">
      <c r="A251" s="13" t="s">
        <v>951</v>
      </c>
      <c r="B251" s="13" t="s">
        <v>925</v>
      </c>
      <c r="C251" s="13" t="s">
        <v>409</v>
      </c>
      <c r="D251" s="13" t="s">
        <v>952</v>
      </c>
      <c r="E251" s="16" t="s">
        <v>53</v>
      </c>
      <c r="F251" s="16" t="s">
        <v>12</v>
      </c>
      <c r="G251" s="16" t="s">
        <v>394</v>
      </c>
      <c r="H251" s="16" t="s">
        <v>394</v>
      </c>
      <c r="I251" s="16">
        <v>2003</v>
      </c>
      <c r="J251" s="16">
        <v>1816</v>
      </c>
      <c r="K251" s="18" t="str">
        <f>HYPERLINK("mailto:VegAloTo@jcyl.es", "contact")</f>
        <v>contact</v>
      </c>
    </row>
    <row r="252" spans="1:11" x14ac:dyDescent="0.25">
      <c r="A252" s="13" t="s">
        <v>953</v>
      </c>
      <c r="B252" s="13" t="s">
        <v>925</v>
      </c>
      <c r="C252" s="13" t="s">
        <v>546</v>
      </c>
      <c r="D252" s="13" t="s">
        <v>954</v>
      </c>
      <c r="E252" s="16" t="s">
        <v>53</v>
      </c>
      <c r="F252" s="16" t="s">
        <v>12</v>
      </c>
      <c r="G252" s="16" t="s">
        <v>955</v>
      </c>
      <c r="H252" s="16" t="s">
        <v>955</v>
      </c>
      <c r="I252" s="16">
        <v>3200</v>
      </c>
      <c r="J252" s="16">
        <v>2883</v>
      </c>
      <c r="K252" s="18" t="str">
        <f>HYPERLINK("mailto:rramos.girona.ics@gencat.cat", "contact")</f>
        <v>contact</v>
      </c>
    </row>
    <row r="253" spans="1:11" x14ac:dyDescent="0.25">
      <c r="A253" s="13" t="s">
        <v>956</v>
      </c>
      <c r="B253" s="13" t="s">
        <v>925</v>
      </c>
      <c r="C253" s="13" t="s">
        <v>433</v>
      </c>
      <c r="D253" s="13" t="s">
        <v>957</v>
      </c>
      <c r="E253" s="16" t="s">
        <v>13</v>
      </c>
      <c r="F253" s="16" t="s">
        <v>12</v>
      </c>
      <c r="G253" s="16" t="s">
        <v>784</v>
      </c>
      <c r="H253" s="16" t="s">
        <v>784</v>
      </c>
      <c r="I253" s="16">
        <v>3905</v>
      </c>
      <c r="J253" s="16">
        <v>3405</v>
      </c>
      <c r="K253" s="18" t="str">
        <f>HYPERLINK("mailto:josep.redon@uv.es", "contact")</f>
        <v>contact</v>
      </c>
    </row>
    <row r="254" spans="1:11" x14ac:dyDescent="0.25">
      <c r="A254" s="13" t="s">
        <v>958</v>
      </c>
      <c r="B254" s="13" t="s">
        <v>925</v>
      </c>
      <c r="C254" s="13" t="s">
        <v>496</v>
      </c>
      <c r="D254" s="13" t="s">
        <v>959</v>
      </c>
      <c r="E254" s="16" t="s">
        <v>41</v>
      </c>
      <c r="F254" s="16" t="s">
        <v>40</v>
      </c>
      <c r="G254" s="16" t="s">
        <v>845</v>
      </c>
      <c r="H254" s="16" t="s">
        <v>845</v>
      </c>
      <c r="I254" s="16">
        <v>460</v>
      </c>
      <c r="J254" s="16">
        <v>398</v>
      </c>
      <c r="K254" s="18" t="str">
        <f>HYPERLINK("mailto:ncdrisc@imperial.ac.uk", "contact")</f>
        <v>contact</v>
      </c>
    </row>
    <row r="255" spans="1:11" x14ac:dyDescent="0.25">
      <c r="A255" s="13" t="s">
        <v>960</v>
      </c>
      <c r="B255" s="13" t="s">
        <v>925</v>
      </c>
      <c r="C255" s="13" t="s">
        <v>479</v>
      </c>
      <c r="D255" s="13" t="s">
        <v>472</v>
      </c>
      <c r="E255" s="16" t="s">
        <v>41</v>
      </c>
      <c r="F255" s="16" t="s">
        <v>12</v>
      </c>
      <c r="G255" s="16"/>
      <c r="H255" s="16" t="s">
        <v>480</v>
      </c>
      <c r="I255" s="16"/>
      <c r="J255" s="16">
        <v>289</v>
      </c>
      <c r="K255" s="18" t="str">
        <f>HYPERLINK("mailto:ncdrisc@imperial.ac.uk", "contact")</f>
        <v>contact</v>
      </c>
    </row>
    <row r="256" spans="1:11" x14ac:dyDescent="0.25">
      <c r="A256" s="13" t="s">
        <v>961</v>
      </c>
      <c r="B256" s="13" t="s">
        <v>925</v>
      </c>
      <c r="C256" s="13" t="s">
        <v>612</v>
      </c>
      <c r="D256" s="13" t="s">
        <v>962</v>
      </c>
      <c r="E256" s="16" t="s">
        <v>53</v>
      </c>
      <c r="F256" s="16" t="s">
        <v>12</v>
      </c>
      <c r="G256" s="16" t="s">
        <v>963</v>
      </c>
      <c r="H256" s="16" t="s">
        <v>963</v>
      </c>
      <c r="I256" s="16">
        <v>1498</v>
      </c>
      <c r="J256" s="16">
        <v>1298</v>
      </c>
      <c r="K256" s="18" t="str">
        <f>HYPERLINK("mailto:felixredondofj@gmail.com", "contact")</f>
        <v>contact</v>
      </c>
    </row>
    <row r="257" spans="1:11" x14ac:dyDescent="0.25">
      <c r="A257" s="13" t="s">
        <v>964</v>
      </c>
      <c r="B257" s="13" t="s">
        <v>925</v>
      </c>
      <c r="C257" s="13" t="s">
        <v>436</v>
      </c>
      <c r="D257" s="13" t="s">
        <v>965</v>
      </c>
      <c r="E257" s="16" t="s">
        <v>13</v>
      </c>
      <c r="F257" s="16" t="s">
        <v>12</v>
      </c>
      <c r="G257" s="16" t="s">
        <v>394</v>
      </c>
      <c r="H257" s="16" t="s">
        <v>394</v>
      </c>
      <c r="I257" s="16">
        <v>6803</v>
      </c>
      <c r="J257" s="16">
        <v>6123</v>
      </c>
      <c r="K257" s="18" t="str">
        <f>HYPERLINK("mailto:fernando.artalejo@uam.es", "contact")</f>
        <v>contact</v>
      </c>
    </row>
    <row r="258" spans="1:11" x14ac:dyDescent="0.25">
      <c r="A258" s="13" t="s">
        <v>966</v>
      </c>
      <c r="B258" s="13" t="s">
        <v>925</v>
      </c>
      <c r="C258" s="13" t="s">
        <v>639</v>
      </c>
      <c r="D258" s="13" t="s">
        <v>952</v>
      </c>
      <c r="E258" s="16" t="s">
        <v>53</v>
      </c>
      <c r="F258" s="16" t="s">
        <v>12</v>
      </c>
      <c r="G258" s="16" t="s">
        <v>434</v>
      </c>
      <c r="H258" s="16" t="s">
        <v>434</v>
      </c>
      <c r="I258" s="16">
        <v>1579</v>
      </c>
      <c r="J258" s="16">
        <v>1299</v>
      </c>
      <c r="K258" s="18" t="str">
        <f>HYPERLINK("mailto:VegAloTo@jcyl.es", "contact")</f>
        <v>contact</v>
      </c>
    </row>
    <row r="259" spans="1:11" x14ac:dyDescent="0.25">
      <c r="A259" s="13" t="s">
        <v>967</v>
      </c>
      <c r="B259" s="13" t="s">
        <v>925</v>
      </c>
      <c r="C259" s="13" t="s">
        <v>600</v>
      </c>
      <c r="D259" s="13" t="s">
        <v>952</v>
      </c>
      <c r="E259" s="16" t="s">
        <v>53</v>
      </c>
      <c r="F259" s="16" t="s">
        <v>12</v>
      </c>
      <c r="G259" s="16" t="s">
        <v>434</v>
      </c>
      <c r="H259" s="16" t="s">
        <v>434</v>
      </c>
      <c r="I259" s="16">
        <v>1495</v>
      </c>
      <c r="J259" s="16">
        <v>1226</v>
      </c>
      <c r="K259" s="18" t="str">
        <f>HYPERLINK("mailto:VegAloTo@jcyl.es", "contact")</f>
        <v>contact</v>
      </c>
    </row>
    <row r="260" spans="1:11" x14ac:dyDescent="0.25">
      <c r="A260" s="13" t="s">
        <v>968</v>
      </c>
      <c r="B260" s="13" t="s">
        <v>925</v>
      </c>
      <c r="C260" s="13" t="s">
        <v>489</v>
      </c>
      <c r="D260" s="13" t="s">
        <v>969</v>
      </c>
      <c r="E260" s="16" t="s">
        <v>13</v>
      </c>
      <c r="F260" s="16" t="s">
        <v>12</v>
      </c>
      <c r="G260" s="16" t="s">
        <v>531</v>
      </c>
      <c r="H260" s="16" t="s">
        <v>531</v>
      </c>
      <c r="I260" s="16">
        <v>952</v>
      </c>
      <c r="J260" s="16">
        <v>871</v>
      </c>
      <c r="K260" s="18" t="str">
        <f>HYPERLINK("mailto:joseramon.banegas@uam.es", "contact")</f>
        <v>contact</v>
      </c>
    </row>
    <row r="261" spans="1:11" x14ac:dyDescent="0.25">
      <c r="A261" s="13" t="s">
        <v>970</v>
      </c>
      <c r="B261" s="13" t="s">
        <v>925</v>
      </c>
      <c r="C261" s="13" t="s">
        <v>516</v>
      </c>
      <c r="D261" s="13" t="s">
        <v>971</v>
      </c>
      <c r="E261" s="16" t="s">
        <v>53</v>
      </c>
      <c r="F261" s="16" t="s">
        <v>40</v>
      </c>
      <c r="G261" s="16" t="s">
        <v>972</v>
      </c>
      <c r="H261" s="16" t="s">
        <v>972</v>
      </c>
      <c r="I261" s="16">
        <v>1739</v>
      </c>
      <c r="J261" s="16">
        <v>1532</v>
      </c>
      <c r="K261" s="18" t="str">
        <f>HYPERLINK("mailto:esther.lopez@uam.es", "contact")</f>
        <v>contact</v>
      </c>
    </row>
    <row r="262" spans="1:11" x14ac:dyDescent="0.25">
      <c r="A262" s="13" t="s">
        <v>973</v>
      </c>
      <c r="B262" s="13" t="s">
        <v>925</v>
      </c>
      <c r="C262" s="13" t="s">
        <v>511</v>
      </c>
      <c r="D262" s="13" t="s">
        <v>971</v>
      </c>
      <c r="E262" s="16" t="s">
        <v>53</v>
      </c>
      <c r="F262" s="16" t="s">
        <v>40</v>
      </c>
      <c r="G262" s="16" t="s">
        <v>974</v>
      </c>
      <c r="H262" s="16" t="s">
        <v>974</v>
      </c>
      <c r="I262" s="16">
        <v>968</v>
      </c>
      <c r="J262" s="16">
        <v>926</v>
      </c>
      <c r="K262" s="18" t="str">
        <f>HYPERLINK("mailto:joseramon.banegas@uam.es", "contact")</f>
        <v>contact</v>
      </c>
    </row>
    <row r="263" spans="1:11" x14ac:dyDescent="0.25">
      <c r="A263" s="13" t="s">
        <v>975</v>
      </c>
      <c r="B263" s="13" t="s">
        <v>976</v>
      </c>
      <c r="C263" s="13" t="s">
        <v>684</v>
      </c>
      <c r="D263" s="13" t="s">
        <v>977</v>
      </c>
      <c r="E263" s="16" t="s">
        <v>41</v>
      </c>
      <c r="F263" s="16" t="s">
        <v>40</v>
      </c>
      <c r="G263" s="16" t="s">
        <v>978</v>
      </c>
      <c r="H263" s="16" t="s">
        <v>978</v>
      </c>
      <c r="I263" s="16">
        <v>133</v>
      </c>
      <c r="J263" s="16">
        <v>144</v>
      </c>
      <c r="K263" s="18" t="str">
        <f>HYPERLINK("mailto:ncdrisc@imperial.ac.uk", "contact")</f>
        <v>contact</v>
      </c>
    </row>
    <row r="264" spans="1:11" x14ac:dyDescent="0.25">
      <c r="A264" s="13" t="s">
        <v>979</v>
      </c>
      <c r="B264" s="13" t="s">
        <v>976</v>
      </c>
      <c r="C264" s="13" t="s">
        <v>471</v>
      </c>
      <c r="D264" s="13" t="s">
        <v>472</v>
      </c>
      <c r="E264" s="16" t="s">
        <v>41</v>
      </c>
      <c r="F264" s="16" t="s">
        <v>12</v>
      </c>
      <c r="G264" s="16"/>
      <c r="H264" s="16" t="s">
        <v>473</v>
      </c>
      <c r="I264" s="16"/>
      <c r="J264" s="16">
        <v>428</v>
      </c>
      <c r="K264" s="18" t="str">
        <f>HYPERLINK("mailto:ncdrisc@imperial.ac.uk", "contact")</f>
        <v>contact</v>
      </c>
    </row>
    <row r="265" spans="1:11" x14ac:dyDescent="0.25">
      <c r="A265" s="13" t="s">
        <v>980</v>
      </c>
      <c r="B265" s="13" t="s">
        <v>976</v>
      </c>
      <c r="C265" s="13" t="s">
        <v>479</v>
      </c>
      <c r="D265" s="13" t="s">
        <v>472</v>
      </c>
      <c r="E265" s="16" t="s">
        <v>41</v>
      </c>
      <c r="F265" s="16" t="s">
        <v>12</v>
      </c>
      <c r="G265" s="16"/>
      <c r="H265" s="16" t="s">
        <v>480</v>
      </c>
      <c r="I265" s="16"/>
      <c r="J265" s="16">
        <v>327</v>
      </c>
      <c r="K265" s="18" t="str">
        <f>HYPERLINK("mailto:ncdrisc@imperial.ac.uk", "contact")</f>
        <v>contact</v>
      </c>
    </row>
    <row r="266" spans="1:11" x14ac:dyDescent="0.25">
      <c r="A266" s="13" t="s">
        <v>120</v>
      </c>
      <c r="B266" s="13" t="s">
        <v>121</v>
      </c>
      <c r="C266" s="13" t="s">
        <v>489</v>
      </c>
      <c r="D266" s="13" t="s">
        <v>380</v>
      </c>
      <c r="E266" s="16" t="s">
        <v>13</v>
      </c>
      <c r="F266" s="16" t="s">
        <v>12</v>
      </c>
      <c r="G266" s="16" t="s">
        <v>381</v>
      </c>
      <c r="H266" s="16" t="s">
        <v>381</v>
      </c>
      <c r="I266" s="16">
        <v>5127</v>
      </c>
      <c r="J266" s="16">
        <v>3752</v>
      </c>
      <c r="K266" s="17" t="s">
        <v>383</v>
      </c>
    </row>
    <row r="267" spans="1:11" x14ac:dyDescent="0.25">
      <c r="A267" s="13" t="s">
        <v>981</v>
      </c>
      <c r="B267" s="13" t="s">
        <v>982</v>
      </c>
      <c r="C267" s="13" t="s">
        <v>983</v>
      </c>
      <c r="D267" s="13" t="s">
        <v>984</v>
      </c>
      <c r="E267" s="16" t="s">
        <v>53</v>
      </c>
      <c r="F267" s="16" t="s">
        <v>12</v>
      </c>
      <c r="G267" s="16"/>
      <c r="H267" s="16" t="s">
        <v>985</v>
      </c>
      <c r="I267" s="16"/>
      <c r="J267" s="16">
        <v>296</v>
      </c>
      <c r="K267" s="18" t="str">
        <f>HYPERLINK("mailto:ncdrisc@imperial.ac.uk", "contact")</f>
        <v>contact</v>
      </c>
    </row>
    <row r="268" spans="1:11" x14ac:dyDescent="0.25">
      <c r="A268" s="13" t="s">
        <v>986</v>
      </c>
      <c r="B268" s="13" t="s">
        <v>982</v>
      </c>
      <c r="C268" s="13" t="s">
        <v>983</v>
      </c>
      <c r="D268" s="13" t="s">
        <v>987</v>
      </c>
      <c r="E268" s="16" t="s">
        <v>53</v>
      </c>
      <c r="F268" s="16" t="s">
        <v>12</v>
      </c>
      <c r="G268" s="16"/>
      <c r="H268" s="16" t="s">
        <v>985</v>
      </c>
      <c r="I268" s="16"/>
      <c r="J268" s="16">
        <v>367</v>
      </c>
      <c r="K268" s="18" t="str">
        <f>HYPERLINK("mailto:ncdrisc@imperial.ac.uk", "contact")</f>
        <v>contact</v>
      </c>
    </row>
    <row r="269" spans="1:11" x14ac:dyDescent="0.25">
      <c r="A269" s="13" t="s">
        <v>988</v>
      </c>
      <c r="B269" s="13" t="s">
        <v>982</v>
      </c>
      <c r="C269" s="13" t="s">
        <v>983</v>
      </c>
      <c r="D269" s="13" t="s">
        <v>989</v>
      </c>
      <c r="E269" s="16" t="s">
        <v>41</v>
      </c>
      <c r="F269" s="16" t="s">
        <v>468</v>
      </c>
      <c r="G269" s="16"/>
      <c r="H269" s="16" t="s">
        <v>985</v>
      </c>
      <c r="I269" s="16"/>
      <c r="J269" s="16">
        <v>715</v>
      </c>
      <c r="K269" s="18" t="str">
        <f>HYPERLINK("mailto:hanna.tolonen@thl.fi", "contact")</f>
        <v>contact</v>
      </c>
    </row>
    <row r="270" spans="1:11" x14ac:dyDescent="0.25">
      <c r="A270" s="13" t="s">
        <v>990</v>
      </c>
      <c r="B270" s="13" t="s">
        <v>982</v>
      </c>
      <c r="C270" s="13" t="s">
        <v>991</v>
      </c>
      <c r="D270" s="13" t="s">
        <v>992</v>
      </c>
      <c r="E270" s="16" t="s">
        <v>13</v>
      </c>
      <c r="F270" s="16" t="s">
        <v>468</v>
      </c>
      <c r="G270" s="16" t="s">
        <v>993</v>
      </c>
      <c r="H270" s="16" t="s">
        <v>993</v>
      </c>
      <c r="I270" s="16">
        <v>230</v>
      </c>
      <c r="J270" s="16">
        <v>200</v>
      </c>
      <c r="K270" s="18" t="str">
        <f>HYPERLINK("mailto:olli.raitakari@utu.fi", "contact")</f>
        <v>contact</v>
      </c>
    </row>
    <row r="271" spans="1:11" x14ac:dyDescent="0.25">
      <c r="A271" s="13" t="s">
        <v>994</v>
      </c>
      <c r="B271" s="13" t="s">
        <v>982</v>
      </c>
      <c r="C271" s="13" t="s">
        <v>991</v>
      </c>
      <c r="D271" s="13" t="s">
        <v>992</v>
      </c>
      <c r="E271" s="16" t="s">
        <v>13</v>
      </c>
      <c r="F271" s="16" t="s">
        <v>40</v>
      </c>
      <c r="G271" s="16" t="s">
        <v>993</v>
      </c>
      <c r="H271" s="16" t="s">
        <v>993</v>
      </c>
      <c r="I271" s="16">
        <v>326</v>
      </c>
      <c r="J271" s="16">
        <v>253</v>
      </c>
      <c r="K271" s="18" t="str">
        <f>HYPERLINK("mailto:olli.raitakari@utu.fi", "contact")</f>
        <v>contact</v>
      </c>
    </row>
    <row r="272" spans="1:11" x14ac:dyDescent="0.25">
      <c r="A272" s="13" t="s">
        <v>995</v>
      </c>
      <c r="B272" s="13" t="s">
        <v>982</v>
      </c>
      <c r="C272" s="13" t="s">
        <v>996</v>
      </c>
      <c r="D272" s="13" t="s">
        <v>997</v>
      </c>
      <c r="E272" s="16" t="s">
        <v>53</v>
      </c>
      <c r="F272" s="16" t="s">
        <v>12</v>
      </c>
      <c r="G272" s="16"/>
      <c r="H272" s="16" t="s">
        <v>998</v>
      </c>
      <c r="I272" s="16"/>
      <c r="J272" s="16">
        <v>2682</v>
      </c>
      <c r="K272" s="18" t="str">
        <f>HYPERLINK("mailto:jyrki.virtanen@uef.fi", "contact")</f>
        <v>contact</v>
      </c>
    </row>
    <row r="273" spans="1:11" x14ac:dyDescent="0.25">
      <c r="A273" s="13" t="s">
        <v>999</v>
      </c>
      <c r="B273" s="13" t="s">
        <v>982</v>
      </c>
      <c r="C273" s="13" t="s">
        <v>926</v>
      </c>
      <c r="D273" s="13" t="s">
        <v>989</v>
      </c>
      <c r="E273" s="16" t="s">
        <v>41</v>
      </c>
      <c r="F273" s="16" t="s">
        <v>468</v>
      </c>
      <c r="G273" s="16"/>
      <c r="H273" s="16" t="s">
        <v>1000</v>
      </c>
      <c r="I273" s="16"/>
      <c r="J273" s="16">
        <v>450</v>
      </c>
      <c r="K273" s="18" t="str">
        <f>HYPERLINK("mailto:hanna.tolonen@thl.fi", "contact")</f>
        <v>contact</v>
      </c>
    </row>
    <row r="274" spans="1:11" x14ac:dyDescent="0.25">
      <c r="A274" s="13" t="s">
        <v>1001</v>
      </c>
      <c r="B274" s="13" t="s">
        <v>982</v>
      </c>
      <c r="C274" s="13" t="s">
        <v>1002</v>
      </c>
      <c r="D274" s="13" t="s">
        <v>1003</v>
      </c>
      <c r="E274" s="16" t="s">
        <v>41</v>
      </c>
      <c r="F274" s="16" t="s">
        <v>40</v>
      </c>
      <c r="G274" s="16" t="s">
        <v>1004</v>
      </c>
      <c r="H274" s="16" t="s">
        <v>1004</v>
      </c>
      <c r="I274" s="16">
        <v>327</v>
      </c>
      <c r="J274" s="16">
        <v>231</v>
      </c>
      <c r="K274" s="18" t="str">
        <f>HYPERLINK("mailto:sirkka.keinanen-kiukaanniemi@oulu.fi", "contact")</f>
        <v>contact</v>
      </c>
    </row>
    <row r="275" spans="1:11" x14ac:dyDescent="0.25">
      <c r="A275" s="13" t="s">
        <v>1005</v>
      </c>
      <c r="B275" s="13" t="s">
        <v>982</v>
      </c>
      <c r="C275" s="13" t="s">
        <v>1006</v>
      </c>
      <c r="D275" s="13" t="s">
        <v>997</v>
      </c>
      <c r="E275" s="16" t="s">
        <v>53</v>
      </c>
      <c r="F275" s="16" t="s">
        <v>12</v>
      </c>
      <c r="G275" s="16"/>
      <c r="H275" s="16" t="s">
        <v>1007</v>
      </c>
      <c r="I275" s="16"/>
      <c r="J275" s="16">
        <v>1038</v>
      </c>
      <c r="K275" s="18" t="str">
        <f>HYPERLINK("mailto:jyrki.virtanen@uef.fi", "contact")</f>
        <v>contact</v>
      </c>
    </row>
    <row r="276" spans="1:11" x14ac:dyDescent="0.25">
      <c r="A276" s="13" t="s">
        <v>1008</v>
      </c>
      <c r="B276" s="13" t="s">
        <v>982</v>
      </c>
      <c r="C276" s="13" t="s">
        <v>684</v>
      </c>
      <c r="D276" s="13" t="s">
        <v>1009</v>
      </c>
      <c r="E276" s="16" t="s">
        <v>41</v>
      </c>
      <c r="F276" s="16" t="s">
        <v>12</v>
      </c>
      <c r="G276" s="16" t="s">
        <v>1010</v>
      </c>
      <c r="H276" s="16" t="s">
        <v>1010</v>
      </c>
      <c r="I276" s="16">
        <v>256</v>
      </c>
      <c r="J276" s="16">
        <v>2631</v>
      </c>
      <c r="K276" s="18" t="str">
        <f>HYPERLINK("mailto:sylvain.sebert@oulu.fi", "contact")</f>
        <v>contact</v>
      </c>
    </row>
    <row r="277" spans="1:11" x14ac:dyDescent="0.25">
      <c r="A277" s="13" t="s">
        <v>1011</v>
      </c>
      <c r="B277" s="13" t="s">
        <v>982</v>
      </c>
      <c r="C277" s="13" t="s">
        <v>899</v>
      </c>
      <c r="D277" s="13" t="s">
        <v>1003</v>
      </c>
      <c r="E277" s="16" t="s">
        <v>41</v>
      </c>
      <c r="F277" s="16" t="s">
        <v>40</v>
      </c>
      <c r="G277" s="16" t="s">
        <v>1012</v>
      </c>
      <c r="H277" s="16" t="s">
        <v>1012</v>
      </c>
      <c r="I277" s="16">
        <v>346</v>
      </c>
      <c r="J277" s="16">
        <v>244</v>
      </c>
      <c r="K277" s="18" t="str">
        <f>HYPERLINK("mailto:sirkka.keinanen-kiukaanniemi@oulu.fi", "contact")</f>
        <v>contact</v>
      </c>
    </row>
    <row r="278" spans="1:11" x14ac:dyDescent="0.25">
      <c r="A278" s="13" t="s">
        <v>1013</v>
      </c>
      <c r="B278" s="13" t="s">
        <v>982</v>
      </c>
      <c r="C278" s="13" t="s">
        <v>1014</v>
      </c>
      <c r="D278" s="13" t="s">
        <v>997</v>
      </c>
      <c r="E278" s="16" t="s">
        <v>53</v>
      </c>
      <c r="F278" s="16" t="s">
        <v>12</v>
      </c>
      <c r="G278" s="16" t="s">
        <v>1015</v>
      </c>
      <c r="H278" s="16" t="s">
        <v>1015</v>
      </c>
      <c r="I278" s="16">
        <v>919</v>
      </c>
      <c r="J278" s="16">
        <v>834</v>
      </c>
      <c r="K278" s="18" t="str">
        <f>HYPERLINK("mailto:jyrki.virtanen@uef.fi", "contact")</f>
        <v>contact</v>
      </c>
    </row>
    <row r="279" spans="1:11" x14ac:dyDescent="0.25">
      <c r="A279" s="13" t="s">
        <v>1016</v>
      </c>
      <c r="B279" s="13" t="s">
        <v>982</v>
      </c>
      <c r="C279" s="13" t="s">
        <v>688</v>
      </c>
      <c r="D279" s="13" t="s">
        <v>1017</v>
      </c>
      <c r="E279" s="16" t="s">
        <v>13</v>
      </c>
      <c r="F279" s="16" t="s">
        <v>12</v>
      </c>
      <c r="G279" s="16" t="s">
        <v>431</v>
      </c>
      <c r="H279" s="16" t="s">
        <v>431</v>
      </c>
      <c r="I279" s="16">
        <v>3889</v>
      </c>
      <c r="J279" s="16">
        <v>3159</v>
      </c>
      <c r="K279" s="18" t="str">
        <f>HYPERLINK("mailto:Annamari.Lundqvist@thl.fi", "contact")</f>
        <v>contact</v>
      </c>
    </row>
    <row r="280" spans="1:11" x14ac:dyDescent="0.25">
      <c r="A280" s="13" t="s">
        <v>1018</v>
      </c>
      <c r="B280" s="13" t="s">
        <v>982</v>
      </c>
      <c r="C280" s="13" t="s">
        <v>776</v>
      </c>
      <c r="D280" s="13" t="s">
        <v>1019</v>
      </c>
      <c r="E280" s="16" t="s">
        <v>13</v>
      </c>
      <c r="F280" s="16" t="s">
        <v>468</v>
      </c>
      <c r="G280" s="16" t="s">
        <v>1020</v>
      </c>
      <c r="H280" s="16" t="s">
        <v>1020</v>
      </c>
      <c r="I280" s="16">
        <v>395</v>
      </c>
      <c r="J280" s="16">
        <v>344</v>
      </c>
      <c r="K280" s="18" t="str">
        <f>HYPERLINK("mailto:olli.raitakari@utu.fi", "contact")</f>
        <v>contact</v>
      </c>
    </row>
    <row r="281" spans="1:11" x14ac:dyDescent="0.25">
      <c r="A281" s="13" t="s">
        <v>1021</v>
      </c>
      <c r="B281" s="13" t="s">
        <v>982</v>
      </c>
      <c r="C281" s="13" t="s">
        <v>776</v>
      </c>
      <c r="D281" s="13" t="s">
        <v>1019</v>
      </c>
      <c r="E281" s="16" t="s">
        <v>13</v>
      </c>
      <c r="F281" s="16" t="s">
        <v>40</v>
      </c>
      <c r="G281" s="16" t="s">
        <v>1020</v>
      </c>
      <c r="H281" s="16" t="s">
        <v>1020</v>
      </c>
      <c r="I281" s="16">
        <v>770</v>
      </c>
      <c r="J281" s="16">
        <v>660</v>
      </c>
      <c r="K281" s="18" t="str">
        <f>HYPERLINK("mailto:olli.raitakari@utu.fi", "contact")</f>
        <v>contact</v>
      </c>
    </row>
    <row r="282" spans="1:11" x14ac:dyDescent="0.25">
      <c r="A282" s="13" t="s">
        <v>1022</v>
      </c>
      <c r="B282" s="13" t="s">
        <v>982</v>
      </c>
      <c r="C282" s="13" t="s">
        <v>943</v>
      </c>
      <c r="D282" s="13" t="s">
        <v>1023</v>
      </c>
      <c r="E282" s="16" t="s">
        <v>41</v>
      </c>
      <c r="F282" s="16" t="s">
        <v>40</v>
      </c>
      <c r="G282" s="16" t="s">
        <v>1024</v>
      </c>
      <c r="H282" s="16" t="s">
        <v>1024</v>
      </c>
      <c r="I282" s="16">
        <v>550</v>
      </c>
      <c r="J282" s="16">
        <v>428</v>
      </c>
      <c r="K282" s="18" t="str">
        <f>HYPERLINK("mailto:sirkka.keinanen-kiukaanniemi@oulu.fi", "contact")</f>
        <v>contact</v>
      </c>
    </row>
    <row r="283" spans="1:11" x14ac:dyDescent="0.25">
      <c r="A283" s="13" t="s">
        <v>1025</v>
      </c>
      <c r="B283" s="13" t="s">
        <v>982</v>
      </c>
      <c r="C283" s="13" t="s">
        <v>1026</v>
      </c>
      <c r="D283" s="13" t="s">
        <v>1027</v>
      </c>
      <c r="E283" s="16" t="s">
        <v>41</v>
      </c>
      <c r="F283" s="16" t="s">
        <v>40</v>
      </c>
      <c r="G283" s="16" t="s">
        <v>1028</v>
      </c>
      <c r="H283" s="16" t="s">
        <v>1028</v>
      </c>
      <c r="I283" s="16">
        <v>1075</v>
      </c>
      <c r="J283" s="16">
        <v>928</v>
      </c>
      <c r="K283" s="18" t="str">
        <f>HYPERLINK("mailto:johan.eriksson@helsinki.fi", "contact")</f>
        <v>contact</v>
      </c>
    </row>
    <row r="284" spans="1:11" x14ac:dyDescent="0.25">
      <c r="A284" s="13" t="s">
        <v>1029</v>
      </c>
      <c r="B284" s="13" t="s">
        <v>982</v>
      </c>
      <c r="C284" s="13" t="s">
        <v>628</v>
      </c>
      <c r="D284" s="13" t="s">
        <v>1030</v>
      </c>
      <c r="E284" s="16" t="s">
        <v>41</v>
      </c>
      <c r="F284" s="16" t="s">
        <v>468</v>
      </c>
      <c r="G284" s="16" t="s">
        <v>1031</v>
      </c>
      <c r="H284" s="16" t="s">
        <v>1031</v>
      </c>
      <c r="I284" s="16">
        <v>250</v>
      </c>
      <c r="J284" s="16">
        <v>229</v>
      </c>
      <c r="K284" s="18" t="str">
        <f>HYPERLINK("mailto:ncdrisc@imperial.ac.uk", "contact")</f>
        <v>contact</v>
      </c>
    </row>
    <row r="285" spans="1:11" x14ac:dyDescent="0.25">
      <c r="A285" s="13" t="s">
        <v>1032</v>
      </c>
      <c r="B285" s="13" t="s">
        <v>982</v>
      </c>
      <c r="C285" s="13" t="s">
        <v>475</v>
      </c>
      <c r="D285" s="13" t="s">
        <v>997</v>
      </c>
      <c r="E285" s="16" t="s">
        <v>53</v>
      </c>
      <c r="F285" s="16" t="s">
        <v>12</v>
      </c>
      <c r="G285" s="16" t="s">
        <v>1033</v>
      </c>
      <c r="H285" s="16" t="s">
        <v>1033</v>
      </c>
      <c r="I285" s="16">
        <v>634</v>
      </c>
      <c r="J285" s="16">
        <v>1241</v>
      </c>
      <c r="K285" s="18" t="str">
        <f>HYPERLINK("mailto:jyrki.virtanen@uef.fi", "contact")</f>
        <v>contact</v>
      </c>
    </row>
    <row r="286" spans="1:11" x14ac:dyDescent="0.25">
      <c r="A286" s="13" t="s">
        <v>1034</v>
      </c>
      <c r="B286" s="13" t="s">
        <v>982</v>
      </c>
      <c r="C286" s="13" t="s">
        <v>488</v>
      </c>
      <c r="D286" s="13" t="s">
        <v>1003</v>
      </c>
      <c r="E286" s="16" t="s">
        <v>41</v>
      </c>
      <c r="F286" s="16" t="s">
        <v>40</v>
      </c>
      <c r="G286" s="16" t="s">
        <v>1035</v>
      </c>
      <c r="H286" s="16" t="s">
        <v>1035</v>
      </c>
      <c r="I286" s="16">
        <v>272</v>
      </c>
      <c r="J286" s="16">
        <v>184</v>
      </c>
      <c r="K286" s="18" t="str">
        <f>HYPERLINK("mailto:sirkka.keinanen-kiukaanniemi@oulu.fi", "contact")</f>
        <v>contact</v>
      </c>
    </row>
    <row r="287" spans="1:11" x14ac:dyDescent="0.25">
      <c r="A287" s="13" t="s">
        <v>1036</v>
      </c>
      <c r="B287" s="13" t="s">
        <v>982</v>
      </c>
      <c r="C287" s="13" t="s">
        <v>488</v>
      </c>
      <c r="D287" s="13" t="s">
        <v>1037</v>
      </c>
      <c r="E287" s="16" t="s">
        <v>13</v>
      </c>
      <c r="F287" s="16" t="s">
        <v>468</v>
      </c>
      <c r="G287" s="16" t="s">
        <v>1038</v>
      </c>
      <c r="H287" s="16" t="s">
        <v>1038</v>
      </c>
      <c r="I287" s="16">
        <v>448</v>
      </c>
      <c r="J287" s="16">
        <v>384</v>
      </c>
      <c r="K287" s="18" t="str">
        <f>HYPERLINK("mailto:olli.raitakari@utu.fi", "contact")</f>
        <v>contact</v>
      </c>
    </row>
    <row r="288" spans="1:11" x14ac:dyDescent="0.25">
      <c r="A288" s="13" t="s">
        <v>1039</v>
      </c>
      <c r="B288" s="13" t="s">
        <v>982</v>
      </c>
      <c r="C288" s="13" t="s">
        <v>488</v>
      </c>
      <c r="D288" s="13" t="s">
        <v>1037</v>
      </c>
      <c r="E288" s="16" t="s">
        <v>13</v>
      </c>
      <c r="F288" s="16" t="s">
        <v>40</v>
      </c>
      <c r="G288" s="16" t="s">
        <v>1038</v>
      </c>
      <c r="H288" s="16" t="s">
        <v>1038</v>
      </c>
      <c r="I288" s="16">
        <v>728</v>
      </c>
      <c r="J288" s="16">
        <v>603</v>
      </c>
      <c r="K288" s="18" t="str">
        <f>HYPERLINK("mailto:olli.raitakari@utu.fi", "contact")</f>
        <v>contact</v>
      </c>
    </row>
    <row r="289" spans="1:11" x14ac:dyDescent="0.25">
      <c r="A289" s="13" t="s">
        <v>1040</v>
      </c>
      <c r="B289" s="13" t="s">
        <v>982</v>
      </c>
      <c r="C289" s="13" t="s">
        <v>479</v>
      </c>
      <c r="D289" s="13" t="s">
        <v>1041</v>
      </c>
      <c r="E289" s="16" t="s">
        <v>13</v>
      </c>
      <c r="F289" s="16" t="s">
        <v>12</v>
      </c>
      <c r="G289" s="16"/>
      <c r="H289" s="16" t="s">
        <v>1042</v>
      </c>
      <c r="I289" s="16"/>
      <c r="J289" s="16">
        <v>207</v>
      </c>
      <c r="K289" s="18" t="str">
        <f>HYPERLINK("mailto:urho.m.kujala@fimnet.fi", "contact")</f>
        <v>contact</v>
      </c>
    </row>
    <row r="290" spans="1:11" x14ac:dyDescent="0.25">
      <c r="A290" s="13" t="s">
        <v>1043</v>
      </c>
      <c r="B290" s="13" t="s">
        <v>982</v>
      </c>
      <c r="C290" s="13" t="s">
        <v>880</v>
      </c>
      <c r="D290" s="13" t="s">
        <v>1044</v>
      </c>
      <c r="E290" s="16" t="s">
        <v>41</v>
      </c>
      <c r="F290" s="16" t="s">
        <v>468</v>
      </c>
      <c r="G290" s="16" t="s">
        <v>1045</v>
      </c>
      <c r="H290" s="16" t="s">
        <v>1045</v>
      </c>
      <c r="I290" s="16">
        <v>358</v>
      </c>
      <c r="J290" s="16">
        <v>259</v>
      </c>
      <c r="K290" s="18" t="str">
        <f>HYPERLINK("mailto:jouko.saramies@fimnet.fi", "contact")</f>
        <v>contact</v>
      </c>
    </row>
    <row r="291" spans="1:11" x14ac:dyDescent="0.25">
      <c r="A291" s="13" t="s">
        <v>1046</v>
      </c>
      <c r="B291" s="13" t="s">
        <v>982</v>
      </c>
      <c r="C291" s="13" t="s">
        <v>499</v>
      </c>
      <c r="D291" s="13" t="s">
        <v>1047</v>
      </c>
      <c r="E291" s="16" t="s">
        <v>13</v>
      </c>
      <c r="F291" s="16" t="s">
        <v>468</v>
      </c>
      <c r="G291" s="16" t="s">
        <v>1048</v>
      </c>
      <c r="H291" s="16" t="s">
        <v>1048</v>
      </c>
      <c r="I291" s="16">
        <v>436</v>
      </c>
      <c r="J291" s="16">
        <v>368</v>
      </c>
      <c r="K291" s="18" t="str">
        <f>HYPERLINK("mailto:olli.raitakari@utu.fi", "contact")</f>
        <v>contact</v>
      </c>
    </row>
    <row r="292" spans="1:11" x14ac:dyDescent="0.25">
      <c r="A292" s="13" t="s">
        <v>1049</v>
      </c>
      <c r="B292" s="13" t="s">
        <v>982</v>
      </c>
      <c r="C292" s="13" t="s">
        <v>499</v>
      </c>
      <c r="D292" s="13" t="s">
        <v>1047</v>
      </c>
      <c r="E292" s="16" t="s">
        <v>13</v>
      </c>
      <c r="F292" s="16" t="s">
        <v>40</v>
      </c>
      <c r="G292" s="16" t="s">
        <v>1048</v>
      </c>
      <c r="H292" s="16" t="s">
        <v>1048</v>
      </c>
      <c r="I292" s="16">
        <v>650</v>
      </c>
      <c r="J292" s="16">
        <v>513</v>
      </c>
      <c r="K292" s="18" t="str">
        <f>HYPERLINK("mailto:olli.raitakari@utu.fi", "contact")</f>
        <v>contact</v>
      </c>
    </row>
    <row r="293" spans="1:11" x14ac:dyDescent="0.25">
      <c r="A293" s="13" t="s">
        <v>1050</v>
      </c>
      <c r="B293" s="13" t="s">
        <v>982</v>
      </c>
      <c r="C293" s="13" t="s">
        <v>400</v>
      </c>
      <c r="D293" s="13" t="s">
        <v>1051</v>
      </c>
      <c r="E293" s="16" t="s">
        <v>13</v>
      </c>
      <c r="F293" s="16" t="s">
        <v>12</v>
      </c>
      <c r="G293" s="16" t="s">
        <v>431</v>
      </c>
      <c r="H293" s="16" t="s">
        <v>431</v>
      </c>
      <c r="I293" s="16">
        <v>2819</v>
      </c>
      <c r="J293" s="16">
        <v>2288</v>
      </c>
      <c r="K293" s="18" t="str">
        <f>HYPERLINK("mailto:Annamari.Lundqvist@thl.fi", "contact")</f>
        <v>contact</v>
      </c>
    </row>
    <row r="294" spans="1:11" x14ac:dyDescent="0.25">
      <c r="A294" s="13" t="s">
        <v>1052</v>
      </c>
      <c r="B294" s="13" t="s">
        <v>982</v>
      </c>
      <c r="C294" s="13" t="s">
        <v>439</v>
      </c>
      <c r="D294" s="13" t="s">
        <v>1009</v>
      </c>
      <c r="E294" s="16" t="s">
        <v>41</v>
      </c>
      <c r="F294" s="16" t="s">
        <v>12</v>
      </c>
      <c r="G294" s="16" t="s">
        <v>1053</v>
      </c>
      <c r="H294" s="16" t="s">
        <v>1053</v>
      </c>
      <c r="I294" s="16">
        <v>2843</v>
      </c>
      <c r="J294" s="16">
        <v>2206</v>
      </c>
      <c r="K294" s="18" t="str">
        <f>HYPERLINK("mailto:juha.auvinen@oulu.fi", "contact")</f>
        <v>contact</v>
      </c>
    </row>
    <row r="295" spans="1:11" x14ac:dyDescent="0.25">
      <c r="A295" s="13" t="s">
        <v>1054</v>
      </c>
      <c r="B295" s="13" t="s">
        <v>982</v>
      </c>
      <c r="C295" s="13" t="s">
        <v>463</v>
      </c>
      <c r="D295" s="13" t="s">
        <v>1055</v>
      </c>
      <c r="E295" s="16" t="s">
        <v>13</v>
      </c>
      <c r="F295" s="16" t="s">
        <v>12</v>
      </c>
      <c r="G295" s="16" t="s">
        <v>394</v>
      </c>
      <c r="H295" s="16" t="s">
        <v>394</v>
      </c>
      <c r="I295" s="16">
        <v>3627</v>
      </c>
      <c r="J295" s="16">
        <v>3209</v>
      </c>
      <c r="K295" s="18" t="str">
        <f>HYPERLINK("mailto:seppo.koskinen@thl.fi", "contact")</f>
        <v>contact</v>
      </c>
    </row>
    <row r="296" spans="1:11" x14ac:dyDescent="0.25">
      <c r="A296" s="13" t="s">
        <v>1056</v>
      </c>
      <c r="B296" s="13" t="s">
        <v>982</v>
      </c>
      <c r="C296" s="13" t="s">
        <v>486</v>
      </c>
      <c r="D296" s="13" t="s">
        <v>1057</v>
      </c>
      <c r="E296" s="16" t="s">
        <v>41</v>
      </c>
      <c r="F296" s="16" t="s">
        <v>468</v>
      </c>
      <c r="G296" s="16" t="s">
        <v>1058</v>
      </c>
      <c r="H296" s="16" t="s">
        <v>1058</v>
      </c>
      <c r="I296" s="16">
        <v>320</v>
      </c>
      <c r="J296" s="16">
        <v>243</v>
      </c>
      <c r="K296" s="18" t="str">
        <f>HYPERLINK("mailto:jouko.saramies@fimnet.fi", "contact")</f>
        <v>contact</v>
      </c>
    </row>
    <row r="297" spans="1:11" x14ac:dyDescent="0.25">
      <c r="A297" s="13" t="s">
        <v>1059</v>
      </c>
      <c r="B297" s="13" t="s">
        <v>982</v>
      </c>
      <c r="C297" s="13" t="s">
        <v>814</v>
      </c>
      <c r="D297" s="13" t="s">
        <v>1060</v>
      </c>
      <c r="E297" s="16" t="s">
        <v>13</v>
      </c>
      <c r="F297" s="16" t="s">
        <v>12</v>
      </c>
      <c r="G297" s="16" t="s">
        <v>394</v>
      </c>
      <c r="H297" s="16" t="s">
        <v>394</v>
      </c>
      <c r="I297" s="16">
        <v>2953</v>
      </c>
      <c r="J297" s="16">
        <v>2138</v>
      </c>
      <c r="K297" s="18" t="str">
        <f>HYPERLINK("mailto:olli.raitakari@utu.fi", "contact")</f>
        <v>contact</v>
      </c>
    </row>
    <row r="298" spans="1:11" x14ac:dyDescent="0.25">
      <c r="A298" s="13" t="s">
        <v>1061</v>
      </c>
      <c r="B298" s="13" t="s">
        <v>982</v>
      </c>
      <c r="C298" s="13" t="s">
        <v>836</v>
      </c>
      <c r="D298" s="13" t="s">
        <v>1062</v>
      </c>
      <c r="E298" s="16" t="s">
        <v>41</v>
      </c>
      <c r="F298" s="16" t="s">
        <v>12</v>
      </c>
      <c r="G298" s="16" t="s">
        <v>1063</v>
      </c>
      <c r="H298" s="16" t="s">
        <v>1063</v>
      </c>
      <c r="I298" s="16">
        <v>918</v>
      </c>
      <c r="J298" s="16">
        <v>581</v>
      </c>
      <c r="K298" s="18" t="str">
        <f>HYPERLINK("mailto:Soile.Puhakka@odl.fi", "contact")</f>
        <v>contact</v>
      </c>
    </row>
    <row r="299" spans="1:11" x14ac:dyDescent="0.25">
      <c r="A299" s="13" t="s">
        <v>1064</v>
      </c>
      <c r="B299" s="13" t="s">
        <v>124</v>
      </c>
      <c r="C299" s="13" t="s">
        <v>1065</v>
      </c>
      <c r="D299" s="13" t="s">
        <v>1066</v>
      </c>
      <c r="E299" s="16" t="s">
        <v>53</v>
      </c>
      <c r="F299" s="16" t="s">
        <v>12</v>
      </c>
      <c r="G299" s="16" t="s">
        <v>434</v>
      </c>
      <c r="H299" s="16" t="s">
        <v>434</v>
      </c>
      <c r="I299" s="16">
        <v>1523</v>
      </c>
      <c r="J299" s="16">
        <v>1449</v>
      </c>
      <c r="K299" s="18" t="str">
        <f>HYPERLINK("mailto:dianna.magliano@bakeridi.edu.au", "contact")</f>
        <v>contact</v>
      </c>
    </row>
    <row r="300" spans="1:11" x14ac:dyDescent="0.25">
      <c r="A300" s="13" t="s">
        <v>123</v>
      </c>
      <c r="B300" s="13" t="s">
        <v>124</v>
      </c>
      <c r="C300" s="13" t="s">
        <v>493</v>
      </c>
      <c r="D300" s="13" t="s">
        <v>380</v>
      </c>
      <c r="E300" s="16" t="s">
        <v>13</v>
      </c>
      <c r="F300" s="16" t="s">
        <v>12</v>
      </c>
      <c r="G300" s="16" t="s">
        <v>398</v>
      </c>
      <c r="H300" s="16" t="s">
        <v>398</v>
      </c>
      <c r="I300" s="16">
        <v>2985</v>
      </c>
      <c r="J300" s="16">
        <v>2055</v>
      </c>
      <c r="K300" s="17" t="s">
        <v>383</v>
      </c>
    </row>
    <row r="301" spans="1:11" x14ac:dyDescent="0.25">
      <c r="A301" s="13" t="s">
        <v>1067</v>
      </c>
      <c r="B301" s="13" t="s">
        <v>124</v>
      </c>
      <c r="C301" s="13" t="s">
        <v>639</v>
      </c>
      <c r="D301" s="13" t="s">
        <v>1068</v>
      </c>
      <c r="E301" s="16" t="s">
        <v>13</v>
      </c>
      <c r="F301" s="16" t="s">
        <v>12</v>
      </c>
      <c r="G301" s="16" t="s">
        <v>473</v>
      </c>
      <c r="H301" s="16" t="s">
        <v>473</v>
      </c>
      <c r="I301" s="16">
        <v>787</v>
      </c>
      <c r="J301" s="16">
        <v>590</v>
      </c>
      <c r="K301" s="18" t="str">
        <f>HYPERLINK("mailto:grbrian@outlook.com", "contact")</f>
        <v>contact</v>
      </c>
    </row>
    <row r="302" spans="1:11" x14ac:dyDescent="0.25">
      <c r="A302" s="13" t="s">
        <v>126</v>
      </c>
      <c r="B302" s="13" t="s">
        <v>124</v>
      </c>
      <c r="C302" s="13" t="s">
        <v>499</v>
      </c>
      <c r="D302" s="13" t="s">
        <v>380</v>
      </c>
      <c r="E302" s="16" t="s">
        <v>13</v>
      </c>
      <c r="F302" s="16" t="s">
        <v>12</v>
      </c>
      <c r="G302" s="16" t="s">
        <v>398</v>
      </c>
      <c r="H302" s="16" t="s">
        <v>398</v>
      </c>
      <c r="I302" s="16">
        <v>1394</v>
      </c>
      <c r="J302" s="16">
        <v>1096</v>
      </c>
      <c r="K302" s="17" t="s">
        <v>383</v>
      </c>
    </row>
    <row r="303" spans="1:11" x14ac:dyDescent="0.25">
      <c r="A303" s="13" t="s">
        <v>1069</v>
      </c>
      <c r="B303" s="13" t="s">
        <v>1070</v>
      </c>
      <c r="C303" s="13" t="s">
        <v>931</v>
      </c>
      <c r="D303" s="13" t="s">
        <v>1071</v>
      </c>
      <c r="E303" s="16" t="s">
        <v>41</v>
      </c>
      <c r="F303" s="16" t="s">
        <v>12</v>
      </c>
      <c r="G303" s="16" t="s">
        <v>784</v>
      </c>
      <c r="H303" s="16" t="s">
        <v>784</v>
      </c>
      <c r="I303" s="16">
        <v>1419</v>
      </c>
      <c r="J303" s="16">
        <v>1113</v>
      </c>
      <c r="K303" s="18" t="str">
        <f>HYPERLINK("mailto:ncdrisc@imperial.ac.uk", "contact")</f>
        <v>contact</v>
      </c>
    </row>
    <row r="304" spans="1:11" x14ac:dyDescent="0.25">
      <c r="A304" s="13" t="s">
        <v>1072</v>
      </c>
      <c r="B304" s="13" t="s">
        <v>1070</v>
      </c>
      <c r="C304" s="13" t="s">
        <v>931</v>
      </c>
      <c r="D304" s="13" t="s">
        <v>1073</v>
      </c>
      <c r="E304" s="16" t="s">
        <v>53</v>
      </c>
      <c r="F304" s="16" t="s">
        <v>12</v>
      </c>
      <c r="G304" s="16" t="s">
        <v>394</v>
      </c>
      <c r="H304" s="16" t="s">
        <v>394</v>
      </c>
      <c r="I304" s="16">
        <v>31416</v>
      </c>
      <c r="J304" s="16">
        <v>29692</v>
      </c>
      <c r="K304" s="18" t="str">
        <f>HYPERLINK("mailto:ncdrisc@imperial.ac.uk", "contact")</f>
        <v>contact</v>
      </c>
    </row>
    <row r="305" spans="1:11" x14ac:dyDescent="0.25">
      <c r="A305" s="13" t="s">
        <v>1074</v>
      </c>
      <c r="B305" s="13" t="s">
        <v>1070</v>
      </c>
      <c r="C305" s="13" t="s">
        <v>1075</v>
      </c>
      <c r="D305" s="13" t="s">
        <v>1076</v>
      </c>
      <c r="E305" s="16" t="s">
        <v>41</v>
      </c>
      <c r="F305" s="16" t="s">
        <v>40</v>
      </c>
      <c r="G305" s="16" t="s">
        <v>531</v>
      </c>
      <c r="H305" s="16" t="s">
        <v>531</v>
      </c>
      <c r="I305" s="16">
        <v>5644</v>
      </c>
      <c r="J305" s="16">
        <v>3650</v>
      </c>
      <c r="K305" s="18" t="str">
        <f>HYPERLINK("mailto:christophe.tzourio@inserm.fr", "contact")</f>
        <v>contact</v>
      </c>
    </row>
    <row r="306" spans="1:11" x14ac:dyDescent="0.25">
      <c r="A306" s="13" t="s">
        <v>1077</v>
      </c>
      <c r="B306" s="13" t="s">
        <v>1070</v>
      </c>
      <c r="C306" s="13" t="s">
        <v>546</v>
      </c>
      <c r="D306" s="13" t="s">
        <v>1076</v>
      </c>
      <c r="E306" s="16" t="s">
        <v>41</v>
      </c>
      <c r="F306" s="16" t="s">
        <v>40</v>
      </c>
      <c r="G306" s="16" t="s">
        <v>1078</v>
      </c>
      <c r="H306" s="16" t="s">
        <v>1078</v>
      </c>
      <c r="I306" s="16">
        <v>4435</v>
      </c>
      <c r="J306" s="16">
        <v>2712</v>
      </c>
      <c r="K306" s="18" t="str">
        <f>HYPERLINK("mailto:christophe.tzourio@inserm.fr", "contact")</f>
        <v>contact</v>
      </c>
    </row>
    <row r="307" spans="1:11" x14ac:dyDescent="0.25">
      <c r="A307" s="13" t="s">
        <v>1079</v>
      </c>
      <c r="B307" s="13" t="s">
        <v>1070</v>
      </c>
      <c r="C307" s="13" t="s">
        <v>706</v>
      </c>
      <c r="D307" s="13" t="s">
        <v>1080</v>
      </c>
      <c r="E307" s="16" t="s">
        <v>13</v>
      </c>
      <c r="F307" s="16" t="s">
        <v>12</v>
      </c>
      <c r="G307" s="16" t="s">
        <v>812</v>
      </c>
      <c r="H307" s="16" t="s">
        <v>812</v>
      </c>
      <c r="I307" s="16">
        <v>1379</v>
      </c>
      <c r="J307" s="16">
        <v>824</v>
      </c>
      <c r="K307" s="18" t="str">
        <f>HYPERLINK("mailto:Charlotte.VERDOT@santepubliquefrance.fr", "contact")</f>
        <v>contact</v>
      </c>
    </row>
    <row r="308" spans="1:11" x14ac:dyDescent="0.25">
      <c r="A308" s="13" t="s">
        <v>1081</v>
      </c>
      <c r="B308" s="13" t="s">
        <v>1070</v>
      </c>
      <c r="C308" s="13" t="s">
        <v>436</v>
      </c>
      <c r="D308" s="13" t="s">
        <v>1076</v>
      </c>
      <c r="E308" s="16" t="s">
        <v>41</v>
      </c>
      <c r="F308" s="16" t="s">
        <v>40</v>
      </c>
      <c r="G308" s="16" t="s">
        <v>1082</v>
      </c>
      <c r="H308" s="16" t="s">
        <v>1082</v>
      </c>
      <c r="I308" s="16">
        <v>3024</v>
      </c>
      <c r="J308" s="16">
        <v>1666</v>
      </c>
      <c r="K308" s="18" t="str">
        <f>HYPERLINK("mailto:christophe.tzourio@inserm.fr", "contact")</f>
        <v>contact</v>
      </c>
    </row>
    <row r="309" spans="1:11" x14ac:dyDescent="0.25">
      <c r="A309" s="13" t="s">
        <v>1083</v>
      </c>
      <c r="B309" s="13" t="s">
        <v>1070</v>
      </c>
      <c r="C309" s="13" t="s">
        <v>590</v>
      </c>
      <c r="D309" s="13" t="s">
        <v>1084</v>
      </c>
      <c r="E309" s="16" t="s">
        <v>41</v>
      </c>
      <c r="F309" s="16" t="s">
        <v>40</v>
      </c>
      <c r="G309" s="16" t="s">
        <v>1085</v>
      </c>
      <c r="H309" s="16" t="s">
        <v>1085</v>
      </c>
      <c r="I309" s="16">
        <v>779</v>
      </c>
      <c r="J309" s="16">
        <v>751</v>
      </c>
      <c r="K309" s="18" t="str">
        <f>HYPERLINK("mailto:l-dauchet@chru-lille.fr", "contact")</f>
        <v>contact</v>
      </c>
    </row>
    <row r="310" spans="1:11" x14ac:dyDescent="0.25">
      <c r="A310" s="13" t="s">
        <v>1086</v>
      </c>
      <c r="B310" s="13" t="s">
        <v>1070</v>
      </c>
      <c r="C310" s="13" t="s">
        <v>590</v>
      </c>
      <c r="D310" s="13" t="s">
        <v>1087</v>
      </c>
      <c r="E310" s="16" t="s">
        <v>41</v>
      </c>
      <c r="F310" s="16" t="s">
        <v>40</v>
      </c>
      <c r="G310" s="16" t="s">
        <v>1085</v>
      </c>
      <c r="H310" s="16" t="s">
        <v>1085</v>
      </c>
      <c r="I310" s="16">
        <v>838</v>
      </c>
      <c r="J310" s="16">
        <v>754</v>
      </c>
      <c r="K310" s="18" t="str">
        <f>HYPERLINK("mailto:l-dauchet@chru-lille.fr", "contact")</f>
        <v>contact</v>
      </c>
    </row>
    <row r="311" spans="1:11" x14ac:dyDescent="0.25">
      <c r="A311" s="13" t="s">
        <v>1088</v>
      </c>
      <c r="B311" s="13" t="s">
        <v>1070</v>
      </c>
      <c r="C311" s="13" t="s">
        <v>1089</v>
      </c>
      <c r="D311" s="13" t="s">
        <v>1090</v>
      </c>
      <c r="E311" s="16" t="s">
        <v>13</v>
      </c>
      <c r="F311" s="16" t="s">
        <v>40</v>
      </c>
      <c r="G311" s="16" t="s">
        <v>381</v>
      </c>
      <c r="H311" s="16" t="s">
        <v>381</v>
      </c>
      <c r="I311" s="16">
        <v>25538</v>
      </c>
      <c r="J311" s="16">
        <v>22367</v>
      </c>
      <c r="K311" s="18" t="str">
        <f>HYPERLINK("mailto:marcel.goldberg@inserm.fr", "contact")</f>
        <v>contact</v>
      </c>
    </row>
    <row r="312" spans="1:11" x14ac:dyDescent="0.25">
      <c r="A312" s="13" t="s">
        <v>1091</v>
      </c>
      <c r="B312" s="13" t="s">
        <v>1070</v>
      </c>
      <c r="C312" s="13" t="s">
        <v>873</v>
      </c>
      <c r="D312" s="13" t="s">
        <v>1092</v>
      </c>
      <c r="E312" s="16" t="s">
        <v>13</v>
      </c>
      <c r="F312" s="16" t="s">
        <v>12</v>
      </c>
      <c r="G312" s="16" t="s">
        <v>812</v>
      </c>
      <c r="H312" s="16" t="s">
        <v>812</v>
      </c>
      <c r="I312" s="16">
        <v>1268</v>
      </c>
      <c r="J312" s="16">
        <v>992</v>
      </c>
      <c r="K312" s="18" t="str">
        <f>HYPERLINK("mailto:benoit.salanave@univ-paris13.fr", "contact")</f>
        <v>contact</v>
      </c>
    </row>
    <row r="313" spans="1:11" x14ac:dyDescent="0.25">
      <c r="A313" s="13" t="s">
        <v>1093</v>
      </c>
      <c r="B313" s="13" t="s">
        <v>1070</v>
      </c>
      <c r="C313" s="13" t="s">
        <v>739</v>
      </c>
      <c r="D313" s="13" t="s">
        <v>1090</v>
      </c>
      <c r="E313" s="16" t="s">
        <v>13</v>
      </c>
      <c r="F313" s="16" t="s">
        <v>40</v>
      </c>
      <c r="G313" s="16" t="s">
        <v>381</v>
      </c>
      <c r="H313" s="16" t="s">
        <v>381</v>
      </c>
      <c r="I313" s="16">
        <v>50369</v>
      </c>
      <c r="J313" s="16">
        <v>44390</v>
      </c>
      <c r="K313" s="18" t="str">
        <f>HYPERLINK("mailto:marcel.goldberg@inserm.fr", "contact")</f>
        <v>contact</v>
      </c>
    </row>
    <row r="314" spans="1:11" x14ac:dyDescent="0.25">
      <c r="A314" s="13" t="s">
        <v>1094</v>
      </c>
      <c r="B314" s="13" t="s">
        <v>1070</v>
      </c>
      <c r="C314" s="13" t="s">
        <v>1095</v>
      </c>
      <c r="D314" s="13" t="s">
        <v>1090</v>
      </c>
      <c r="E314" s="16" t="s">
        <v>53</v>
      </c>
      <c r="F314" s="16" t="s">
        <v>40</v>
      </c>
      <c r="G314" s="16" t="s">
        <v>1096</v>
      </c>
      <c r="H314" s="16" t="s">
        <v>1096</v>
      </c>
      <c r="I314" s="16">
        <v>8552</v>
      </c>
      <c r="J314" s="16">
        <v>7703</v>
      </c>
      <c r="K314" s="18" t="str">
        <f>HYPERLINK("mailto:marcel.goldberg@inserm.fr", "contact")</f>
        <v>contact</v>
      </c>
    </row>
    <row r="315" spans="1:11" x14ac:dyDescent="0.25">
      <c r="A315" s="13" t="s">
        <v>1097</v>
      </c>
      <c r="B315" s="13" t="s">
        <v>1070</v>
      </c>
      <c r="C315" s="13" t="s">
        <v>486</v>
      </c>
      <c r="D315" s="13" t="s">
        <v>1090</v>
      </c>
      <c r="E315" s="16" t="s">
        <v>13</v>
      </c>
      <c r="F315" s="16" t="s">
        <v>40</v>
      </c>
      <c r="G315" s="16" t="s">
        <v>381</v>
      </c>
      <c r="H315" s="16" t="s">
        <v>381</v>
      </c>
      <c r="I315" s="16">
        <v>26699</v>
      </c>
      <c r="J315" s="16">
        <v>23288</v>
      </c>
      <c r="K315" s="18" t="str">
        <f>HYPERLINK("mailto:marcel.goldberg@inserm.fr", "contact")</f>
        <v>contact</v>
      </c>
    </row>
    <row r="316" spans="1:11" x14ac:dyDescent="0.25">
      <c r="A316" s="13" t="s">
        <v>1098</v>
      </c>
      <c r="B316" s="13" t="s">
        <v>1070</v>
      </c>
      <c r="C316" s="13" t="s">
        <v>894</v>
      </c>
      <c r="D316" s="13" t="s">
        <v>1090</v>
      </c>
      <c r="E316" s="16" t="s">
        <v>53</v>
      </c>
      <c r="F316" s="16" t="s">
        <v>40</v>
      </c>
      <c r="G316" s="16" t="s">
        <v>381</v>
      </c>
      <c r="H316" s="16" t="s">
        <v>381</v>
      </c>
      <c r="I316" s="16">
        <v>1635</v>
      </c>
      <c r="J316" s="16">
        <v>1344</v>
      </c>
      <c r="K316" s="18" t="str">
        <f>HYPERLINK("mailto:marcel.goldberg@inserm.fr", "contact")</f>
        <v>contact</v>
      </c>
    </row>
    <row r="317" spans="1:11" x14ac:dyDescent="0.25">
      <c r="A317" s="13" t="s">
        <v>1099</v>
      </c>
      <c r="B317" s="13" t="s">
        <v>1070</v>
      </c>
      <c r="C317" s="13" t="s">
        <v>1100</v>
      </c>
      <c r="D317" s="13" t="s">
        <v>1090</v>
      </c>
      <c r="E317" s="16" t="s">
        <v>53</v>
      </c>
      <c r="F317" s="16" t="s">
        <v>40</v>
      </c>
      <c r="G317" s="16" t="s">
        <v>1101</v>
      </c>
      <c r="H317" s="16" t="s">
        <v>1101</v>
      </c>
      <c r="I317" s="16">
        <v>19004</v>
      </c>
      <c r="J317" s="16">
        <v>17393</v>
      </c>
      <c r="K317" s="18" t="str">
        <f>HYPERLINK("mailto:marcel.goldberg@inserm.fr", "contact")</f>
        <v>contact</v>
      </c>
    </row>
    <row r="318" spans="1:11" x14ac:dyDescent="0.25">
      <c r="A318" s="13" t="s">
        <v>128</v>
      </c>
      <c r="B318" s="13" t="s">
        <v>1102</v>
      </c>
      <c r="C318" s="13" t="s">
        <v>493</v>
      </c>
      <c r="D318" s="13" t="s">
        <v>380</v>
      </c>
      <c r="E318" s="16" t="s">
        <v>53</v>
      </c>
      <c r="F318" s="16" t="s">
        <v>12</v>
      </c>
      <c r="G318" s="16" t="s">
        <v>398</v>
      </c>
      <c r="H318" s="16" t="s">
        <v>398</v>
      </c>
      <c r="I318" s="16">
        <v>866</v>
      </c>
      <c r="J318" s="16">
        <v>580</v>
      </c>
      <c r="K318" s="17" t="s">
        <v>383</v>
      </c>
    </row>
    <row r="319" spans="1:11" x14ac:dyDescent="0.25">
      <c r="A319" s="13" t="s">
        <v>130</v>
      </c>
      <c r="B319" s="13" t="s">
        <v>1102</v>
      </c>
      <c r="C319" s="13" t="s">
        <v>496</v>
      </c>
      <c r="D319" s="13" t="s">
        <v>380</v>
      </c>
      <c r="E319" s="16" t="s">
        <v>53</v>
      </c>
      <c r="F319" s="16" t="s">
        <v>12</v>
      </c>
      <c r="G319" s="16" t="s">
        <v>398</v>
      </c>
      <c r="H319" s="16" t="s">
        <v>398</v>
      </c>
      <c r="I319" s="16">
        <v>1246</v>
      </c>
      <c r="J319" s="16">
        <v>702</v>
      </c>
      <c r="K319" s="17" t="s">
        <v>383</v>
      </c>
    </row>
    <row r="320" spans="1:11" x14ac:dyDescent="0.25">
      <c r="A320" s="13" t="s">
        <v>131</v>
      </c>
      <c r="B320" s="13" t="s">
        <v>1102</v>
      </c>
      <c r="C320" s="13" t="s">
        <v>479</v>
      </c>
      <c r="D320" s="13" t="s">
        <v>380</v>
      </c>
      <c r="E320" s="16" t="s">
        <v>53</v>
      </c>
      <c r="F320" s="16" t="s">
        <v>12</v>
      </c>
      <c r="G320" s="16" t="s">
        <v>398</v>
      </c>
      <c r="H320" s="16" t="s">
        <v>398</v>
      </c>
      <c r="I320" s="16">
        <v>1255</v>
      </c>
      <c r="J320" s="16">
        <v>857</v>
      </c>
      <c r="K320" s="17" t="s">
        <v>383</v>
      </c>
    </row>
    <row r="321" spans="1:11" x14ac:dyDescent="0.25">
      <c r="A321" s="13" t="s">
        <v>132</v>
      </c>
      <c r="B321" s="13" t="s">
        <v>1102</v>
      </c>
      <c r="C321" s="13" t="s">
        <v>639</v>
      </c>
      <c r="D321" s="13" t="s">
        <v>1103</v>
      </c>
      <c r="E321" s="16" t="s">
        <v>53</v>
      </c>
      <c r="F321" s="16" t="s">
        <v>12</v>
      </c>
      <c r="G321" s="16" t="s">
        <v>708</v>
      </c>
      <c r="H321" s="16" t="s">
        <v>708</v>
      </c>
      <c r="I321" s="16">
        <v>446</v>
      </c>
      <c r="J321" s="16">
        <v>246</v>
      </c>
      <c r="K321" s="17" t="s">
        <v>383</v>
      </c>
    </row>
    <row r="322" spans="1:11" x14ac:dyDescent="0.25">
      <c r="A322" s="13" t="s">
        <v>133</v>
      </c>
      <c r="B322" s="13" t="s">
        <v>1102</v>
      </c>
      <c r="C322" s="13" t="s">
        <v>639</v>
      </c>
      <c r="D322" s="13" t="s">
        <v>1104</v>
      </c>
      <c r="E322" s="16" t="s">
        <v>53</v>
      </c>
      <c r="F322" s="16" t="s">
        <v>12</v>
      </c>
      <c r="G322" s="16" t="s">
        <v>708</v>
      </c>
      <c r="H322" s="16" t="s">
        <v>708</v>
      </c>
      <c r="I322" s="16">
        <v>562</v>
      </c>
      <c r="J322" s="16">
        <v>435</v>
      </c>
      <c r="K322" s="17" t="s">
        <v>383</v>
      </c>
    </row>
    <row r="323" spans="1:11" x14ac:dyDescent="0.25">
      <c r="A323" s="13" t="s">
        <v>1105</v>
      </c>
      <c r="B323" s="13" t="s">
        <v>1106</v>
      </c>
      <c r="C323" s="13" t="s">
        <v>1107</v>
      </c>
      <c r="D323" s="13" t="s">
        <v>1108</v>
      </c>
      <c r="E323" s="16" t="s">
        <v>53</v>
      </c>
      <c r="F323" s="16" t="s">
        <v>12</v>
      </c>
      <c r="G323" s="16" t="s">
        <v>588</v>
      </c>
      <c r="H323" s="16" t="s">
        <v>588</v>
      </c>
      <c r="I323" s="16">
        <v>4447</v>
      </c>
      <c r="J323" s="16">
        <v>4381</v>
      </c>
      <c r="K323" s="18" t="str">
        <f>HYPERLINK("mailto:ncdrisc@imperial.ac.uk", "contact")</f>
        <v>contact</v>
      </c>
    </row>
    <row r="324" spans="1:11" x14ac:dyDescent="0.25">
      <c r="A324" s="13" t="s">
        <v>1109</v>
      </c>
      <c r="B324" s="13" t="s">
        <v>1106</v>
      </c>
      <c r="C324" s="13" t="s">
        <v>1110</v>
      </c>
      <c r="D324" s="13" t="s">
        <v>1111</v>
      </c>
      <c r="E324" s="16" t="s">
        <v>41</v>
      </c>
      <c r="F324" s="16" t="s">
        <v>40</v>
      </c>
      <c r="G324" s="16" t="s">
        <v>1112</v>
      </c>
      <c r="H324" s="16" t="s">
        <v>1112</v>
      </c>
      <c r="I324" s="16">
        <v>769</v>
      </c>
      <c r="J324" s="16">
        <v>797</v>
      </c>
      <c r="K324" s="18" t="str">
        <f>HYPERLINK("mailto:J.Price@ed.ac.uk", "contact")</f>
        <v>contact</v>
      </c>
    </row>
    <row r="325" spans="1:11" x14ac:dyDescent="0.25">
      <c r="A325" s="13" t="s">
        <v>1113</v>
      </c>
      <c r="B325" s="13" t="s">
        <v>1106</v>
      </c>
      <c r="C325" s="13" t="s">
        <v>382</v>
      </c>
      <c r="D325" s="13" t="s">
        <v>929</v>
      </c>
      <c r="E325" s="16" t="s">
        <v>41</v>
      </c>
      <c r="F325" s="16" t="s">
        <v>40</v>
      </c>
      <c r="G325" s="16" t="s">
        <v>936</v>
      </c>
      <c r="H325" s="16" t="s">
        <v>936</v>
      </c>
      <c r="I325" s="16">
        <v>384</v>
      </c>
      <c r="J325" s="16">
        <v>415</v>
      </c>
      <c r="K325" s="18" t="str">
        <f>HYPERLINK("mailto:ncdrisc@imperial.ac.uk", "contact")</f>
        <v>contact</v>
      </c>
    </row>
    <row r="326" spans="1:11" x14ac:dyDescent="0.25">
      <c r="A326" s="13" t="s">
        <v>1114</v>
      </c>
      <c r="B326" s="13" t="s">
        <v>1106</v>
      </c>
      <c r="C326" s="13" t="s">
        <v>382</v>
      </c>
      <c r="D326" s="13" t="s">
        <v>1115</v>
      </c>
      <c r="E326" s="16" t="s">
        <v>41</v>
      </c>
      <c r="F326" s="16" t="s">
        <v>40</v>
      </c>
      <c r="G326" s="16" t="s">
        <v>501</v>
      </c>
      <c r="H326" s="16" t="s">
        <v>501</v>
      </c>
      <c r="I326" s="16">
        <v>938</v>
      </c>
      <c r="J326" s="16">
        <v>761</v>
      </c>
      <c r="K326" s="18" t="str">
        <f>HYPERLINK("mailto:ncdrisc@imperial.ac.uk", "contact")</f>
        <v>contact</v>
      </c>
    </row>
    <row r="327" spans="1:11" x14ac:dyDescent="0.25">
      <c r="A327" s="13" t="s">
        <v>1116</v>
      </c>
      <c r="B327" s="13" t="s">
        <v>1106</v>
      </c>
      <c r="C327" s="13" t="s">
        <v>1117</v>
      </c>
      <c r="D327" s="13" t="s">
        <v>1118</v>
      </c>
      <c r="E327" s="16" t="s">
        <v>13</v>
      </c>
      <c r="F327" s="16" t="s">
        <v>40</v>
      </c>
      <c r="G327" s="16"/>
      <c r="H327" s="16" t="s">
        <v>1119</v>
      </c>
      <c r="I327" s="16"/>
      <c r="J327" s="16">
        <v>4105</v>
      </c>
      <c r="K327" s="18" t="str">
        <f>HYPERLINK("mailto:pwhincup@sgul.ac.uk", "contact")</f>
        <v>contact</v>
      </c>
    </row>
    <row r="328" spans="1:11" x14ac:dyDescent="0.25">
      <c r="A328" s="13" t="s">
        <v>1120</v>
      </c>
      <c r="B328" s="13" t="s">
        <v>1106</v>
      </c>
      <c r="C328" s="13" t="s">
        <v>1075</v>
      </c>
      <c r="D328" s="13" t="s">
        <v>1121</v>
      </c>
      <c r="E328" s="16" t="s">
        <v>13</v>
      </c>
      <c r="F328" s="16" t="s">
        <v>12</v>
      </c>
      <c r="G328" s="16" t="s">
        <v>1119</v>
      </c>
      <c r="H328" s="16"/>
      <c r="I328" s="16">
        <v>3909</v>
      </c>
      <c r="J328" s="16"/>
      <c r="K328" s="18" t="str">
        <f>HYPERLINK("mailto:r.providencia@ucl.ac.uk", "contact")</f>
        <v>contact</v>
      </c>
    </row>
    <row r="329" spans="1:11" x14ac:dyDescent="0.25">
      <c r="A329" s="13" t="s">
        <v>1122</v>
      </c>
      <c r="B329" s="13" t="s">
        <v>1106</v>
      </c>
      <c r="C329" s="13" t="s">
        <v>1123</v>
      </c>
      <c r="D329" s="13" t="s">
        <v>1124</v>
      </c>
      <c r="E329" s="16" t="s">
        <v>53</v>
      </c>
      <c r="F329" s="16" t="s">
        <v>12</v>
      </c>
      <c r="G329" s="16" t="s">
        <v>1125</v>
      </c>
      <c r="H329" s="16" t="s">
        <v>1125</v>
      </c>
      <c r="I329" s="16">
        <v>1418</v>
      </c>
      <c r="J329" s="16">
        <v>1579</v>
      </c>
      <c r="K329" s="18" t="str">
        <f>HYPERLINK("mailto:emd@mrc.soton.ac.uk", "contact")</f>
        <v>contact</v>
      </c>
    </row>
    <row r="330" spans="1:11" x14ac:dyDescent="0.25">
      <c r="A330" s="13" t="s">
        <v>1126</v>
      </c>
      <c r="B330" s="13" t="s">
        <v>1106</v>
      </c>
      <c r="C330" s="13" t="s">
        <v>471</v>
      </c>
      <c r="D330" s="13" t="s">
        <v>472</v>
      </c>
      <c r="E330" s="16" t="s">
        <v>41</v>
      </c>
      <c r="F330" s="16" t="s">
        <v>12</v>
      </c>
      <c r="G330" s="16"/>
      <c r="H330" s="16" t="s">
        <v>473</v>
      </c>
      <c r="I330" s="16"/>
      <c r="J330" s="16">
        <v>389</v>
      </c>
      <c r="K330" s="18" t="str">
        <f>HYPERLINK("mailto:frederick.wu@manchester.ac.uk", "contact")</f>
        <v>contact</v>
      </c>
    </row>
    <row r="331" spans="1:11" x14ac:dyDescent="0.25">
      <c r="A331" s="13" t="s">
        <v>1127</v>
      </c>
      <c r="B331" s="13" t="s">
        <v>1106</v>
      </c>
      <c r="C331" s="13" t="s">
        <v>471</v>
      </c>
      <c r="D331" s="13" t="s">
        <v>1128</v>
      </c>
      <c r="E331" s="16" t="s">
        <v>13</v>
      </c>
      <c r="F331" s="16" t="s">
        <v>12</v>
      </c>
      <c r="G331" s="16" t="s">
        <v>394</v>
      </c>
      <c r="H331" s="16" t="s">
        <v>394</v>
      </c>
      <c r="I331" s="16">
        <v>7823</v>
      </c>
      <c r="J331" s="16">
        <v>6408</v>
      </c>
      <c r="K331" s="18" t="str">
        <f>HYPERLINK("https://beta.ukdataservice.ac.uk/datacatalogue/series/series?id=2000021#!/access-data", "website")</f>
        <v>website</v>
      </c>
    </row>
    <row r="332" spans="1:11" x14ac:dyDescent="0.25">
      <c r="A332" s="13" t="s">
        <v>1129</v>
      </c>
      <c r="B332" s="13" t="s">
        <v>1106</v>
      </c>
      <c r="C332" s="13" t="s">
        <v>471</v>
      </c>
      <c r="D332" s="13" t="s">
        <v>1130</v>
      </c>
      <c r="E332" s="16" t="s">
        <v>53</v>
      </c>
      <c r="F332" s="16" t="s">
        <v>12</v>
      </c>
      <c r="G332" s="16" t="s">
        <v>394</v>
      </c>
      <c r="H332" s="16" t="s">
        <v>394</v>
      </c>
      <c r="I332" s="16">
        <v>4370</v>
      </c>
      <c r="J332" s="16">
        <v>3497</v>
      </c>
      <c r="K332" s="18" t="str">
        <f>HYPERLINK("https://scotland.shinyapps.io/sg-scottish-health-survey/", "website")</f>
        <v>website</v>
      </c>
    </row>
    <row r="333" spans="1:11" x14ac:dyDescent="0.25">
      <c r="A333" s="13" t="s">
        <v>1131</v>
      </c>
      <c r="B333" s="13" t="s">
        <v>1106</v>
      </c>
      <c r="C333" s="13" t="s">
        <v>546</v>
      </c>
      <c r="D333" s="13" t="s">
        <v>1132</v>
      </c>
      <c r="E333" s="16" t="s">
        <v>53</v>
      </c>
      <c r="F333" s="16" t="s">
        <v>12</v>
      </c>
      <c r="G333" s="16" t="s">
        <v>1133</v>
      </c>
      <c r="H333" s="16" t="s">
        <v>1133</v>
      </c>
      <c r="I333" s="16">
        <v>151</v>
      </c>
      <c r="J333" s="16">
        <v>208</v>
      </c>
      <c r="K333" s="18" t="str">
        <f>HYPERLINK("mailto:lw@mrc.soton.ac.uk", "contact")</f>
        <v>contact</v>
      </c>
    </row>
    <row r="334" spans="1:11" x14ac:dyDescent="0.25">
      <c r="A334" s="13" t="s">
        <v>1134</v>
      </c>
      <c r="B334" s="13" t="s">
        <v>1106</v>
      </c>
      <c r="C334" s="13" t="s">
        <v>396</v>
      </c>
      <c r="D334" s="13" t="s">
        <v>1135</v>
      </c>
      <c r="E334" s="16" t="s">
        <v>13</v>
      </c>
      <c r="F334" s="16" t="s">
        <v>12</v>
      </c>
      <c r="G334" s="16" t="s">
        <v>1136</v>
      </c>
      <c r="H334" s="16" t="s">
        <v>1136</v>
      </c>
      <c r="I334" s="16">
        <v>3715</v>
      </c>
      <c r="J334" s="16">
        <v>3153</v>
      </c>
      <c r="K334" s="18" t="str">
        <f>HYPERLINK("mailto:ncdrisc@imperial.ac.uk", "contact")</f>
        <v>contact</v>
      </c>
    </row>
    <row r="335" spans="1:11" x14ac:dyDescent="0.25">
      <c r="A335" s="13" t="s">
        <v>1137</v>
      </c>
      <c r="B335" s="13" t="s">
        <v>1106</v>
      </c>
      <c r="C335" s="13" t="s">
        <v>628</v>
      </c>
      <c r="D335" s="13" t="s">
        <v>1128</v>
      </c>
      <c r="E335" s="16" t="s">
        <v>13</v>
      </c>
      <c r="F335" s="16" t="s">
        <v>12</v>
      </c>
      <c r="G335" s="16" t="s">
        <v>531</v>
      </c>
      <c r="H335" s="16" t="s">
        <v>531</v>
      </c>
      <c r="I335" s="16">
        <v>2372</v>
      </c>
      <c r="J335" s="16">
        <v>1897</v>
      </c>
      <c r="K335" s="18" t="str">
        <f>HYPERLINK("https://beta.ukdataservice.ac.uk/datacatalogue/series/series?id=2000021#!/access-data", "website")</f>
        <v>website</v>
      </c>
    </row>
    <row r="336" spans="1:11" x14ac:dyDescent="0.25">
      <c r="A336" s="13" t="s">
        <v>1138</v>
      </c>
      <c r="B336" s="13" t="s">
        <v>1106</v>
      </c>
      <c r="C336" s="13" t="s">
        <v>496</v>
      </c>
      <c r="D336" s="13" t="s">
        <v>1128</v>
      </c>
      <c r="E336" s="16" t="s">
        <v>13</v>
      </c>
      <c r="F336" s="16" t="s">
        <v>12</v>
      </c>
      <c r="G336" s="16" t="s">
        <v>394</v>
      </c>
      <c r="H336" s="16" t="s">
        <v>394</v>
      </c>
      <c r="I336" s="16">
        <v>6561</v>
      </c>
      <c r="J336" s="16">
        <v>5444</v>
      </c>
      <c r="K336" s="18" t="str">
        <f>HYPERLINK("https://beta.ukdataservice.ac.uk/datacatalogue/series/series?id=2000021#!/access-data", "website")</f>
        <v>website</v>
      </c>
    </row>
    <row r="337" spans="1:11" x14ac:dyDescent="0.25">
      <c r="A337" s="13" t="s">
        <v>1139</v>
      </c>
      <c r="B337" s="13" t="s">
        <v>1106</v>
      </c>
      <c r="C337" s="13" t="s">
        <v>706</v>
      </c>
      <c r="D337" s="13" t="s">
        <v>1140</v>
      </c>
      <c r="E337" s="16" t="s">
        <v>41</v>
      </c>
      <c r="F337" s="16" t="s">
        <v>40</v>
      </c>
      <c r="G337" s="16" t="s">
        <v>1141</v>
      </c>
      <c r="H337" s="16" t="s">
        <v>1141</v>
      </c>
      <c r="I337" s="16">
        <v>431</v>
      </c>
      <c r="J337" s="16">
        <v>283</v>
      </c>
      <c r="K337" s="18" t="str">
        <f>HYPERLINK("mailto:a.l.robinson@newcastle.ac.uk", "contact")</f>
        <v>contact</v>
      </c>
    </row>
    <row r="338" spans="1:11" x14ac:dyDescent="0.25">
      <c r="A338" s="13" t="s">
        <v>1142</v>
      </c>
      <c r="B338" s="13" t="s">
        <v>1106</v>
      </c>
      <c r="C338" s="13" t="s">
        <v>479</v>
      </c>
      <c r="D338" s="13" t="s">
        <v>472</v>
      </c>
      <c r="E338" s="16" t="s">
        <v>41</v>
      </c>
      <c r="F338" s="16" t="s">
        <v>12</v>
      </c>
      <c r="G338" s="16"/>
      <c r="H338" s="16" t="s">
        <v>480</v>
      </c>
      <c r="I338" s="16"/>
      <c r="J338" s="16">
        <v>335</v>
      </c>
      <c r="K338" s="18" t="str">
        <f>HYPERLINK("mailto:frederick.wu@manchester.ac.uk", "contact")</f>
        <v>contact</v>
      </c>
    </row>
    <row r="339" spans="1:11" x14ac:dyDescent="0.25">
      <c r="A339" s="13" t="s">
        <v>1143</v>
      </c>
      <c r="B339" s="13" t="s">
        <v>1106</v>
      </c>
      <c r="C339" s="13" t="s">
        <v>479</v>
      </c>
      <c r="D339" s="13" t="s">
        <v>1128</v>
      </c>
      <c r="E339" s="16" t="s">
        <v>13</v>
      </c>
      <c r="F339" s="16" t="s">
        <v>12</v>
      </c>
      <c r="G339" s="16" t="s">
        <v>394</v>
      </c>
      <c r="H339" s="16" t="s">
        <v>394</v>
      </c>
      <c r="I339" s="16">
        <v>7960</v>
      </c>
      <c r="J339" s="16">
        <v>6550</v>
      </c>
      <c r="K339" s="18" t="str">
        <f>HYPERLINK("https://beta.ukdataservice.ac.uk/datacatalogue/series/series?id=2000021#!/access-data", "website")</f>
        <v>website</v>
      </c>
    </row>
    <row r="340" spans="1:11" x14ac:dyDescent="0.25">
      <c r="A340" s="13" t="s">
        <v>1144</v>
      </c>
      <c r="B340" s="13" t="s">
        <v>1106</v>
      </c>
      <c r="C340" s="13" t="s">
        <v>612</v>
      </c>
      <c r="D340" s="13" t="s">
        <v>1140</v>
      </c>
      <c r="E340" s="16" t="s">
        <v>41</v>
      </c>
      <c r="F340" s="16" t="s">
        <v>40</v>
      </c>
      <c r="G340" s="16" t="s">
        <v>1145</v>
      </c>
      <c r="H340" s="16" t="s">
        <v>1145</v>
      </c>
      <c r="I340" s="16">
        <v>311</v>
      </c>
      <c r="J340" s="16">
        <v>187</v>
      </c>
      <c r="K340" s="18" t="str">
        <f>HYPERLINK("mailto:a.l.robinson@newcastle.ac.uk", "contact")</f>
        <v>contact</v>
      </c>
    </row>
    <row r="341" spans="1:11" x14ac:dyDescent="0.25">
      <c r="A341" s="13" t="s">
        <v>1146</v>
      </c>
      <c r="B341" s="13" t="s">
        <v>1106</v>
      </c>
      <c r="C341" s="13" t="s">
        <v>479</v>
      </c>
      <c r="D341" s="13" t="s">
        <v>1130</v>
      </c>
      <c r="E341" s="16" t="s">
        <v>53</v>
      </c>
      <c r="F341" s="16" t="s">
        <v>12</v>
      </c>
      <c r="G341" s="16" t="s">
        <v>394</v>
      </c>
      <c r="H341" s="16" t="s">
        <v>394</v>
      </c>
      <c r="I341" s="16">
        <v>3475</v>
      </c>
      <c r="J341" s="16">
        <v>2772</v>
      </c>
      <c r="K341" s="18" t="str">
        <f>HYPERLINK("https://scotland.shinyapps.io/sg-scottish-health-survey/", "website")</f>
        <v>website</v>
      </c>
    </row>
    <row r="342" spans="1:11" x14ac:dyDescent="0.25">
      <c r="A342" s="13" t="s">
        <v>1147</v>
      </c>
      <c r="B342" s="13" t="s">
        <v>1106</v>
      </c>
      <c r="C342" s="13" t="s">
        <v>712</v>
      </c>
      <c r="D342" s="13" t="s">
        <v>1148</v>
      </c>
      <c r="E342" s="16" t="s">
        <v>13</v>
      </c>
      <c r="F342" s="16" t="s">
        <v>12</v>
      </c>
      <c r="G342" s="16" t="s">
        <v>724</v>
      </c>
      <c r="H342" s="16" t="s">
        <v>724</v>
      </c>
      <c r="I342" s="16">
        <v>4499</v>
      </c>
      <c r="J342" s="16">
        <v>3674</v>
      </c>
      <c r="K342" s="18" t="str">
        <f>HYPERLINK("mailto:ncdrisc@imperial.ac.uk", "contact")</f>
        <v>contact</v>
      </c>
    </row>
    <row r="343" spans="1:11" x14ac:dyDescent="0.25">
      <c r="A343" s="13" t="s">
        <v>1149</v>
      </c>
      <c r="B343" s="13" t="s">
        <v>1106</v>
      </c>
      <c r="C343" s="13" t="s">
        <v>639</v>
      </c>
      <c r="D343" s="13" t="s">
        <v>1128</v>
      </c>
      <c r="E343" s="16" t="s">
        <v>13</v>
      </c>
      <c r="F343" s="16" t="s">
        <v>12</v>
      </c>
      <c r="G343" s="16" t="s">
        <v>394</v>
      </c>
      <c r="H343" s="16" t="s">
        <v>394</v>
      </c>
      <c r="I343" s="16">
        <v>2420</v>
      </c>
      <c r="J343" s="16">
        <v>2050</v>
      </c>
      <c r="K343" s="18" t="str">
        <f>HYPERLINK("https://beta.ukdataservice.ac.uk/datacatalogue/series/series?id=2000021#!/access-data", "website")</f>
        <v>website</v>
      </c>
    </row>
    <row r="344" spans="1:11" x14ac:dyDescent="0.25">
      <c r="A344" s="13" t="s">
        <v>1150</v>
      </c>
      <c r="B344" s="13" t="s">
        <v>1106</v>
      </c>
      <c r="C344" s="13" t="s">
        <v>1151</v>
      </c>
      <c r="D344" s="13" t="s">
        <v>1152</v>
      </c>
      <c r="E344" s="16" t="s">
        <v>13</v>
      </c>
      <c r="F344" s="16" t="s">
        <v>12</v>
      </c>
      <c r="G344" s="16" t="s">
        <v>1153</v>
      </c>
      <c r="H344" s="16" t="s">
        <v>1153</v>
      </c>
      <c r="I344" s="16">
        <v>1068</v>
      </c>
      <c r="J344" s="16">
        <v>969</v>
      </c>
      <c r="K344" s="18" t="str">
        <f>HYPERLINK("mailto:andrew.wong@ucl.ac.uk", "contact")</f>
        <v>contact</v>
      </c>
    </row>
    <row r="345" spans="1:11" x14ac:dyDescent="0.25">
      <c r="A345" s="13" t="s">
        <v>1154</v>
      </c>
      <c r="B345" s="13" t="s">
        <v>1106</v>
      </c>
      <c r="C345" s="13" t="s">
        <v>639</v>
      </c>
      <c r="D345" s="13" t="s">
        <v>1130</v>
      </c>
      <c r="E345" s="16" t="s">
        <v>53</v>
      </c>
      <c r="F345" s="16" t="s">
        <v>12</v>
      </c>
      <c r="G345" s="16" t="s">
        <v>394</v>
      </c>
      <c r="H345" s="16" t="s">
        <v>394</v>
      </c>
      <c r="I345" s="16">
        <v>4089</v>
      </c>
      <c r="J345" s="16">
        <v>3226</v>
      </c>
      <c r="K345" s="18" t="str">
        <f>HYPERLINK("https://scotland.shinyapps.io/sg-scottish-health-survey/", "website")</f>
        <v>website</v>
      </c>
    </row>
    <row r="346" spans="1:11" x14ac:dyDescent="0.25">
      <c r="A346" s="13" t="s">
        <v>1155</v>
      </c>
      <c r="B346" s="13" t="s">
        <v>1106</v>
      </c>
      <c r="C346" s="13" t="s">
        <v>554</v>
      </c>
      <c r="D346" s="13" t="s">
        <v>1128</v>
      </c>
      <c r="E346" s="16" t="s">
        <v>13</v>
      </c>
      <c r="F346" s="16" t="s">
        <v>12</v>
      </c>
      <c r="G346" s="16" t="s">
        <v>394</v>
      </c>
      <c r="H346" s="16" t="s">
        <v>394</v>
      </c>
      <c r="I346" s="16">
        <v>4486</v>
      </c>
      <c r="J346" s="16">
        <v>3598</v>
      </c>
      <c r="K346" s="18" t="str">
        <f>HYPERLINK("https://beta.ukdataservice.ac.uk/datacatalogue/series/series?id=2000021#!/access-data", "website")</f>
        <v>website</v>
      </c>
    </row>
    <row r="347" spans="1:11" x14ac:dyDescent="0.25">
      <c r="A347" s="13" t="s">
        <v>1156</v>
      </c>
      <c r="B347" s="13" t="s">
        <v>1106</v>
      </c>
      <c r="C347" s="13" t="s">
        <v>864</v>
      </c>
      <c r="D347" s="13" t="s">
        <v>1157</v>
      </c>
      <c r="E347" s="16" t="s">
        <v>13</v>
      </c>
      <c r="F347" s="16" t="s">
        <v>12</v>
      </c>
      <c r="G347" s="16" t="s">
        <v>394</v>
      </c>
      <c r="H347" s="16" t="s">
        <v>394</v>
      </c>
      <c r="I347" s="16">
        <v>914</v>
      </c>
      <c r="J347" s="16">
        <v>674</v>
      </c>
      <c r="K347" s="18" t="str">
        <f>HYPERLINK("https://beta.ukdataservice.ac.uk/datacatalogue/studies/study?id=6533#!/access-data", "website")</f>
        <v>website</v>
      </c>
    </row>
    <row r="348" spans="1:11" x14ac:dyDescent="0.25">
      <c r="A348" s="13" t="s">
        <v>1158</v>
      </c>
      <c r="B348" s="13" t="s">
        <v>1106</v>
      </c>
      <c r="C348" s="13" t="s">
        <v>670</v>
      </c>
      <c r="D348" s="13" t="s">
        <v>1140</v>
      </c>
      <c r="E348" s="16" t="s">
        <v>41</v>
      </c>
      <c r="F348" s="16" t="s">
        <v>40</v>
      </c>
      <c r="G348" s="16" t="s">
        <v>1145</v>
      </c>
      <c r="H348" s="16" t="s">
        <v>1145</v>
      </c>
      <c r="I348" s="16">
        <v>258</v>
      </c>
      <c r="J348" s="16">
        <v>160</v>
      </c>
      <c r="K348" s="18" t="str">
        <f>HYPERLINK("mailto:a.l.robinson@newcastle.ac.uk", "contact")</f>
        <v>contact</v>
      </c>
    </row>
    <row r="349" spans="1:11" x14ac:dyDescent="0.25">
      <c r="A349" s="13" t="s">
        <v>1159</v>
      </c>
      <c r="B349" s="13" t="s">
        <v>1106</v>
      </c>
      <c r="C349" s="13" t="s">
        <v>554</v>
      </c>
      <c r="D349" s="13" t="s">
        <v>1130</v>
      </c>
      <c r="E349" s="16" t="s">
        <v>53</v>
      </c>
      <c r="F349" s="16" t="s">
        <v>12</v>
      </c>
      <c r="G349" s="16" t="s">
        <v>394</v>
      </c>
      <c r="H349" s="16" t="s">
        <v>394</v>
      </c>
      <c r="I349" s="16">
        <v>3981</v>
      </c>
      <c r="J349" s="16">
        <v>3047</v>
      </c>
      <c r="K349" s="18" t="str">
        <f>HYPERLINK("https://scotland.shinyapps.io/sg-scottish-health-survey/", "website")</f>
        <v>website</v>
      </c>
    </row>
    <row r="350" spans="1:11" x14ac:dyDescent="0.25">
      <c r="A350" s="13" t="s">
        <v>1160</v>
      </c>
      <c r="B350" s="13" t="s">
        <v>1106</v>
      </c>
      <c r="C350" s="13" t="s">
        <v>554</v>
      </c>
      <c r="D350" s="13" t="s">
        <v>1161</v>
      </c>
      <c r="E350" s="16" t="s">
        <v>13</v>
      </c>
      <c r="F350" s="16" t="s">
        <v>12</v>
      </c>
      <c r="G350" s="16" t="s">
        <v>394</v>
      </c>
      <c r="H350" s="16" t="s">
        <v>394</v>
      </c>
      <c r="I350" s="16">
        <v>4709</v>
      </c>
      <c r="J350" s="16">
        <v>3716</v>
      </c>
      <c r="K350" s="18" t="str">
        <f>HYPERLINK("mailto:mkumari@essex.ac.uk", "contact")</f>
        <v>contact</v>
      </c>
    </row>
    <row r="351" spans="1:11" x14ac:dyDescent="0.25">
      <c r="A351" s="13" t="s">
        <v>1162</v>
      </c>
      <c r="B351" s="13" t="s">
        <v>1106</v>
      </c>
      <c r="C351" s="13" t="s">
        <v>499</v>
      </c>
      <c r="D351" s="13" t="s">
        <v>1163</v>
      </c>
      <c r="E351" s="16" t="s">
        <v>13</v>
      </c>
      <c r="F351" s="16" t="s">
        <v>12</v>
      </c>
      <c r="G351" s="16" t="s">
        <v>394</v>
      </c>
      <c r="H351" s="16" t="s">
        <v>394</v>
      </c>
      <c r="I351" s="16">
        <v>1385</v>
      </c>
      <c r="J351" s="16">
        <v>1157</v>
      </c>
      <c r="K351" s="18" t="str">
        <f>HYPERLINK("mailto:mkumari@essex.ac.uk", "contact")</f>
        <v>contact</v>
      </c>
    </row>
    <row r="352" spans="1:11" x14ac:dyDescent="0.25">
      <c r="A352" s="13" t="s">
        <v>1164</v>
      </c>
      <c r="B352" s="13" t="s">
        <v>1106</v>
      </c>
      <c r="C352" s="13" t="s">
        <v>460</v>
      </c>
      <c r="D352" s="13" t="s">
        <v>1118</v>
      </c>
      <c r="E352" s="16" t="s">
        <v>13</v>
      </c>
      <c r="F352" s="16" t="s">
        <v>40</v>
      </c>
      <c r="G352" s="16"/>
      <c r="H352" s="16" t="s">
        <v>1165</v>
      </c>
      <c r="I352" s="16"/>
      <c r="J352" s="16">
        <v>1671</v>
      </c>
      <c r="K352" s="18" t="str">
        <f>HYPERLINK("mailto:g.wannamethee@ucl.ac.uk", "contact")</f>
        <v>contact</v>
      </c>
    </row>
    <row r="353" spans="1:11" x14ac:dyDescent="0.25">
      <c r="A353" s="13" t="s">
        <v>1166</v>
      </c>
      <c r="B353" s="13" t="s">
        <v>1106</v>
      </c>
      <c r="C353" s="13" t="s">
        <v>499</v>
      </c>
      <c r="D353" s="13" t="s">
        <v>1128</v>
      </c>
      <c r="E353" s="16" t="s">
        <v>13</v>
      </c>
      <c r="F353" s="16" t="s">
        <v>12</v>
      </c>
      <c r="G353" s="16" t="s">
        <v>394</v>
      </c>
      <c r="H353" s="16" t="s">
        <v>394</v>
      </c>
      <c r="I353" s="16">
        <v>4584</v>
      </c>
      <c r="J353" s="16">
        <v>3725</v>
      </c>
      <c r="K353" s="18" t="str">
        <f>HYPERLINK("https://beta.ukdataservice.ac.uk/datacatalogue/series/series?id=2000021#!/access-data", "website")</f>
        <v>website</v>
      </c>
    </row>
    <row r="354" spans="1:11" x14ac:dyDescent="0.25">
      <c r="A354" s="13" t="s">
        <v>1167</v>
      </c>
      <c r="B354" s="13" t="s">
        <v>1106</v>
      </c>
      <c r="C354" s="13" t="s">
        <v>499</v>
      </c>
      <c r="D354" s="13" t="s">
        <v>1130</v>
      </c>
      <c r="E354" s="16" t="s">
        <v>53</v>
      </c>
      <c r="F354" s="16" t="s">
        <v>12</v>
      </c>
      <c r="G354" s="16" t="s">
        <v>394</v>
      </c>
      <c r="H354" s="16" t="s">
        <v>394</v>
      </c>
      <c r="I354" s="16">
        <v>4093</v>
      </c>
      <c r="J354" s="16">
        <v>3219</v>
      </c>
      <c r="K354" s="18" t="str">
        <f>HYPERLINK("https://scotland.shinyapps.io/sg-scottish-health-survey/", "website")</f>
        <v>website</v>
      </c>
    </row>
    <row r="355" spans="1:11" x14ac:dyDescent="0.25">
      <c r="A355" s="13" t="s">
        <v>1168</v>
      </c>
      <c r="B355" s="13" t="s">
        <v>1106</v>
      </c>
      <c r="C355" s="13" t="s">
        <v>439</v>
      </c>
      <c r="D355" s="13" t="s">
        <v>1128</v>
      </c>
      <c r="E355" s="16" t="s">
        <v>13</v>
      </c>
      <c r="F355" s="16" t="s">
        <v>12</v>
      </c>
      <c r="G355" s="16" t="s">
        <v>394</v>
      </c>
      <c r="H355" s="16" t="s">
        <v>394</v>
      </c>
      <c r="I355" s="16">
        <v>4447</v>
      </c>
      <c r="J355" s="16">
        <v>3580</v>
      </c>
      <c r="K355" s="18" t="str">
        <f>HYPERLINK("https://beta.ukdataservice.ac.uk/datacatalogue/series/series?id=2000021#!/access-data", "website")</f>
        <v>website</v>
      </c>
    </row>
    <row r="356" spans="1:11" x14ac:dyDescent="0.25">
      <c r="A356" s="13" t="s">
        <v>1169</v>
      </c>
      <c r="B356" s="13" t="s">
        <v>1106</v>
      </c>
      <c r="C356" s="13" t="s">
        <v>562</v>
      </c>
      <c r="D356" s="13" t="s">
        <v>1170</v>
      </c>
      <c r="E356" s="16" t="s">
        <v>13</v>
      </c>
      <c r="F356" s="16" t="s">
        <v>12</v>
      </c>
      <c r="G356" s="16" t="s">
        <v>724</v>
      </c>
      <c r="H356" s="16" t="s">
        <v>724</v>
      </c>
      <c r="I356" s="16">
        <v>4874</v>
      </c>
      <c r="J356" s="16">
        <v>3945</v>
      </c>
      <c r="K356" s="18" t="str">
        <f>HYPERLINK("mailto:ncdrisc@imperial.ac.uk", "contact")</f>
        <v>contact</v>
      </c>
    </row>
    <row r="357" spans="1:11" x14ac:dyDescent="0.25">
      <c r="A357" s="13" t="s">
        <v>1171</v>
      </c>
      <c r="B357" s="13" t="s">
        <v>1106</v>
      </c>
      <c r="C357" s="13" t="s">
        <v>490</v>
      </c>
      <c r="D357" s="13" t="s">
        <v>1128</v>
      </c>
      <c r="E357" s="16" t="s">
        <v>13</v>
      </c>
      <c r="F357" s="16" t="s">
        <v>12</v>
      </c>
      <c r="G357" s="16" t="s">
        <v>394</v>
      </c>
      <c r="H357" s="16" t="s">
        <v>394</v>
      </c>
      <c r="I357" s="16">
        <v>4653</v>
      </c>
      <c r="J357" s="16">
        <v>3815</v>
      </c>
      <c r="K357" s="18" t="str">
        <f>HYPERLINK("https://beta.ukdataservice.ac.uk/datacatalogue/series/series?id=2000021#!/access-data", "website")</f>
        <v>website</v>
      </c>
    </row>
    <row r="358" spans="1:11" x14ac:dyDescent="0.25">
      <c r="A358" s="13" t="s">
        <v>1172</v>
      </c>
      <c r="B358" s="13" t="s">
        <v>1106</v>
      </c>
      <c r="C358" s="13" t="s">
        <v>600</v>
      </c>
      <c r="D358" s="13" t="s">
        <v>1128</v>
      </c>
      <c r="E358" s="16" t="s">
        <v>13</v>
      </c>
      <c r="F358" s="16" t="s">
        <v>12</v>
      </c>
      <c r="G358" s="16" t="s">
        <v>394</v>
      </c>
      <c r="H358" s="16" t="s">
        <v>394</v>
      </c>
      <c r="I358" s="16">
        <v>4308</v>
      </c>
      <c r="J358" s="16">
        <v>3485</v>
      </c>
      <c r="K358" s="18" t="str">
        <f>HYPERLINK("https://beta.ukdataservice.ac.uk/datacatalogue/series/series?id=2000021#!/access-data", "website")</f>
        <v>website</v>
      </c>
    </row>
    <row r="359" spans="1:11" x14ac:dyDescent="0.25">
      <c r="A359" s="13" t="s">
        <v>1173</v>
      </c>
      <c r="B359" s="13" t="s">
        <v>1106</v>
      </c>
      <c r="C359" s="13" t="s">
        <v>386</v>
      </c>
      <c r="D359" s="13" t="s">
        <v>1157</v>
      </c>
      <c r="E359" s="16" t="s">
        <v>13</v>
      </c>
      <c r="F359" s="16" t="s">
        <v>12</v>
      </c>
      <c r="G359" s="16" t="s">
        <v>394</v>
      </c>
      <c r="H359" s="16" t="s">
        <v>394</v>
      </c>
      <c r="I359" s="16">
        <v>407</v>
      </c>
      <c r="J359" s="16">
        <v>281</v>
      </c>
      <c r="K359" s="18" t="str">
        <f>HYPERLINK("https://beta.ukdataservice.ac.uk/datacatalogue/studies/study?id=6533#!/access-data", "website")</f>
        <v>website</v>
      </c>
    </row>
    <row r="360" spans="1:11" x14ac:dyDescent="0.25">
      <c r="A360" s="13" t="s">
        <v>1174</v>
      </c>
      <c r="B360" s="13" t="s">
        <v>1106</v>
      </c>
      <c r="C360" s="13" t="s">
        <v>489</v>
      </c>
      <c r="D360" s="13" t="s">
        <v>1128</v>
      </c>
      <c r="E360" s="16" t="s">
        <v>13</v>
      </c>
      <c r="F360" s="16" t="s">
        <v>12</v>
      </c>
      <c r="G360" s="16" t="s">
        <v>394</v>
      </c>
      <c r="H360" s="16" t="s">
        <v>394</v>
      </c>
      <c r="I360" s="16">
        <v>4290</v>
      </c>
      <c r="J360" s="16">
        <v>3503</v>
      </c>
      <c r="K360" s="18" t="str">
        <f>HYPERLINK("https://beta.ukdataservice.ac.uk/datacatalogue/series/series?id=2000021#!/access-data", "website")</f>
        <v>website</v>
      </c>
    </row>
    <row r="361" spans="1:11" x14ac:dyDescent="0.25">
      <c r="A361" s="13" t="s">
        <v>1175</v>
      </c>
      <c r="B361" s="13" t="s">
        <v>1106</v>
      </c>
      <c r="C361" s="13" t="s">
        <v>489</v>
      </c>
      <c r="D361" s="13" t="s">
        <v>1152</v>
      </c>
      <c r="E361" s="16" t="s">
        <v>13</v>
      </c>
      <c r="F361" s="16" t="s">
        <v>12</v>
      </c>
      <c r="G361" s="16" t="s">
        <v>1176</v>
      </c>
      <c r="H361" s="16" t="s">
        <v>1176</v>
      </c>
      <c r="I361" s="16">
        <v>1016</v>
      </c>
      <c r="J361" s="16">
        <v>949</v>
      </c>
      <c r="K361" s="18" t="str">
        <f>HYPERLINK("mailto:andrew.wong@ucl.ac.uk", "contact")</f>
        <v>contact</v>
      </c>
    </row>
    <row r="362" spans="1:11" x14ac:dyDescent="0.25">
      <c r="A362" s="13" t="s">
        <v>1177</v>
      </c>
      <c r="B362" s="13" t="s">
        <v>1106</v>
      </c>
      <c r="C362" s="13" t="s">
        <v>404</v>
      </c>
      <c r="D362" s="13" t="s">
        <v>1128</v>
      </c>
      <c r="E362" s="16" t="s">
        <v>13</v>
      </c>
      <c r="F362" s="16" t="s">
        <v>12</v>
      </c>
      <c r="G362" s="16" t="s">
        <v>394</v>
      </c>
      <c r="H362" s="16" t="s">
        <v>394</v>
      </c>
      <c r="I362" s="16">
        <v>4274</v>
      </c>
      <c r="J362" s="16">
        <v>3461</v>
      </c>
      <c r="K362" s="18" t="str">
        <f>HYPERLINK("https://beta.ukdataservice.ac.uk/datacatalogue/series/series?id=2000021#!/access-data", "website")</f>
        <v>website</v>
      </c>
    </row>
    <row r="363" spans="1:11" x14ac:dyDescent="0.25">
      <c r="A363" s="13" t="s">
        <v>1178</v>
      </c>
      <c r="B363" s="13" t="s">
        <v>1106</v>
      </c>
      <c r="C363" s="13" t="s">
        <v>580</v>
      </c>
      <c r="D363" s="13" t="s">
        <v>1157</v>
      </c>
      <c r="E363" s="16" t="s">
        <v>13</v>
      </c>
      <c r="F363" s="16" t="s">
        <v>12</v>
      </c>
      <c r="G363" s="16" t="s">
        <v>394</v>
      </c>
      <c r="H363" s="16" t="s">
        <v>394</v>
      </c>
      <c r="I363" s="16">
        <v>370</v>
      </c>
      <c r="J363" s="16">
        <v>273</v>
      </c>
      <c r="K363" s="18" t="str">
        <f>HYPERLINK("https://beta.ukdataservice.ac.uk/datacatalogue/studies/study?id=6533#!/access-data", "website")</f>
        <v>website</v>
      </c>
    </row>
    <row r="364" spans="1:11" x14ac:dyDescent="0.25">
      <c r="A364" s="13" t="s">
        <v>1179</v>
      </c>
      <c r="B364" s="13" t="s">
        <v>1106</v>
      </c>
      <c r="C364" s="13" t="s">
        <v>834</v>
      </c>
      <c r="D364" s="13" t="s">
        <v>1180</v>
      </c>
      <c r="E364" s="16" t="s">
        <v>13</v>
      </c>
      <c r="F364" s="16" t="s">
        <v>12</v>
      </c>
      <c r="G364" s="16" t="s">
        <v>1181</v>
      </c>
      <c r="H364" s="16" t="s">
        <v>1181</v>
      </c>
      <c r="I364" s="16">
        <v>4426</v>
      </c>
      <c r="J364" s="16">
        <v>4154</v>
      </c>
      <c r="K364" s="18" t="str">
        <f>HYPERLINK("mailto:ncdrisc@imperial.ac.uk", "contact")</f>
        <v>contact</v>
      </c>
    </row>
    <row r="365" spans="1:11" x14ac:dyDescent="0.25">
      <c r="A365" s="13" t="s">
        <v>1182</v>
      </c>
      <c r="B365" s="13" t="s">
        <v>1106</v>
      </c>
      <c r="C365" s="13" t="s">
        <v>516</v>
      </c>
      <c r="D365" s="13" t="s">
        <v>1183</v>
      </c>
      <c r="E365" s="16" t="s">
        <v>13</v>
      </c>
      <c r="F365" s="16" t="s">
        <v>12</v>
      </c>
      <c r="G365" s="16" t="s">
        <v>724</v>
      </c>
      <c r="H365" s="16" t="s">
        <v>724</v>
      </c>
      <c r="I365" s="16">
        <v>3650</v>
      </c>
      <c r="J365" s="16">
        <v>2891</v>
      </c>
      <c r="K365" s="18" t="str">
        <f>HYPERLINK("mailto:ncdrisc@imperial.ac.uk", "contact")</f>
        <v>contact</v>
      </c>
    </row>
    <row r="366" spans="1:11" x14ac:dyDescent="0.25">
      <c r="A366" s="13" t="s">
        <v>1184</v>
      </c>
      <c r="B366" s="13" t="s">
        <v>1106</v>
      </c>
      <c r="C366" s="13" t="s">
        <v>463</v>
      </c>
      <c r="D366" s="13" t="s">
        <v>1128</v>
      </c>
      <c r="E366" s="16" t="s">
        <v>13</v>
      </c>
      <c r="F366" s="16" t="s">
        <v>12</v>
      </c>
      <c r="G366" s="16" t="s">
        <v>394</v>
      </c>
      <c r="H366" s="16" t="s">
        <v>394</v>
      </c>
      <c r="I366" s="16">
        <v>4318</v>
      </c>
      <c r="J366" s="16">
        <v>3454</v>
      </c>
      <c r="K366" s="18" t="str">
        <f>HYPERLINK("https://beta.ukdataservice.ac.uk/datacatalogue/series/series?id=2000021#!/access-data", "website")</f>
        <v>website</v>
      </c>
    </row>
    <row r="367" spans="1:11" x14ac:dyDescent="0.25">
      <c r="A367" s="13" t="s">
        <v>1185</v>
      </c>
      <c r="B367" s="13" t="s">
        <v>1106</v>
      </c>
      <c r="C367" s="13" t="s">
        <v>379</v>
      </c>
      <c r="D367" s="13" t="s">
        <v>1128</v>
      </c>
      <c r="E367" s="16" t="s">
        <v>13</v>
      </c>
      <c r="F367" s="16" t="s">
        <v>12</v>
      </c>
      <c r="G367" s="16" t="s">
        <v>394</v>
      </c>
      <c r="H367" s="16" t="s">
        <v>394</v>
      </c>
      <c r="I367" s="16">
        <v>4347</v>
      </c>
      <c r="J367" s="16">
        <v>3576</v>
      </c>
      <c r="K367" s="18" t="str">
        <f>HYPERLINK("https://beta.ukdataservice.ac.uk/datacatalogue/series/series?id=2000021#!/access-data", "website")</f>
        <v>website</v>
      </c>
    </row>
    <row r="368" spans="1:11" x14ac:dyDescent="0.25">
      <c r="A368" s="13" t="s">
        <v>1186</v>
      </c>
      <c r="B368" s="13" t="s">
        <v>1106</v>
      </c>
      <c r="C368" s="13" t="s">
        <v>877</v>
      </c>
      <c r="D368" s="13" t="s">
        <v>1157</v>
      </c>
      <c r="E368" s="16" t="s">
        <v>13</v>
      </c>
      <c r="F368" s="16" t="s">
        <v>12</v>
      </c>
      <c r="G368" s="16" t="s">
        <v>394</v>
      </c>
      <c r="H368" s="16" t="s">
        <v>394</v>
      </c>
      <c r="I368" s="16">
        <v>318</v>
      </c>
      <c r="J368" s="16">
        <v>234</v>
      </c>
      <c r="K368" s="18" t="str">
        <f>HYPERLINK("https://beta.ukdataservice.ac.uk/datacatalogue/studies/study?id=6533#!/access-data", "website")</f>
        <v>website</v>
      </c>
    </row>
    <row r="369" spans="1:11" x14ac:dyDescent="0.25">
      <c r="A369" s="13" t="s">
        <v>1187</v>
      </c>
      <c r="B369" s="13" t="s">
        <v>1106</v>
      </c>
      <c r="C369" s="13" t="s">
        <v>486</v>
      </c>
      <c r="D369" s="13" t="s">
        <v>1188</v>
      </c>
      <c r="E369" s="16" t="s">
        <v>13</v>
      </c>
      <c r="F369" s="16" t="s">
        <v>12</v>
      </c>
      <c r="G369" s="16" t="s">
        <v>724</v>
      </c>
      <c r="H369" s="16" t="s">
        <v>724</v>
      </c>
      <c r="I369" s="16">
        <v>3981</v>
      </c>
      <c r="J369" s="16">
        <v>3053</v>
      </c>
      <c r="K369" s="18" t="str">
        <f>HYPERLINK("mailto:ncdrisc@imperial.ac.uk", "contact")</f>
        <v>contact</v>
      </c>
    </row>
    <row r="370" spans="1:11" x14ac:dyDescent="0.25">
      <c r="A370" s="13" t="s">
        <v>1189</v>
      </c>
      <c r="B370" s="13" t="s">
        <v>1106</v>
      </c>
      <c r="C370" s="13" t="s">
        <v>511</v>
      </c>
      <c r="D370" s="13" t="s">
        <v>1128</v>
      </c>
      <c r="E370" s="16" t="s">
        <v>13</v>
      </c>
      <c r="F370" s="16" t="s">
        <v>12</v>
      </c>
      <c r="G370" s="16" t="s">
        <v>394</v>
      </c>
      <c r="H370" s="16" t="s">
        <v>394</v>
      </c>
      <c r="I370" s="16">
        <v>4363</v>
      </c>
      <c r="J370" s="16">
        <v>3588</v>
      </c>
      <c r="K370" s="18" t="str">
        <f>HYPERLINK("https://beta.ukdataservice.ac.uk/datacatalogue/series/series?id=2000021#!/access-data", "website")</f>
        <v>website</v>
      </c>
    </row>
    <row r="371" spans="1:11" x14ac:dyDescent="0.25">
      <c r="A371" s="13" t="s">
        <v>1190</v>
      </c>
      <c r="B371" s="13" t="s">
        <v>1106</v>
      </c>
      <c r="C371" s="13" t="s">
        <v>511</v>
      </c>
      <c r="D371" s="13" t="s">
        <v>1191</v>
      </c>
      <c r="E371" s="16" t="s">
        <v>13</v>
      </c>
      <c r="F371" s="16" t="s">
        <v>12</v>
      </c>
      <c r="G371" s="16" t="s">
        <v>394</v>
      </c>
      <c r="H371" s="16" t="s">
        <v>394</v>
      </c>
      <c r="I371" s="16">
        <v>214</v>
      </c>
      <c r="J371" s="16">
        <v>181</v>
      </c>
      <c r="K371" s="18" t="str">
        <f>HYPERLINK("mailto:mkumari@essex.ac.uk", "contact")</f>
        <v>contact</v>
      </c>
    </row>
    <row r="372" spans="1:11" x14ac:dyDescent="0.25">
      <c r="A372" s="13" t="s">
        <v>135</v>
      </c>
      <c r="B372" s="13" t="s">
        <v>136</v>
      </c>
      <c r="C372" s="13" t="s">
        <v>554</v>
      </c>
      <c r="D372" s="13" t="s">
        <v>380</v>
      </c>
      <c r="E372" s="16" t="s">
        <v>13</v>
      </c>
      <c r="F372" s="16" t="s">
        <v>12</v>
      </c>
      <c r="G372" s="16" t="s">
        <v>708</v>
      </c>
      <c r="H372" s="16" t="s">
        <v>708</v>
      </c>
      <c r="I372" s="16">
        <v>4499</v>
      </c>
      <c r="J372" s="16">
        <v>1870</v>
      </c>
      <c r="K372" s="17" t="s">
        <v>383</v>
      </c>
    </row>
    <row r="373" spans="1:11" x14ac:dyDescent="0.25">
      <c r="A373" s="13" t="s">
        <v>137</v>
      </c>
      <c r="B373" s="13" t="s">
        <v>136</v>
      </c>
      <c r="C373" s="13" t="s">
        <v>404</v>
      </c>
      <c r="D373" s="13" t="s">
        <v>380</v>
      </c>
      <c r="E373" s="16" t="s">
        <v>13</v>
      </c>
      <c r="F373" s="16" t="s">
        <v>12</v>
      </c>
      <c r="G373" s="16" t="s">
        <v>381</v>
      </c>
      <c r="H373" s="16" t="s">
        <v>381</v>
      </c>
      <c r="I373" s="16">
        <v>2887</v>
      </c>
      <c r="J373" s="16">
        <v>1271</v>
      </c>
      <c r="K373" s="17" t="s">
        <v>383</v>
      </c>
    </row>
    <row r="374" spans="1:11" x14ac:dyDescent="0.25">
      <c r="A374" s="13" t="s">
        <v>1192</v>
      </c>
      <c r="B374" s="13" t="s">
        <v>140</v>
      </c>
      <c r="C374" s="13" t="s">
        <v>471</v>
      </c>
      <c r="D374" s="13" t="s">
        <v>1193</v>
      </c>
      <c r="E374" s="16" t="s">
        <v>41</v>
      </c>
      <c r="F374" s="16" t="s">
        <v>40</v>
      </c>
      <c r="G374" s="16" t="s">
        <v>394</v>
      </c>
      <c r="H374" s="16"/>
      <c r="I374" s="16">
        <v>3004</v>
      </c>
      <c r="J374" s="16"/>
      <c r="K374" s="18" t="str">
        <f>HYPERLINK("mailto:rarku@umass.edu", "contact")</f>
        <v>contact</v>
      </c>
    </row>
    <row r="375" spans="1:11" x14ac:dyDescent="0.25">
      <c r="A375" s="13" t="s">
        <v>139</v>
      </c>
      <c r="B375" s="13" t="s">
        <v>140</v>
      </c>
      <c r="C375" s="13" t="s">
        <v>496</v>
      </c>
      <c r="D375" s="13" t="s">
        <v>380</v>
      </c>
      <c r="E375" s="16" t="s">
        <v>41</v>
      </c>
      <c r="F375" s="16" t="s">
        <v>40</v>
      </c>
      <c r="G375" s="16" t="s">
        <v>414</v>
      </c>
      <c r="H375" s="16" t="s">
        <v>414</v>
      </c>
      <c r="I375" s="16">
        <v>1706</v>
      </c>
      <c r="J375" s="16">
        <v>887</v>
      </c>
      <c r="K375" s="17" t="s">
        <v>383</v>
      </c>
    </row>
    <row r="376" spans="1:11" x14ac:dyDescent="0.25">
      <c r="A376" s="13" t="s">
        <v>1194</v>
      </c>
      <c r="B376" s="13" t="s">
        <v>140</v>
      </c>
      <c r="C376" s="13" t="s">
        <v>1089</v>
      </c>
      <c r="D376" s="13" t="s">
        <v>1195</v>
      </c>
      <c r="E376" s="16" t="s">
        <v>53</v>
      </c>
      <c r="F376" s="16" t="s">
        <v>468</v>
      </c>
      <c r="G376" s="16" t="s">
        <v>414</v>
      </c>
      <c r="H376" s="16" t="s">
        <v>414</v>
      </c>
      <c r="I376" s="16">
        <v>679</v>
      </c>
      <c r="J376" s="16">
        <v>432</v>
      </c>
      <c r="K376" s="18" t="str">
        <f>HYPERLINK("mailto:c.o.agyemang@amc.uva.nl", "contact")</f>
        <v>contact</v>
      </c>
    </row>
    <row r="377" spans="1:11" x14ac:dyDescent="0.25">
      <c r="A377" s="13" t="s">
        <v>1196</v>
      </c>
      <c r="B377" s="13" t="s">
        <v>140</v>
      </c>
      <c r="C377" s="13" t="s">
        <v>1089</v>
      </c>
      <c r="D377" s="13" t="s">
        <v>1195</v>
      </c>
      <c r="E377" s="16" t="s">
        <v>53</v>
      </c>
      <c r="F377" s="16" t="s">
        <v>40</v>
      </c>
      <c r="G377" s="16" t="s">
        <v>414</v>
      </c>
      <c r="H377" s="16" t="s">
        <v>414</v>
      </c>
      <c r="I377" s="16">
        <v>1033</v>
      </c>
      <c r="J377" s="16">
        <v>419</v>
      </c>
      <c r="K377" s="18" t="str">
        <f>HYPERLINK("mailto:Liam.Smeeth@lshtm.ac.uk", "contact")</f>
        <v>contact</v>
      </c>
    </row>
    <row r="378" spans="1:11" x14ac:dyDescent="0.25">
      <c r="A378" s="13" t="s">
        <v>1197</v>
      </c>
      <c r="B378" s="13" t="s">
        <v>140</v>
      </c>
      <c r="C378" s="13" t="s">
        <v>1198</v>
      </c>
      <c r="D378" s="13" t="s">
        <v>380</v>
      </c>
      <c r="E378" s="16" t="s">
        <v>13</v>
      </c>
      <c r="F378" s="16" t="s">
        <v>12</v>
      </c>
      <c r="G378" s="16" t="s">
        <v>381</v>
      </c>
      <c r="H378" s="16" t="s">
        <v>381</v>
      </c>
      <c r="I378" s="16">
        <v>3251</v>
      </c>
      <c r="J378" s="16">
        <v>2022</v>
      </c>
      <c r="K378" s="17" t="s">
        <v>383</v>
      </c>
    </row>
    <row r="379" spans="1:11" x14ac:dyDescent="0.25">
      <c r="A379" s="13" t="s">
        <v>142</v>
      </c>
      <c r="B379" s="13" t="s">
        <v>143</v>
      </c>
      <c r="C379" s="13" t="s">
        <v>639</v>
      </c>
      <c r="D379" s="13" t="s">
        <v>380</v>
      </c>
      <c r="E379" s="16" t="s">
        <v>53</v>
      </c>
      <c r="F379" s="16" t="s">
        <v>12</v>
      </c>
      <c r="G379" s="16" t="s">
        <v>708</v>
      </c>
      <c r="H379" s="16" t="s">
        <v>708</v>
      </c>
      <c r="I379" s="16">
        <v>1131</v>
      </c>
      <c r="J379" s="16">
        <v>1056</v>
      </c>
      <c r="K379" s="17" t="s">
        <v>383</v>
      </c>
    </row>
    <row r="380" spans="1:11" x14ac:dyDescent="0.25">
      <c r="A380" s="13" t="s">
        <v>1199</v>
      </c>
      <c r="B380" s="13" t="s">
        <v>1200</v>
      </c>
      <c r="C380" s="13" t="s">
        <v>379</v>
      </c>
      <c r="D380" s="13" t="s">
        <v>1201</v>
      </c>
      <c r="E380" s="16" t="s">
        <v>13</v>
      </c>
      <c r="F380" s="16" t="s">
        <v>12</v>
      </c>
      <c r="G380" s="16" t="s">
        <v>507</v>
      </c>
      <c r="H380" s="16"/>
      <c r="I380" s="16">
        <v>1192</v>
      </c>
      <c r="J380" s="16"/>
      <c r="K380" s="18" t="str">
        <f>HYPERLINK("mailto:modoucheyassinphall@yahoo.com", "contact")</f>
        <v>contact</v>
      </c>
    </row>
    <row r="381" spans="1:11" x14ac:dyDescent="0.25">
      <c r="A381" s="13" t="s">
        <v>1202</v>
      </c>
      <c r="B381" s="13" t="s">
        <v>1203</v>
      </c>
      <c r="C381" s="13" t="s">
        <v>776</v>
      </c>
      <c r="D381" s="13" t="s">
        <v>1204</v>
      </c>
      <c r="E381" s="16" t="s">
        <v>41</v>
      </c>
      <c r="F381" s="16" t="s">
        <v>468</v>
      </c>
      <c r="G381" s="16" t="s">
        <v>414</v>
      </c>
      <c r="H381" s="16" t="s">
        <v>414</v>
      </c>
      <c r="I381" s="16">
        <v>103</v>
      </c>
      <c r="J381" s="16">
        <v>91</v>
      </c>
      <c r="K381" s="18" t="str">
        <f>HYPERLINK("mailto:ncdrisc@imperial.ac.uk", "contact")</f>
        <v>contact</v>
      </c>
    </row>
    <row r="382" spans="1:11" x14ac:dyDescent="0.25">
      <c r="A382" s="13" t="s">
        <v>1205</v>
      </c>
      <c r="B382" s="13" t="s">
        <v>1203</v>
      </c>
      <c r="C382" s="13" t="s">
        <v>940</v>
      </c>
      <c r="D382" s="13" t="s">
        <v>1206</v>
      </c>
      <c r="E382" s="16" t="s">
        <v>41</v>
      </c>
      <c r="F382" s="16" t="s">
        <v>40</v>
      </c>
      <c r="G382" s="16" t="s">
        <v>394</v>
      </c>
      <c r="H382" s="16" t="s">
        <v>394</v>
      </c>
      <c r="I382" s="16">
        <v>1525</v>
      </c>
      <c r="J382" s="16">
        <v>1505</v>
      </c>
      <c r="K382" s="18" t="str">
        <f>HYPERLINK("mailto:dbpanag@hua.gr", "contact")</f>
        <v>contact</v>
      </c>
    </row>
    <row r="383" spans="1:11" x14ac:dyDescent="0.25">
      <c r="A383" s="13" t="s">
        <v>1207</v>
      </c>
      <c r="B383" s="13" t="s">
        <v>1203</v>
      </c>
      <c r="C383" s="13" t="s">
        <v>496</v>
      </c>
      <c r="D383" s="13" t="s">
        <v>1208</v>
      </c>
      <c r="E383" s="16" t="s">
        <v>41</v>
      </c>
      <c r="F383" s="16" t="s">
        <v>468</v>
      </c>
      <c r="G383" s="16" t="s">
        <v>972</v>
      </c>
      <c r="H383" s="16" t="s">
        <v>972</v>
      </c>
      <c r="I383" s="16">
        <v>71</v>
      </c>
      <c r="J383" s="16">
        <v>95</v>
      </c>
      <c r="K383" s="18" t="str">
        <f>HYPERLINK("mailto:xenofontheodiridis@gmail.com", "contact")</f>
        <v>contact</v>
      </c>
    </row>
    <row r="384" spans="1:11" x14ac:dyDescent="0.25">
      <c r="A384" s="13" t="s">
        <v>1209</v>
      </c>
      <c r="B384" s="13" t="s">
        <v>1203</v>
      </c>
      <c r="C384" s="13" t="s">
        <v>771</v>
      </c>
      <c r="D384" s="13" t="s">
        <v>1210</v>
      </c>
      <c r="E384" s="16" t="s">
        <v>53</v>
      </c>
      <c r="F384" s="16" t="s">
        <v>40</v>
      </c>
      <c r="G384" s="16" t="s">
        <v>394</v>
      </c>
      <c r="H384" s="16" t="s">
        <v>394</v>
      </c>
      <c r="I384" s="16">
        <v>2265</v>
      </c>
      <c r="J384" s="16">
        <v>1559</v>
      </c>
      <c r="K384" s="18" t="str">
        <f>HYPERLINK("mailto:emagriplis@aua.gr", "contact")</f>
        <v>contact</v>
      </c>
    </row>
    <row r="385" spans="1:11" x14ac:dyDescent="0.25">
      <c r="A385" s="13" t="s">
        <v>1211</v>
      </c>
      <c r="B385" s="13" t="s">
        <v>1203</v>
      </c>
      <c r="C385" s="13" t="s">
        <v>1212</v>
      </c>
      <c r="D385" s="13" t="s">
        <v>1213</v>
      </c>
      <c r="E385" s="16" t="s">
        <v>13</v>
      </c>
      <c r="F385" s="16" t="s">
        <v>12</v>
      </c>
      <c r="G385" s="16" t="s">
        <v>394</v>
      </c>
      <c r="H385" s="16" t="s">
        <v>394</v>
      </c>
      <c r="I385" s="16">
        <v>3400</v>
      </c>
      <c r="J385" s="16">
        <v>2519</v>
      </c>
      <c r="K385" s="18" t="str">
        <f>HYPERLINK("mailto:gtouloum@med.uoa.gr", "contact")</f>
        <v>contact</v>
      </c>
    </row>
    <row r="386" spans="1:11" x14ac:dyDescent="0.25">
      <c r="A386" s="13" t="s">
        <v>1214</v>
      </c>
      <c r="B386" s="13" t="s">
        <v>1215</v>
      </c>
      <c r="C386" s="13" t="s">
        <v>1216</v>
      </c>
      <c r="D386" s="13" t="s">
        <v>1217</v>
      </c>
      <c r="E386" s="16" t="s">
        <v>13</v>
      </c>
      <c r="F386" s="16" t="s">
        <v>12</v>
      </c>
      <c r="G386" s="16" t="s">
        <v>394</v>
      </c>
      <c r="H386" s="16" t="s">
        <v>394</v>
      </c>
      <c r="I386" s="16">
        <v>1727</v>
      </c>
      <c r="J386" s="16">
        <v>1356</v>
      </c>
      <c r="K386" s="18" t="str">
        <f>HYPERLINK("mailto:pb@niph.dk; pb@sdu.dk", "contact")</f>
        <v>contact</v>
      </c>
    </row>
    <row r="387" spans="1:11" x14ac:dyDescent="0.25">
      <c r="A387" s="13" t="s">
        <v>1218</v>
      </c>
      <c r="B387" s="13" t="s">
        <v>1215</v>
      </c>
      <c r="C387" s="13" t="s">
        <v>877</v>
      </c>
      <c r="D387" s="13" t="s">
        <v>1217</v>
      </c>
      <c r="E387" s="16" t="s">
        <v>13</v>
      </c>
      <c r="F387" s="16" t="s">
        <v>12</v>
      </c>
      <c r="G387" s="16" t="s">
        <v>394</v>
      </c>
      <c r="H387" s="16" t="s">
        <v>394</v>
      </c>
      <c r="I387" s="16">
        <v>1053</v>
      </c>
      <c r="J387" s="16">
        <v>841</v>
      </c>
      <c r="K387" s="18" t="str">
        <f>HYPERLINK("mailto:cbha@sdu.dk", "contact")</f>
        <v>contact</v>
      </c>
    </row>
    <row r="388" spans="1:11" x14ac:dyDescent="0.25">
      <c r="A388" s="13" t="s">
        <v>1219</v>
      </c>
      <c r="B388" s="13" t="s">
        <v>146</v>
      </c>
      <c r="C388" s="13" t="s">
        <v>940</v>
      </c>
      <c r="D388" s="13" t="s">
        <v>521</v>
      </c>
      <c r="E388" s="16" t="s">
        <v>41</v>
      </c>
      <c r="F388" s="16" t="s">
        <v>40</v>
      </c>
      <c r="G388" s="16" t="s">
        <v>434</v>
      </c>
      <c r="H388" s="16" t="s">
        <v>434</v>
      </c>
      <c r="I388" s="16">
        <v>683</v>
      </c>
      <c r="J388" s="16">
        <v>349</v>
      </c>
      <c r="K388" s="18" t="str">
        <f>HYPERLINK("mailto:abarcelo@med.miami.edu", "contact")</f>
        <v>contact</v>
      </c>
    </row>
    <row r="389" spans="1:11" x14ac:dyDescent="0.25">
      <c r="A389" s="13" t="s">
        <v>1220</v>
      </c>
      <c r="B389" s="13" t="s">
        <v>146</v>
      </c>
      <c r="C389" s="13" t="s">
        <v>546</v>
      </c>
      <c r="D389" s="13" t="s">
        <v>1221</v>
      </c>
      <c r="E389" s="16" t="s">
        <v>41</v>
      </c>
      <c r="F389" s="16" t="s">
        <v>12</v>
      </c>
      <c r="G389" s="16" t="s">
        <v>1222</v>
      </c>
      <c r="H389" s="16" t="s">
        <v>1222</v>
      </c>
      <c r="I389" s="16">
        <v>293</v>
      </c>
      <c r="J389" s="16">
        <v>242</v>
      </c>
      <c r="K389" s="18" t="str">
        <f>HYPERLINK("mailto:rmart77@emory.edu", "contact")</f>
        <v>contact</v>
      </c>
    </row>
    <row r="390" spans="1:11" x14ac:dyDescent="0.25">
      <c r="A390" s="13" t="s">
        <v>145</v>
      </c>
      <c r="B390" s="13" t="s">
        <v>146</v>
      </c>
      <c r="C390" s="13" t="s">
        <v>489</v>
      </c>
      <c r="D390" s="13" t="s">
        <v>380</v>
      </c>
      <c r="E390" s="16" t="s">
        <v>53</v>
      </c>
      <c r="F390" s="16" t="s">
        <v>40</v>
      </c>
      <c r="G390" s="16" t="s">
        <v>394</v>
      </c>
      <c r="H390" s="16" t="s">
        <v>394</v>
      </c>
      <c r="I390" s="16">
        <v>1551</v>
      </c>
      <c r="J390" s="16">
        <v>458</v>
      </c>
      <c r="K390" s="17" t="s">
        <v>383</v>
      </c>
    </row>
    <row r="391" spans="1:11" x14ac:dyDescent="0.25">
      <c r="A391" s="13" t="s">
        <v>1223</v>
      </c>
      <c r="B391" s="13" t="s">
        <v>146</v>
      </c>
      <c r="C391" s="13" t="s">
        <v>739</v>
      </c>
      <c r="D391" s="13" t="s">
        <v>1224</v>
      </c>
      <c r="E391" s="16" t="s">
        <v>41</v>
      </c>
      <c r="F391" s="16" t="s">
        <v>12</v>
      </c>
      <c r="G391" s="16" t="s">
        <v>1225</v>
      </c>
      <c r="H391" s="16" t="s">
        <v>1225</v>
      </c>
      <c r="I391" s="16">
        <v>302</v>
      </c>
      <c r="J391" s="16">
        <v>207</v>
      </c>
      <c r="K391" s="18" t="str">
        <f>HYPERLINK("mailto:rmart77@emory.edu", "contact")</f>
        <v>contact</v>
      </c>
    </row>
    <row r="392" spans="1:11" x14ac:dyDescent="0.25">
      <c r="A392" s="13" t="s">
        <v>1226</v>
      </c>
      <c r="B392" s="13" t="s">
        <v>146</v>
      </c>
      <c r="C392" s="13" t="s">
        <v>404</v>
      </c>
      <c r="D392" s="13" t="s">
        <v>1227</v>
      </c>
      <c r="E392" s="16" t="s">
        <v>13</v>
      </c>
      <c r="F392" s="16" t="s">
        <v>12</v>
      </c>
      <c r="G392" s="16" t="s">
        <v>507</v>
      </c>
      <c r="H392" s="16"/>
      <c r="I392" s="16">
        <v>1341</v>
      </c>
      <c r="J392" s="16"/>
      <c r="K392" s="18" t="str">
        <f>HYPERLINK("mailto:ncdrisc@imperial.ac.uk", "contact")</f>
        <v>contact</v>
      </c>
    </row>
    <row r="393" spans="1:11" x14ac:dyDescent="0.25">
      <c r="A393" s="13" t="s">
        <v>1228</v>
      </c>
      <c r="B393" s="13" t="s">
        <v>146</v>
      </c>
      <c r="C393" s="13" t="s">
        <v>393</v>
      </c>
      <c r="D393" s="13" t="s">
        <v>1227</v>
      </c>
      <c r="E393" s="16" t="s">
        <v>13</v>
      </c>
      <c r="F393" s="16" t="s">
        <v>12</v>
      </c>
      <c r="G393" s="16" t="s">
        <v>507</v>
      </c>
      <c r="H393" s="16"/>
      <c r="I393" s="16">
        <v>1344</v>
      </c>
      <c r="J393" s="16"/>
      <c r="K393" s="18" t="str">
        <f>HYPERLINK("mailto:ncdrisc@imperial.ac.uk", "contact")</f>
        <v>contact</v>
      </c>
    </row>
    <row r="394" spans="1:11" x14ac:dyDescent="0.25">
      <c r="A394" s="13" t="s">
        <v>1229</v>
      </c>
      <c r="B394" s="13" t="s">
        <v>146</v>
      </c>
      <c r="C394" s="13" t="s">
        <v>486</v>
      </c>
      <c r="D394" s="13" t="s">
        <v>1230</v>
      </c>
      <c r="E394" s="16" t="s">
        <v>41</v>
      </c>
      <c r="F394" s="16" t="s">
        <v>468</v>
      </c>
      <c r="G394" s="16" t="s">
        <v>394</v>
      </c>
      <c r="H394" s="16" t="s">
        <v>394</v>
      </c>
      <c r="I394" s="16">
        <v>508</v>
      </c>
      <c r="J394" s="16">
        <v>263</v>
      </c>
      <c r="K394" s="18" t="str">
        <f>HYPERLINK("mailto:peter@wuqukawoq.org", "contact")</f>
        <v>contact</v>
      </c>
    </row>
    <row r="395" spans="1:11" x14ac:dyDescent="0.25">
      <c r="A395" s="13" t="s">
        <v>1231</v>
      </c>
      <c r="B395" s="13" t="s">
        <v>146</v>
      </c>
      <c r="C395" s="13" t="s">
        <v>486</v>
      </c>
      <c r="D395" s="13" t="s">
        <v>1227</v>
      </c>
      <c r="E395" s="16" t="s">
        <v>13</v>
      </c>
      <c r="F395" s="16" t="s">
        <v>12</v>
      </c>
      <c r="G395" s="16" t="s">
        <v>507</v>
      </c>
      <c r="H395" s="16"/>
      <c r="I395" s="16">
        <v>1489</v>
      </c>
      <c r="J395" s="16"/>
      <c r="K395" s="18" t="str">
        <f>HYPERLINK("mailto:ncdrisc@imperial.ac.uk", "contact")</f>
        <v>contact</v>
      </c>
    </row>
    <row r="396" spans="1:11" x14ac:dyDescent="0.25">
      <c r="A396" s="13" t="s">
        <v>149</v>
      </c>
      <c r="B396" s="13" t="s">
        <v>150</v>
      </c>
      <c r="C396" s="13" t="s">
        <v>404</v>
      </c>
      <c r="D396" s="13" t="s">
        <v>380</v>
      </c>
      <c r="E396" s="16" t="s">
        <v>13</v>
      </c>
      <c r="F396" s="16" t="s">
        <v>12</v>
      </c>
      <c r="G396" s="16" t="s">
        <v>381</v>
      </c>
      <c r="H396" s="16" t="s">
        <v>381</v>
      </c>
      <c r="I396" s="16">
        <v>1585</v>
      </c>
      <c r="J396" s="16">
        <v>1068</v>
      </c>
      <c r="K396" s="17" t="s">
        <v>383</v>
      </c>
    </row>
    <row r="397" spans="1:11" x14ac:dyDescent="0.25">
      <c r="A397" s="13" t="s">
        <v>1232</v>
      </c>
      <c r="B397" s="13" t="s">
        <v>1233</v>
      </c>
      <c r="C397" s="13" t="s">
        <v>920</v>
      </c>
      <c r="D397" s="13" t="s">
        <v>521</v>
      </c>
      <c r="E397" s="16" t="s">
        <v>41</v>
      </c>
      <c r="F397" s="16" t="s">
        <v>40</v>
      </c>
      <c r="G397" s="16" t="s">
        <v>434</v>
      </c>
      <c r="H397" s="16" t="s">
        <v>434</v>
      </c>
      <c r="I397" s="16">
        <v>786</v>
      </c>
      <c r="J397" s="16">
        <v>435</v>
      </c>
      <c r="K397" s="18" t="str">
        <f>HYPERLINK("mailto:abarcelo@med.miami.edu", "contact")</f>
        <v>contact</v>
      </c>
    </row>
    <row r="398" spans="1:11" x14ac:dyDescent="0.25">
      <c r="A398" s="13" t="s">
        <v>1234</v>
      </c>
      <c r="B398" s="13" t="s">
        <v>1235</v>
      </c>
      <c r="C398" s="13" t="s">
        <v>479</v>
      </c>
      <c r="D398" s="13" t="s">
        <v>1236</v>
      </c>
      <c r="E398" s="16" t="s">
        <v>53</v>
      </c>
      <c r="F398" s="16" t="s">
        <v>468</v>
      </c>
      <c r="G398" s="16" t="s">
        <v>394</v>
      </c>
      <c r="H398" s="16" t="s">
        <v>394</v>
      </c>
      <c r="I398" s="16">
        <v>649</v>
      </c>
      <c r="J398" s="16">
        <v>502</v>
      </c>
      <c r="K398" s="18" t="str">
        <f>HYPERLINK("mailto:ncdrisc@imperial.ac.uk", "contact")</f>
        <v>contact</v>
      </c>
    </row>
    <row r="399" spans="1:11" x14ac:dyDescent="0.25">
      <c r="A399" s="13" t="s">
        <v>1237</v>
      </c>
      <c r="B399" s="13" t="s">
        <v>1235</v>
      </c>
      <c r="C399" s="13" t="s">
        <v>554</v>
      </c>
      <c r="D399" s="13" t="s">
        <v>1236</v>
      </c>
      <c r="E399" s="16" t="s">
        <v>53</v>
      </c>
      <c r="F399" s="16" t="s">
        <v>468</v>
      </c>
      <c r="G399" s="16" t="s">
        <v>394</v>
      </c>
      <c r="H399" s="16" t="s">
        <v>394</v>
      </c>
      <c r="I399" s="16">
        <v>401</v>
      </c>
      <c r="J399" s="16">
        <v>299</v>
      </c>
      <c r="K399" s="18" t="str">
        <f>HYPERLINK("mailto:jelakovicbojan@gmail.com", "contact")</f>
        <v>contact</v>
      </c>
    </row>
    <row r="400" spans="1:11" x14ac:dyDescent="0.25">
      <c r="A400" s="13" t="s">
        <v>1238</v>
      </c>
      <c r="B400" s="13" t="s">
        <v>1235</v>
      </c>
      <c r="C400" s="13" t="s">
        <v>489</v>
      </c>
      <c r="D400" s="13" t="s">
        <v>1239</v>
      </c>
      <c r="E400" s="16" t="s">
        <v>53</v>
      </c>
      <c r="F400" s="16" t="s">
        <v>468</v>
      </c>
      <c r="G400" s="16" t="s">
        <v>394</v>
      </c>
      <c r="H400" s="16" t="s">
        <v>394</v>
      </c>
      <c r="I400" s="16">
        <v>464</v>
      </c>
      <c r="J400" s="16">
        <v>225</v>
      </c>
      <c r="K400" s="18" t="str">
        <f>HYPERLINK("mailto:jelakovicbojan@gmail.com", "contact")</f>
        <v>contact</v>
      </c>
    </row>
    <row r="401" spans="1:11" x14ac:dyDescent="0.25">
      <c r="A401" s="13" t="s">
        <v>1240</v>
      </c>
      <c r="B401" s="13" t="s">
        <v>1235</v>
      </c>
      <c r="C401" s="13" t="s">
        <v>657</v>
      </c>
      <c r="D401" s="13" t="s">
        <v>1241</v>
      </c>
      <c r="E401" s="16" t="s">
        <v>13</v>
      </c>
      <c r="F401" s="16" t="s">
        <v>12</v>
      </c>
      <c r="G401" s="16" t="s">
        <v>394</v>
      </c>
      <c r="H401" s="16" t="s">
        <v>394</v>
      </c>
      <c r="I401" s="16">
        <v>738</v>
      </c>
      <c r="J401" s="16">
        <v>474</v>
      </c>
      <c r="K401" s="18" t="str">
        <f>HYPERLINK("mailto:jelakovicbojan@gmail.com", "contact")</f>
        <v>contact</v>
      </c>
    </row>
    <row r="402" spans="1:11" x14ac:dyDescent="0.25">
      <c r="A402" s="13" t="s">
        <v>1242</v>
      </c>
      <c r="B402" s="13" t="s">
        <v>1243</v>
      </c>
      <c r="C402" s="13" t="s">
        <v>580</v>
      </c>
      <c r="D402" s="13" t="s">
        <v>1244</v>
      </c>
      <c r="E402" s="16" t="s">
        <v>41</v>
      </c>
      <c r="F402" s="16" t="s">
        <v>40</v>
      </c>
      <c r="G402" s="16" t="s">
        <v>578</v>
      </c>
      <c r="H402" s="16" t="s">
        <v>578</v>
      </c>
      <c r="I402" s="16">
        <v>685</v>
      </c>
      <c r="J402" s="16">
        <v>474</v>
      </c>
      <c r="K402" s="18" t="str">
        <f>HYPERLINK("mailto:vincedegennaro@yahoo.com", "contact")</f>
        <v>contact</v>
      </c>
    </row>
    <row r="403" spans="1:11" x14ac:dyDescent="0.25">
      <c r="A403" s="13" t="s">
        <v>1245</v>
      </c>
      <c r="B403" s="13" t="s">
        <v>1243</v>
      </c>
      <c r="C403" s="13" t="s">
        <v>580</v>
      </c>
      <c r="D403" s="13" t="s">
        <v>1246</v>
      </c>
      <c r="E403" s="16" t="s">
        <v>41</v>
      </c>
      <c r="F403" s="16" t="s">
        <v>468</v>
      </c>
      <c r="G403" s="16" t="s">
        <v>578</v>
      </c>
      <c r="H403" s="16" t="s">
        <v>578</v>
      </c>
      <c r="I403" s="16">
        <v>423</v>
      </c>
      <c r="J403" s="16">
        <v>258</v>
      </c>
      <c r="K403" s="18" t="str">
        <f>HYPERLINK("mailto:vincedegennaro@yahoo.com", "contact")</f>
        <v>contact</v>
      </c>
    </row>
    <row r="404" spans="1:11" x14ac:dyDescent="0.25">
      <c r="A404" s="13" t="s">
        <v>1247</v>
      </c>
      <c r="B404" s="13" t="s">
        <v>1248</v>
      </c>
      <c r="C404" s="13" t="s">
        <v>1249</v>
      </c>
      <c r="D404" s="13" t="s">
        <v>1250</v>
      </c>
      <c r="E404" s="16" t="s">
        <v>41</v>
      </c>
      <c r="F404" s="16" t="s">
        <v>12</v>
      </c>
      <c r="G404" s="16" t="s">
        <v>394</v>
      </c>
      <c r="H404" s="16" t="s">
        <v>394</v>
      </c>
      <c r="I404" s="16">
        <v>13647</v>
      </c>
      <c r="J404" s="16">
        <v>10651</v>
      </c>
      <c r="K404" s="18" t="str">
        <f>HYPERLINK("mailto:ncdrisc@imperial.ac.uk", "contact")</f>
        <v>contact</v>
      </c>
    </row>
    <row r="405" spans="1:11" x14ac:dyDescent="0.25">
      <c r="A405" s="13" t="s">
        <v>1251</v>
      </c>
      <c r="B405" s="13" t="s">
        <v>1248</v>
      </c>
      <c r="C405" s="13" t="s">
        <v>471</v>
      </c>
      <c r="D405" s="13" t="s">
        <v>472</v>
      </c>
      <c r="E405" s="16" t="s">
        <v>41</v>
      </c>
      <c r="F405" s="16" t="s">
        <v>12</v>
      </c>
      <c r="G405" s="16"/>
      <c r="H405" s="16" t="s">
        <v>473</v>
      </c>
      <c r="I405" s="16"/>
      <c r="J405" s="16">
        <v>421</v>
      </c>
      <c r="K405" s="18" t="str">
        <f>HYPERLINK("mailto:ncdrisc@imperial.ac.uk", "contact")</f>
        <v>contact</v>
      </c>
    </row>
    <row r="406" spans="1:11" x14ac:dyDescent="0.25">
      <c r="A406" s="13" t="s">
        <v>1252</v>
      </c>
      <c r="B406" s="13" t="s">
        <v>1248</v>
      </c>
      <c r="C406" s="13" t="s">
        <v>479</v>
      </c>
      <c r="D406" s="13" t="s">
        <v>472</v>
      </c>
      <c r="E406" s="16" t="s">
        <v>41</v>
      </c>
      <c r="F406" s="16" t="s">
        <v>12</v>
      </c>
      <c r="G406" s="16"/>
      <c r="H406" s="16" t="s">
        <v>480</v>
      </c>
      <c r="I406" s="16"/>
      <c r="J406" s="16">
        <v>343</v>
      </c>
      <c r="K406" s="18" t="str">
        <f>HYPERLINK("mailto:ncdrisc@imperial.ac.uk", "contact")</f>
        <v>contact</v>
      </c>
    </row>
    <row r="407" spans="1:11" x14ac:dyDescent="0.25">
      <c r="A407" s="13" t="s">
        <v>1253</v>
      </c>
      <c r="B407" s="13" t="s">
        <v>1254</v>
      </c>
      <c r="C407" s="13" t="s">
        <v>776</v>
      </c>
      <c r="D407" s="13" t="s">
        <v>1255</v>
      </c>
      <c r="E407" s="16" t="s">
        <v>53</v>
      </c>
      <c r="F407" s="16" t="s">
        <v>12</v>
      </c>
      <c r="G407" s="16" t="s">
        <v>414</v>
      </c>
      <c r="H407" s="16" t="s">
        <v>414</v>
      </c>
      <c r="I407" s="16">
        <v>2186</v>
      </c>
      <c r="J407" s="16">
        <v>1895</v>
      </c>
      <c r="K407" s="18" t="str">
        <f>HYPERLINK("mailto:ncdrisc@imperial.ac.uk", "contact")</f>
        <v>contact</v>
      </c>
    </row>
    <row r="408" spans="1:11" x14ac:dyDescent="0.25">
      <c r="A408" s="13" t="s">
        <v>1256</v>
      </c>
      <c r="B408" s="13" t="s">
        <v>1254</v>
      </c>
      <c r="C408" s="13" t="s">
        <v>471</v>
      </c>
      <c r="D408" s="13" t="s">
        <v>1257</v>
      </c>
      <c r="E408" s="16" t="s">
        <v>41</v>
      </c>
      <c r="F408" s="16" t="s">
        <v>468</v>
      </c>
      <c r="G408" s="16" t="s">
        <v>614</v>
      </c>
      <c r="H408" s="16" t="s">
        <v>614</v>
      </c>
      <c r="I408" s="16">
        <v>103</v>
      </c>
      <c r="J408" s="16">
        <v>100</v>
      </c>
      <c r="K408" s="18" t="str">
        <f>HYPERLINK("mailto:tishida@bs.s.u-tokyo.ac.jp", "contact")</f>
        <v>contact</v>
      </c>
    </row>
    <row r="409" spans="1:11" x14ac:dyDescent="0.25">
      <c r="A409" s="13" t="s">
        <v>1258</v>
      </c>
      <c r="B409" s="13" t="s">
        <v>1254</v>
      </c>
      <c r="C409" s="13" t="s">
        <v>471</v>
      </c>
      <c r="D409" s="13" t="s">
        <v>1259</v>
      </c>
      <c r="E409" s="16" t="s">
        <v>41</v>
      </c>
      <c r="F409" s="16" t="s">
        <v>468</v>
      </c>
      <c r="G409" s="16" t="s">
        <v>614</v>
      </c>
      <c r="H409" s="16" t="s">
        <v>614</v>
      </c>
      <c r="I409" s="16">
        <v>140</v>
      </c>
      <c r="J409" s="16">
        <v>100</v>
      </c>
      <c r="K409" s="18" t="str">
        <f>HYPERLINK("mailto:ncdrisc@imperial.ac.uk", "contact")</f>
        <v>contact</v>
      </c>
    </row>
    <row r="410" spans="1:11" x14ac:dyDescent="0.25">
      <c r="A410" s="13" t="s">
        <v>1260</v>
      </c>
      <c r="B410" s="13" t="s">
        <v>1254</v>
      </c>
      <c r="C410" s="13" t="s">
        <v>496</v>
      </c>
      <c r="D410" s="13" t="s">
        <v>1261</v>
      </c>
      <c r="E410" s="16" t="s">
        <v>41</v>
      </c>
      <c r="F410" s="16" t="s">
        <v>40</v>
      </c>
      <c r="G410" s="16" t="s">
        <v>398</v>
      </c>
      <c r="H410" s="16" t="s">
        <v>398</v>
      </c>
      <c r="I410" s="16">
        <v>950</v>
      </c>
      <c r="J410" s="16">
        <v>641</v>
      </c>
      <c r="K410" s="18" t="str">
        <f>HYPERLINK("mailto:ncdrisc@imperial.ac.uk", "contact")</f>
        <v>contact</v>
      </c>
    </row>
    <row r="411" spans="1:11" x14ac:dyDescent="0.25">
      <c r="A411" s="13" t="s">
        <v>1262</v>
      </c>
      <c r="B411" s="13" t="s">
        <v>1254</v>
      </c>
      <c r="C411" s="13" t="s">
        <v>379</v>
      </c>
      <c r="D411" s="13" t="s">
        <v>1263</v>
      </c>
      <c r="E411" s="16" t="s">
        <v>13</v>
      </c>
      <c r="F411" s="16" t="s">
        <v>12</v>
      </c>
      <c r="G411" s="16" t="s">
        <v>394</v>
      </c>
      <c r="H411" s="16" t="s">
        <v>394</v>
      </c>
      <c r="I411" s="16">
        <v>20614</v>
      </c>
      <c r="J411" s="16">
        <v>14493</v>
      </c>
      <c r="K411" s="18" t="str">
        <f>HYPERLINK("mailto:indah_widyahening@ui.ac.id", "contact")</f>
        <v>contact</v>
      </c>
    </row>
    <row r="412" spans="1:11" x14ac:dyDescent="0.25">
      <c r="A412" s="13" t="s">
        <v>1264</v>
      </c>
      <c r="B412" s="13" t="s">
        <v>153</v>
      </c>
      <c r="C412" s="13" t="s">
        <v>421</v>
      </c>
      <c r="D412" s="13" t="s">
        <v>1265</v>
      </c>
      <c r="E412" s="16" t="s">
        <v>41</v>
      </c>
      <c r="F412" s="16" t="s">
        <v>40</v>
      </c>
      <c r="G412" s="16" t="s">
        <v>1266</v>
      </c>
      <c r="H412" s="16" t="s">
        <v>1266</v>
      </c>
      <c r="I412" s="16">
        <v>408</v>
      </c>
      <c r="J412" s="16">
        <v>438</v>
      </c>
      <c r="K412" s="18" t="str">
        <f>HYPERLINK("mailto:dr.ramachandran@ardiabetes.org", "contact")</f>
        <v>contact</v>
      </c>
    </row>
    <row r="413" spans="1:11" x14ac:dyDescent="0.25">
      <c r="A413" s="13" t="s">
        <v>1267</v>
      </c>
      <c r="B413" s="13" t="s">
        <v>153</v>
      </c>
      <c r="C413" s="13" t="s">
        <v>917</v>
      </c>
      <c r="D413" s="13" t="s">
        <v>1268</v>
      </c>
      <c r="E413" s="16" t="s">
        <v>41</v>
      </c>
      <c r="F413" s="16" t="s">
        <v>40</v>
      </c>
      <c r="G413" s="16" t="s">
        <v>1266</v>
      </c>
      <c r="H413" s="16" t="s">
        <v>1266</v>
      </c>
      <c r="I413" s="16">
        <v>710</v>
      </c>
      <c r="J413" s="16">
        <v>741</v>
      </c>
      <c r="K413" s="18" t="str">
        <f>HYPERLINK("mailto:dr.ramachandran@ardiabetes.org", "contact")</f>
        <v>contact</v>
      </c>
    </row>
    <row r="414" spans="1:11" x14ac:dyDescent="0.25">
      <c r="A414" s="13" t="s">
        <v>1269</v>
      </c>
      <c r="B414" s="13" t="s">
        <v>153</v>
      </c>
      <c r="C414" s="13" t="s">
        <v>1270</v>
      </c>
      <c r="D414" s="13" t="s">
        <v>1271</v>
      </c>
      <c r="E414" s="16" t="s">
        <v>41</v>
      </c>
      <c r="F414" s="16" t="s">
        <v>40</v>
      </c>
      <c r="G414" s="16" t="s">
        <v>434</v>
      </c>
      <c r="H414" s="16" t="s">
        <v>434</v>
      </c>
      <c r="I414" s="16">
        <v>698</v>
      </c>
      <c r="J414" s="16">
        <v>542</v>
      </c>
      <c r="K414" s="18" t="str">
        <f>HYPERLINK("mailto:drmohans@diabetes.ind.in", "contact")</f>
        <v>contact</v>
      </c>
    </row>
    <row r="415" spans="1:11" x14ac:dyDescent="0.25">
      <c r="A415" s="13" t="s">
        <v>1272</v>
      </c>
      <c r="B415" s="13" t="s">
        <v>153</v>
      </c>
      <c r="C415" s="13" t="s">
        <v>934</v>
      </c>
      <c r="D415" s="13" t="s">
        <v>685</v>
      </c>
      <c r="E415" s="16" t="s">
        <v>41</v>
      </c>
      <c r="F415" s="16" t="s">
        <v>40</v>
      </c>
      <c r="G415" s="16" t="s">
        <v>936</v>
      </c>
      <c r="H415" s="16" t="s">
        <v>936</v>
      </c>
      <c r="I415" s="16">
        <v>1322</v>
      </c>
      <c r="J415" s="16">
        <v>1297</v>
      </c>
      <c r="K415" s="18" t="str">
        <f>HYPERLINK("mailto:ncdrisc@imperial.ac.uk", "contact")</f>
        <v>contact</v>
      </c>
    </row>
    <row r="416" spans="1:11" x14ac:dyDescent="0.25">
      <c r="A416" s="13" t="s">
        <v>1273</v>
      </c>
      <c r="B416" s="13" t="s">
        <v>153</v>
      </c>
      <c r="C416" s="13" t="s">
        <v>666</v>
      </c>
      <c r="D416" s="13" t="s">
        <v>1274</v>
      </c>
      <c r="E416" s="16" t="s">
        <v>53</v>
      </c>
      <c r="F416" s="16" t="s">
        <v>40</v>
      </c>
      <c r="G416" s="16" t="s">
        <v>596</v>
      </c>
      <c r="H416" s="16" t="s">
        <v>596</v>
      </c>
      <c r="I416" s="16">
        <v>5267</v>
      </c>
      <c r="J416" s="16">
        <v>4644</v>
      </c>
      <c r="K416" s="18" t="str">
        <f>HYPERLINK("mailto:dr.ramachandran@ardiabetes.org", "contact")</f>
        <v>contact</v>
      </c>
    </row>
    <row r="417" spans="1:11" x14ac:dyDescent="0.25">
      <c r="A417" s="13" t="s">
        <v>1275</v>
      </c>
      <c r="B417" s="13" t="s">
        <v>153</v>
      </c>
      <c r="C417" s="13" t="s">
        <v>1075</v>
      </c>
      <c r="D417" s="13" t="s">
        <v>1276</v>
      </c>
      <c r="E417" s="16" t="s">
        <v>41</v>
      </c>
      <c r="F417" s="16" t="s">
        <v>40</v>
      </c>
      <c r="G417" s="16" t="s">
        <v>596</v>
      </c>
      <c r="H417" s="16" t="s">
        <v>596</v>
      </c>
      <c r="I417" s="16">
        <v>562</v>
      </c>
      <c r="J417" s="16">
        <v>485</v>
      </c>
      <c r="K417" s="18" t="str">
        <f>HYPERLINK("mailto:rajeevgg@gmail.com", "contact")</f>
        <v>contact</v>
      </c>
    </row>
    <row r="418" spans="1:11" x14ac:dyDescent="0.25">
      <c r="A418" s="13" t="s">
        <v>1277</v>
      </c>
      <c r="B418" s="13" t="s">
        <v>153</v>
      </c>
      <c r="C418" s="13" t="s">
        <v>1278</v>
      </c>
      <c r="D418" s="13" t="s">
        <v>1279</v>
      </c>
      <c r="E418" s="16" t="s">
        <v>53</v>
      </c>
      <c r="F418" s="16" t="s">
        <v>12</v>
      </c>
      <c r="G418" s="16" t="s">
        <v>1280</v>
      </c>
      <c r="H418" s="16" t="s">
        <v>1280</v>
      </c>
      <c r="I418" s="16">
        <v>1055</v>
      </c>
      <c r="J418" s="16">
        <v>1163</v>
      </c>
      <c r="K418" s="18" t="str">
        <f>HYPERLINK("mailto:b.antonisamy@gmail.com", "contact")</f>
        <v>contact</v>
      </c>
    </row>
    <row r="419" spans="1:11" x14ac:dyDescent="0.25">
      <c r="A419" s="13" t="s">
        <v>1281</v>
      </c>
      <c r="B419" s="13" t="s">
        <v>153</v>
      </c>
      <c r="C419" s="13" t="s">
        <v>1282</v>
      </c>
      <c r="D419" s="13" t="s">
        <v>1283</v>
      </c>
      <c r="E419" s="16" t="s">
        <v>41</v>
      </c>
      <c r="F419" s="16" t="s">
        <v>40</v>
      </c>
      <c r="G419" s="16" t="s">
        <v>1284</v>
      </c>
      <c r="H419" s="16" t="s">
        <v>1284</v>
      </c>
      <c r="I419" s="16">
        <v>636</v>
      </c>
      <c r="J419" s="16">
        <v>881</v>
      </c>
      <c r="K419" s="18" t="str">
        <f>HYPERLINK("mailto:hpssachdev@gmail.com", "contact")</f>
        <v>contact</v>
      </c>
    </row>
    <row r="420" spans="1:11" x14ac:dyDescent="0.25">
      <c r="A420" s="13" t="s">
        <v>1285</v>
      </c>
      <c r="B420" s="13" t="s">
        <v>153</v>
      </c>
      <c r="C420" s="13" t="s">
        <v>471</v>
      </c>
      <c r="D420" s="13" t="s">
        <v>1286</v>
      </c>
      <c r="E420" s="16" t="s">
        <v>41</v>
      </c>
      <c r="F420" s="16" t="s">
        <v>468</v>
      </c>
      <c r="G420" s="16" t="s">
        <v>869</v>
      </c>
      <c r="H420" s="16" t="s">
        <v>869</v>
      </c>
      <c r="I420" s="16">
        <v>575</v>
      </c>
      <c r="J420" s="16">
        <v>346</v>
      </c>
      <c r="K420" s="18" t="str">
        <f>HYPERLINK("mailto:ncdrisc@imperial.ac.uk", "contact")</f>
        <v>contact</v>
      </c>
    </row>
    <row r="421" spans="1:11" x14ac:dyDescent="0.25">
      <c r="A421" s="13" t="s">
        <v>1287</v>
      </c>
      <c r="B421" s="13" t="s">
        <v>153</v>
      </c>
      <c r="C421" s="13" t="s">
        <v>1026</v>
      </c>
      <c r="D421" s="13" t="s">
        <v>1288</v>
      </c>
      <c r="E421" s="16" t="s">
        <v>41</v>
      </c>
      <c r="F421" s="16" t="s">
        <v>40</v>
      </c>
      <c r="G421" s="16" t="s">
        <v>434</v>
      </c>
      <c r="H421" s="16" t="s">
        <v>434</v>
      </c>
      <c r="I421" s="16">
        <v>1254</v>
      </c>
      <c r="J421" s="16">
        <v>1096</v>
      </c>
      <c r="K421" s="18" t="str">
        <f>HYPERLINK("mailto:drmohans@diabetes.ind.in", "contact")</f>
        <v>contact</v>
      </c>
    </row>
    <row r="422" spans="1:11" x14ac:dyDescent="0.25">
      <c r="A422" s="13" t="s">
        <v>1289</v>
      </c>
      <c r="B422" s="13" t="s">
        <v>153</v>
      </c>
      <c r="C422" s="13" t="s">
        <v>920</v>
      </c>
      <c r="D422" s="13" t="s">
        <v>1290</v>
      </c>
      <c r="E422" s="16" t="s">
        <v>41</v>
      </c>
      <c r="F422" s="16" t="s">
        <v>40</v>
      </c>
      <c r="G422" s="16" t="s">
        <v>596</v>
      </c>
      <c r="H422" s="16" t="s">
        <v>596</v>
      </c>
      <c r="I422" s="16">
        <v>228</v>
      </c>
      <c r="J422" s="16">
        <v>212</v>
      </c>
      <c r="K422" s="18" t="str">
        <f>HYPERLINK("mailto:rajeevgg@gmail.com", "contact")</f>
        <v>contact</v>
      </c>
    </row>
    <row r="423" spans="1:11" x14ac:dyDescent="0.25">
      <c r="A423" s="13" t="s">
        <v>1291</v>
      </c>
      <c r="B423" s="13" t="s">
        <v>153</v>
      </c>
      <c r="C423" s="13" t="s">
        <v>496</v>
      </c>
      <c r="D423" s="13" t="s">
        <v>1292</v>
      </c>
      <c r="E423" s="16" t="s">
        <v>41</v>
      </c>
      <c r="F423" s="16" t="s">
        <v>12</v>
      </c>
      <c r="G423" s="16" t="s">
        <v>434</v>
      </c>
      <c r="H423" s="16" t="s">
        <v>434</v>
      </c>
      <c r="I423" s="16">
        <v>3745</v>
      </c>
      <c r="J423" s="16">
        <v>3321</v>
      </c>
      <c r="K423" s="18" t="str">
        <f>HYPERLINK("mailto:dr.ramachandran@ardiabetes.org", "contact")</f>
        <v>contact</v>
      </c>
    </row>
    <row r="424" spans="1:11" x14ac:dyDescent="0.25">
      <c r="A424" s="13" t="s">
        <v>1293</v>
      </c>
      <c r="B424" s="13" t="s">
        <v>153</v>
      </c>
      <c r="C424" s="13" t="s">
        <v>520</v>
      </c>
      <c r="D424" s="13" t="s">
        <v>1294</v>
      </c>
      <c r="E424" s="16" t="s">
        <v>41</v>
      </c>
      <c r="F424" s="16" t="s">
        <v>12</v>
      </c>
      <c r="G424" s="16" t="s">
        <v>708</v>
      </c>
      <c r="H424" s="16" t="s">
        <v>708</v>
      </c>
      <c r="I424" s="16">
        <v>2810</v>
      </c>
      <c r="J424" s="16">
        <v>2615</v>
      </c>
      <c r="K424" s="18" t="str">
        <f>HYPERLINK("mailto:gkmini.2014@gmail.com", "contact")</f>
        <v>contact</v>
      </c>
    </row>
    <row r="425" spans="1:11" x14ac:dyDescent="0.25">
      <c r="A425" s="13" t="s">
        <v>1295</v>
      </c>
      <c r="B425" s="13" t="s">
        <v>153</v>
      </c>
      <c r="C425" s="13" t="s">
        <v>520</v>
      </c>
      <c r="D425" s="13" t="s">
        <v>1296</v>
      </c>
      <c r="E425" s="16" t="s">
        <v>53</v>
      </c>
      <c r="F425" s="16" t="s">
        <v>468</v>
      </c>
      <c r="G425" s="16" t="s">
        <v>434</v>
      </c>
      <c r="H425" s="16" t="s">
        <v>434</v>
      </c>
      <c r="I425" s="16">
        <v>13671</v>
      </c>
      <c r="J425" s="16">
        <v>11901</v>
      </c>
      <c r="K425" s="18" t="str">
        <f>HYPERLINK("mailto:laxmanavula09@gmail.com; avulalaxman@yahoo.com", "contact")</f>
        <v>contact</v>
      </c>
    </row>
    <row r="426" spans="1:11" x14ac:dyDescent="0.25">
      <c r="A426" s="13" t="s">
        <v>1297</v>
      </c>
      <c r="B426" s="13" t="s">
        <v>153</v>
      </c>
      <c r="C426" s="13" t="s">
        <v>477</v>
      </c>
      <c r="D426" s="13" t="s">
        <v>1298</v>
      </c>
      <c r="E426" s="16" t="s">
        <v>41</v>
      </c>
      <c r="F426" s="16" t="s">
        <v>468</v>
      </c>
      <c r="G426" s="16" t="s">
        <v>431</v>
      </c>
      <c r="H426" s="16" t="s">
        <v>431</v>
      </c>
      <c r="I426" s="16">
        <v>2518</v>
      </c>
      <c r="J426" s="16">
        <v>2191</v>
      </c>
      <c r="K426" s="18" t="str">
        <f>HYPERLINK("mailto:nagpursuraj@gmail.com", "contact")</f>
        <v>contact</v>
      </c>
    </row>
    <row r="427" spans="1:11" x14ac:dyDescent="0.25">
      <c r="A427" s="13" t="s">
        <v>1299</v>
      </c>
      <c r="B427" s="13" t="s">
        <v>153</v>
      </c>
      <c r="C427" s="13" t="s">
        <v>706</v>
      </c>
      <c r="D427" s="13" t="s">
        <v>1300</v>
      </c>
      <c r="E427" s="16" t="s">
        <v>41</v>
      </c>
      <c r="F427" s="16" t="s">
        <v>40</v>
      </c>
      <c r="G427" s="16" t="s">
        <v>596</v>
      </c>
      <c r="H427" s="16" t="s">
        <v>596</v>
      </c>
      <c r="I427" s="16">
        <v>536</v>
      </c>
      <c r="J427" s="16">
        <v>502</v>
      </c>
      <c r="K427" s="18" t="str">
        <f>HYPERLINK("mailto:rajeevgg@gmail.com", "contact")</f>
        <v>contact</v>
      </c>
    </row>
    <row r="428" spans="1:11" x14ac:dyDescent="0.25">
      <c r="A428" s="13" t="s">
        <v>1301</v>
      </c>
      <c r="B428" s="13" t="s">
        <v>153</v>
      </c>
      <c r="C428" s="13" t="s">
        <v>477</v>
      </c>
      <c r="D428" s="13" t="s">
        <v>1302</v>
      </c>
      <c r="E428" s="16" t="s">
        <v>53</v>
      </c>
      <c r="F428" s="16" t="s">
        <v>12</v>
      </c>
      <c r="G428" s="16" t="s">
        <v>1303</v>
      </c>
      <c r="H428" s="16" t="s">
        <v>1303</v>
      </c>
      <c r="I428" s="16">
        <v>912</v>
      </c>
      <c r="J428" s="16">
        <v>2120</v>
      </c>
      <c r="K428" s="18" t="str">
        <f>HYPERLINK("mailto:zargarah123@gmail.com", "contact")</f>
        <v>contact</v>
      </c>
    </row>
    <row r="429" spans="1:11" x14ac:dyDescent="0.25">
      <c r="A429" s="13" t="s">
        <v>1304</v>
      </c>
      <c r="B429" s="13" t="s">
        <v>153</v>
      </c>
      <c r="C429" s="13" t="s">
        <v>880</v>
      </c>
      <c r="D429" s="13" t="s">
        <v>1305</v>
      </c>
      <c r="E429" s="16" t="s">
        <v>41</v>
      </c>
      <c r="F429" s="16" t="s">
        <v>40</v>
      </c>
      <c r="G429" s="16" t="s">
        <v>1306</v>
      </c>
      <c r="H429" s="16" t="s">
        <v>1306</v>
      </c>
      <c r="I429" s="16">
        <v>1552</v>
      </c>
      <c r="J429" s="16">
        <v>1511</v>
      </c>
      <c r="K429" s="18" t="str">
        <f>HYPERLINK("mailto:laxmanavula09@gmail.com; avulalaxman@yahoo.com", "contact")</f>
        <v>contact</v>
      </c>
    </row>
    <row r="430" spans="1:11" x14ac:dyDescent="0.25">
      <c r="A430" s="13" t="s">
        <v>1307</v>
      </c>
      <c r="B430" s="13" t="s">
        <v>153</v>
      </c>
      <c r="C430" s="13" t="s">
        <v>830</v>
      </c>
      <c r="D430" s="13" t="s">
        <v>1283</v>
      </c>
      <c r="E430" s="16" t="s">
        <v>41</v>
      </c>
      <c r="F430" s="16" t="s">
        <v>40</v>
      </c>
      <c r="G430" s="16" t="s">
        <v>1308</v>
      </c>
      <c r="H430" s="16" t="s">
        <v>1308</v>
      </c>
      <c r="I430" s="16">
        <v>448</v>
      </c>
      <c r="J430" s="16">
        <v>652</v>
      </c>
      <c r="K430" s="18" t="str">
        <f>HYPERLINK("mailto:chdf@mrc.soton.ac.uk", "contact")</f>
        <v>contact</v>
      </c>
    </row>
    <row r="431" spans="1:11" x14ac:dyDescent="0.25">
      <c r="A431" s="13" t="s">
        <v>1309</v>
      </c>
      <c r="B431" s="13" t="s">
        <v>153</v>
      </c>
      <c r="C431" s="13" t="s">
        <v>436</v>
      </c>
      <c r="D431" s="13" t="s">
        <v>1310</v>
      </c>
      <c r="E431" s="16" t="s">
        <v>13</v>
      </c>
      <c r="F431" s="16" t="s">
        <v>12</v>
      </c>
      <c r="G431" s="16" t="s">
        <v>434</v>
      </c>
      <c r="H431" s="16" t="s">
        <v>434</v>
      </c>
      <c r="I431" s="16">
        <v>6944</v>
      </c>
      <c r="J431" s="16">
        <v>7110</v>
      </c>
      <c r="K431" s="18" t="str">
        <f>HYPERLINK("mailto:drmohans@diabetes.ind.in", "contact")</f>
        <v>contact</v>
      </c>
    </row>
    <row r="432" spans="1:11" x14ac:dyDescent="0.25">
      <c r="A432" s="13" t="s">
        <v>1311</v>
      </c>
      <c r="B432" s="13" t="s">
        <v>153</v>
      </c>
      <c r="C432" s="13" t="s">
        <v>670</v>
      </c>
      <c r="D432" s="13" t="s">
        <v>1312</v>
      </c>
      <c r="E432" s="16" t="s">
        <v>41</v>
      </c>
      <c r="F432" s="16" t="s">
        <v>40</v>
      </c>
      <c r="G432" s="16" t="s">
        <v>596</v>
      </c>
      <c r="H432" s="16" t="s">
        <v>596</v>
      </c>
      <c r="I432" s="16">
        <v>274</v>
      </c>
      <c r="J432" s="16">
        <v>429</v>
      </c>
      <c r="K432" s="18" t="str">
        <f>HYPERLINK("mailto:rajeevgg@gmail.com", "contact")</f>
        <v>contact</v>
      </c>
    </row>
    <row r="433" spans="1:11" x14ac:dyDescent="0.25">
      <c r="A433" s="13" t="s">
        <v>1313</v>
      </c>
      <c r="B433" s="13" t="s">
        <v>153</v>
      </c>
      <c r="C433" s="13" t="s">
        <v>460</v>
      </c>
      <c r="D433" s="13" t="s">
        <v>1314</v>
      </c>
      <c r="E433" s="16" t="s">
        <v>41</v>
      </c>
      <c r="F433" s="16" t="s">
        <v>40</v>
      </c>
      <c r="G433" s="16" t="s">
        <v>434</v>
      </c>
      <c r="H433" s="16" t="s">
        <v>434</v>
      </c>
      <c r="I433" s="16">
        <v>6402</v>
      </c>
      <c r="J433" s="16">
        <v>5867</v>
      </c>
      <c r="K433" s="18" t="str">
        <f>HYPERLINK("mailto:ugujral@emory.edu ", "contact")</f>
        <v>contact</v>
      </c>
    </row>
    <row r="434" spans="1:11" x14ac:dyDescent="0.25">
      <c r="A434" s="13" t="s">
        <v>1315</v>
      </c>
      <c r="B434" s="13" t="s">
        <v>153</v>
      </c>
      <c r="C434" s="13" t="s">
        <v>400</v>
      </c>
      <c r="D434" s="13" t="s">
        <v>1296</v>
      </c>
      <c r="E434" s="16" t="s">
        <v>13</v>
      </c>
      <c r="F434" s="16" t="s">
        <v>468</v>
      </c>
      <c r="G434" s="16" t="s">
        <v>394</v>
      </c>
      <c r="H434" s="16" t="s">
        <v>394</v>
      </c>
      <c r="I434" s="16">
        <v>27080</v>
      </c>
      <c r="J434" s="16">
        <v>21937</v>
      </c>
      <c r="K434" s="18" t="str">
        <f>HYPERLINK("mailto:laxmanavula09@gmail.com; avulalaxman@yahoo.com", "contact")</f>
        <v>contact</v>
      </c>
    </row>
    <row r="435" spans="1:11" x14ac:dyDescent="0.25">
      <c r="A435" s="13" t="s">
        <v>1316</v>
      </c>
      <c r="B435" s="13" t="s">
        <v>153</v>
      </c>
      <c r="C435" s="13" t="s">
        <v>562</v>
      </c>
      <c r="D435" s="13" t="s">
        <v>1317</v>
      </c>
      <c r="E435" s="16" t="s">
        <v>53</v>
      </c>
      <c r="F435" s="16" t="s">
        <v>12</v>
      </c>
      <c r="G435" s="16" t="s">
        <v>434</v>
      </c>
      <c r="H435" s="16" t="s">
        <v>434</v>
      </c>
      <c r="I435" s="16">
        <v>10866</v>
      </c>
      <c r="J435" s="16">
        <v>8252</v>
      </c>
      <c r="K435" s="18" t="str">
        <f>HYPERLINK("mailto:drmohans@diabetes.ind.in", "contact")</f>
        <v>contact</v>
      </c>
    </row>
    <row r="436" spans="1:11" x14ac:dyDescent="0.25">
      <c r="A436" s="13" t="s">
        <v>1318</v>
      </c>
      <c r="B436" s="13" t="s">
        <v>153</v>
      </c>
      <c r="C436" s="13" t="s">
        <v>1089</v>
      </c>
      <c r="D436" s="13" t="s">
        <v>1319</v>
      </c>
      <c r="E436" s="16" t="s">
        <v>41</v>
      </c>
      <c r="F436" s="16" t="s">
        <v>40</v>
      </c>
      <c r="G436" s="16" t="s">
        <v>596</v>
      </c>
      <c r="H436" s="16" t="s">
        <v>596</v>
      </c>
      <c r="I436" s="16">
        <v>353</v>
      </c>
      <c r="J436" s="16">
        <v>516</v>
      </c>
      <c r="K436" s="18" t="str">
        <f>HYPERLINK("mailto:rajeevgg@gmail.com", "contact")</f>
        <v>contact</v>
      </c>
    </row>
    <row r="437" spans="1:11" x14ac:dyDescent="0.25">
      <c r="A437" s="13" t="s">
        <v>1320</v>
      </c>
      <c r="B437" s="13" t="s">
        <v>153</v>
      </c>
      <c r="C437" s="13" t="s">
        <v>562</v>
      </c>
      <c r="D437" s="13" t="s">
        <v>1321</v>
      </c>
      <c r="E437" s="16" t="s">
        <v>13</v>
      </c>
      <c r="F437" s="16" t="s">
        <v>468</v>
      </c>
      <c r="G437" s="16" t="s">
        <v>394</v>
      </c>
      <c r="H437" s="16" t="s">
        <v>394</v>
      </c>
      <c r="I437" s="16">
        <v>2093</v>
      </c>
      <c r="J437" s="16">
        <v>1855</v>
      </c>
      <c r="K437" s="18" t="str">
        <f>HYPERLINK("mailto:laxmanavula09@gmail.com; avulalaxman@yahoo.com", "contact")</f>
        <v>contact</v>
      </c>
    </row>
    <row r="438" spans="1:11" x14ac:dyDescent="0.25">
      <c r="A438" s="13" t="s">
        <v>1322</v>
      </c>
      <c r="B438" s="13" t="s">
        <v>153</v>
      </c>
      <c r="C438" s="13" t="s">
        <v>600</v>
      </c>
      <c r="D438" s="13" t="s">
        <v>1323</v>
      </c>
      <c r="E438" s="16" t="s">
        <v>13</v>
      </c>
      <c r="F438" s="16" t="s">
        <v>12</v>
      </c>
      <c r="G438" s="16" t="s">
        <v>394</v>
      </c>
      <c r="H438" s="16" t="s">
        <v>394</v>
      </c>
      <c r="I438" s="16">
        <v>449906</v>
      </c>
      <c r="J438" s="16">
        <v>407330</v>
      </c>
      <c r="K438" s="18" t="str">
        <f>HYPERLINK("mailto:ncdrisc@imperial.ac.uk", "contact")</f>
        <v>contact</v>
      </c>
    </row>
    <row r="439" spans="1:11" x14ac:dyDescent="0.25">
      <c r="A439" s="13" t="s">
        <v>1324</v>
      </c>
      <c r="B439" s="13" t="s">
        <v>153</v>
      </c>
      <c r="C439" s="13" t="s">
        <v>1325</v>
      </c>
      <c r="D439" s="13" t="s">
        <v>1326</v>
      </c>
      <c r="E439" s="16" t="s">
        <v>53</v>
      </c>
      <c r="F439" s="16" t="s">
        <v>12</v>
      </c>
      <c r="G439" s="16" t="s">
        <v>434</v>
      </c>
      <c r="H439" s="16" t="s">
        <v>434</v>
      </c>
      <c r="I439" s="16">
        <v>16682</v>
      </c>
      <c r="J439" s="16">
        <v>14260</v>
      </c>
      <c r="K439" s="18" t="str">
        <f>HYPERLINK("mailto:drmohans@diabetes.ind.in", "contact")</f>
        <v>contact</v>
      </c>
    </row>
    <row r="440" spans="1:11" x14ac:dyDescent="0.25">
      <c r="A440" s="13" t="s">
        <v>1327</v>
      </c>
      <c r="B440" s="13" t="s">
        <v>153</v>
      </c>
      <c r="C440" s="13" t="s">
        <v>386</v>
      </c>
      <c r="D440" s="13" t="s">
        <v>1279</v>
      </c>
      <c r="E440" s="16" t="s">
        <v>53</v>
      </c>
      <c r="F440" s="16" t="s">
        <v>12</v>
      </c>
      <c r="G440" s="16" t="s">
        <v>1328</v>
      </c>
      <c r="H440" s="16" t="s">
        <v>1328</v>
      </c>
      <c r="I440" s="16">
        <v>499</v>
      </c>
      <c r="J440" s="16">
        <v>581</v>
      </c>
      <c r="K440" s="18" t="str">
        <f>HYPERLINK("mailto:nihal_thomas@yahoo.com", "contact")</f>
        <v>contact</v>
      </c>
    </row>
    <row r="441" spans="1:11" x14ac:dyDescent="0.25">
      <c r="A441" s="13" t="s">
        <v>1329</v>
      </c>
      <c r="B441" s="13" t="s">
        <v>153</v>
      </c>
      <c r="C441" s="13" t="s">
        <v>570</v>
      </c>
      <c r="D441" s="13" t="s">
        <v>1330</v>
      </c>
      <c r="E441" s="16" t="s">
        <v>41</v>
      </c>
      <c r="F441" s="16" t="s">
        <v>468</v>
      </c>
      <c r="G441" s="16" t="s">
        <v>394</v>
      </c>
      <c r="H441" s="16" t="s">
        <v>394</v>
      </c>
      <c r="I441" s="16">
        <v>3551</v>
      </c>
      <c r="J441" s="16">
        <v>2616</v>
      </c>
      <c r="K441" s="18" t="str">
        <f>HYPERLINK("mailto:amanda.thrift@monash.edu", "contact")</f>
        <v>contact</v>
      </c>
    </row>
    <row r="442" spans="1:11" x14ac:dyDescent="0.25">
      <c r="A442" s="13" t="s">
        <v>1331</v>
      </c>
      <c r="B442" s="13" t="s">
        <v>153</v>
      </c>
      <c r="C442" s="13" t="s">
        <v>580</v>
      </c>
      <c r="D442" s="13" t="s">
        <v>1332</v>
      </c>
      <c r="E442" s="16" t="s">
        <v>13</v>
      </c>
      <c r="F442" s="16" t="s">
        <v>40</v>
      </c>
      <c r="G442" s="16" t="s">
        <v>394</v>
      </c>
      <c r="H442" s="16" t="s">
        <v>394</v>
      </c>
      <c r="I442" s="16">
        <v>53527</v>
      </c>
      <c r="J442" s="16">
        <v>39397</v>
      </c>
      <c r="K442" s="18" t="str">
        <f>HYPERLINK("mailto:laxmanavula09@gmail.com; avulalaxman@yahoo.com; ", "contact")</f>
        <v>contact</v>
      </c>
    </row>
    <row r="443" spans="1:11" x14ac:dyDescent="0.25">
      <c r="A443" s="13" t="s">
        <v>1333</v>
      </c>
      <c r="B443" s="13" t="s">
        <v>153</v>
      </c>
      <c r="C443" s="13" t="s">
        <v>393</v>
      </c>
      <c r="D443" s="13" t="s">
        <v>1334</v>
      </c>
      <c r="E443" s="16" t="s">
        <v>13</v>
      </c>
      <c r="F443" s="16" t="s">
        <v>12</v>
      </c>
      <c r="G443" s="16" t="s">
        <v>381</v>
      </c>
      <c r="H443" s="16" t="s">
        <v>381</v>
      </c>
      <c r="I443" s="16">
        <v>4666</v>
      </c>
      <c r="J443" s="16">
        <v>5011</v>
      </c>
      <c r="K443" s="18" t="str">
        <f>HYPERLINK("mailto:mathurp.hq@icmr.gov.in; director@ncdirindia.org", "contact")</f>
        <v>contact</v>
      </c>
    </row>
    <row r="444" spans="1:11" x14ac:dyDescent="0.25">
      <c r="A444" s="13" t="s">
        <v>1335</v>
      </c>
      <c r="B444" s="13" t="s">
        <v>153</v>
      </c>
      <c r="C444" s="13" t="s">
        <v>516</v>
      </c>
      <c r="D444" s="13" t="s">
        <v>1336</v>
      </c>
      <c r="E444" s="16" t="s">
        <v>41</v>
      </c>
      <c r="F444" s="16" t="s">
        <v>12</v>
      </c>
      <c r="G444" s="16" t="s">
        <v>434</v>
      </c>
      <c r="H444" s="16" t="s">
        <v>434</v>
      </c>
      <c r="I444" s="16">
        <v>5319</v>
      </c>
      <c r="J444" s="16">
        <v>4527</v>
      </c>
      <c r="K444" s="18" t="str">
        <f>HYPERLINK("mailto:dr.ramachandran@ardiabetes.org", "contact")</f>
        <v>contact</v>
      </c>
    </row>
    <row r="445" spans="1:11" x14ac:dyDescent="0.25">
      <c r="A445" s="13" t="s">
        <v>1337</v>
      </c>
      <c r="B445" s="13" t="s">
        <v>153</v>
      </c>
      <c r="C445" s="13" t="s">
        <v>393</v>
      </c>
      <c r="D445" s="13" t="s">
        <v>1338</v>
      </c>
      <c r="E445" s="16" t="s">
        <v>53</v>
      </c>
      <c r="F445" s="16" t="s">
        <v>12</v>
      </c>
      <c r="G445" s="16" t="s">
        <v>434</v>
      </c>
      <c r="H445" s="16" t="s">
        <v>434</v>
      </c>
      <c r="I445" s="16">
        <v>7693</v>
      </c>
      <c r="J445" s="16">
        <v>7282</v>
      </c>
      <c r="K445" s="18" t="str">
        <f>HYPERLINK("mailto:drmohans@diabetes.ind.in", "contact")</f>
        <v>contact</v>
      </c>
    </row>
    <row r="446" spans="1:11" x14ac:dyDescent="0.25">
      <c r="A446" s="13" t="s">
        <v>1339</v>
      </c>
      <c r="B446" s="13" t="s">
        <v>153</v>
      </c>
      <c r="C446" s="13" t="s">
        <v>877</v>
      </c>
      <c r="D446" s="13" t="s">
        <v>1279</v>
      </c>
      <c r="E446" s="16" t="s">
        <v>53</v>
      </c>
      <c r="F446" s="16" t="s">
        <v>12</v>
      </c>
      <c r="G446" s="16" t="s">
        <v>1340</v>
      </c>
      <c r="H446" s="16" t="s">
        <v>1340</v>
      </c>
      <c r="I446" s="16">
        <v>758</v>
      </c>
      <c r="J446" s="16">
        <v>843</v>
      </c>
      <c r="K446" s="18" t="str">
        <f>HYPERLINK("mailto:gowri.cmc@gmail.com", "contact")</f>
        <v>contact</v>
      </c>
    </row>
    <row r="447" spans="1:11" x14ac:dyDescent="0.25">
      <c r="A447" s="13" t="s">
        <v>1341</v>
      </c>
      <c r="B447" s="13" t="s">
        <v>153</v>
      </c>
      <c r="C447" s="13" t="s">
        <v>486</v>
      </c>
      <c r="D447" s="13" t="s">
        <v>1342</v>
      </c>
      <c r="E447" s="16" t="s">
        <v>53</v>
      </c>
      <c r="F447" s="16" t="s">
        <v>12</v>
      </c>
      <c r="G447" s="16" t="s">
        <v>434</v>
      </c>
      <c r="H447" s="16" t="s">
        <v>434</v>
      </c>
      <c r="I447" s="16">
        <v>10320</v>
      </c>
      <c r="J447" s="16">
        <v>9026</v>
      </c>
      <c r="K447" s="18" t="str">
        <f>HYPERLINK("mailto:drmohans@diabetes.ind.in", "contact")</f>
        <v>contact</v>
      </c>
    </row>
    <row r="448" spans="1:11" x14ac:dyDescent="0.25">
      <c r="A448" s="13" t="s">
        <v>1343</v>
      </c>
      <c r="B448" s="13" t="s">
        <v>153</v>
      </c>
      <c r="C448" s="13" t="s">
        <v>836</v>
      </c>
      <c r="D448" s="13" t="s">
        <v>1344</v>
      </c>
      <c r="E448" s="16" t="s">
        <v>53</v>
      </c>
      <c r="F448" s="16" t="s">
        <v>12</v>
      </c>
      <c r="G448" s="16" t="s">
        <v>434</v>
      </c>
      <c r="H448" s="16" t="s">
        <v>434</v>
      </c>
      <c r="I448" s="16">
        <v>6701</v>
      </c>
      <c r="J448" s="16">
        <v>6670</v>
      </c>
      <c r="K448" s="18" t="str">
        <f>HYPERLINK("mailto:drmohans@diabetes.ind.in", "contact")</f>
        <v>contact</v>
      </c>
    </row>
    <row r="449" spans="1:11" x14ac:dyDescent="0.25">
      <c r="A449" s="13" t="s">
        <v>152</v>
      </c>
      <c r="B449" s="13" t="s">
        <v>153</v>
      </c>
      <c r="C449" s="13" t="s">
        <v>491</v>
      </c>
      <c r="D449" s="13" t="s">
        <v>1345</v>
      </c>
      <c r="E449" s="16" t="s">
        <v>41</v>
      </c>
      <c r="F449" s="16" t="s">
        <v>40</v>
      </c>
      <c r="G449" s="16" t="s">
        <v>381</v>
      </c>
      <c r="H449" s="16" t="s">
        <v>381</v>
      </c>
      <c r="I449" s="16">
        <v>2575</v>
      </c>
      <c r="J449" s="16">
        <v>2601</v>
      </c>
      <c r="K449" s="17" t="s">
        <v>383</v>
      </c>
    </row>
    <row r="450" spans="1:11" x14ac:dyDescent="0.25">
      <c r="A450" s="13" t="s">
        <v>1346</v>
      </c>
      <c r="B450" s="13" t="s">
        <v>1347</v>
      </c>
      <c r="C450" s="13" t="s">
        <v>706</v>
      </c>
      <c r="D450" s="13" t="s">
        <v>1348</v>
      </c>
      <c r="E450" s="16" t="s">
        <v>13</v>
      </c>
      <c r="F450" s="16" t="s">
        <v>12</v>
      </c>
      <c r="G450" s="16" t="s">
        <v>480</v>
      </c>
      <c r="H450" s="16" t="s">
        <v>480</v>
      </c>
      <c r="I450" s="16">
        <v>680</v>
      </c>
      <c r="J450" s="16">
        <v>526</v>
      </c>
      <c r="K450" s="18" t="str">
        <f>HYPERLINK("mailto:kmorgan@rcsi.com", "contact")</f>
        <v>contact</v>
      </c>
    </row>
    <row r="451" spans="1:11" x14ac:dyDescent="0.25">
      <c r="A451" s="13" t="s">
        <v>1349</v>
      </c>
      <c r="B451" s="13" t="s">
        <v>1347</v>
      </c>
      <c r="C451" s="13" t="s">
        <v>436</v>
      </c>
      <c r="D451" s="13" t="s">
        <v>1350</v>
      </c>
      <c r="E451" s="16" t="s">
        <v>13</v>
      </c>
      <c r="F451" s="16" t="s">
        <v>12</v>
      </c>
      <c r="G451" s="16" t="s">
        <v>394</v>
      </c>
      <c r="H451" s="16" t="s">
        <v>394</v>
      </c>
      <c r="I451" s="16">
        <v>440</v>
      </c>
      <c r="J451" s="16">
        <v>445</v>
      </c>
      <c r="K451" s="18" t="str">
        <f>HYPERLINK("mailto:breige.mcnulty@ucd.ie", "contact")</f>
        <v>contact</v>
      </c>
    </row>
    <row r="452" spans="1:11" x14ac:dyDescent="0.25">
      <c r="A452" s="13" t="s">
        <v>1351</v>
      </c>
      <c r="B452" s="13" t="s">
        <v>1352</v>
      </c>
      <c r="C452" s="13" t="s">
        <v>406</v>
      </c>
      <c r="D452" s="13" t="s">
        <v>1353</v>
      </c>
      <c r="E452" s="16" t="s">
        <v>41</v>
      </c>
      <c r="F452" s="16" t="s">
        <v>40</v>
      </c>
      <c r="G452" s="16" t="s">
        <v>1354</v>
      </c>
      <c r="H452" s="16" t="s">
        <v>1354</v>
      </c>
      <c r="I452" s="16">
        <v>1069</v>
      </c>
      <c r="J452" s="16">
        <v>1000</v>
      </c>
      <c r="K452" s="18" t="str">
        <f>HYPERLINK("mailto:ncdrisc@imperial.ac.uk", "contact")</f>
        <v>contact</v>
      </c>
    </row>
    <row r="453" spans="1:11" x14ac:dyDescent="0.25">
      <c r="A453" s="13" t="s">
        <v>1355</v>
      </c>
      <c r="B453" s="13" t="s">
        <v>1352</v>
      </c>
      <c r="C453" s="13" t="s">
        <v>390</v>
      </c>
      <c r="D453" s="13" t="s">
        <v>1356</v>
      </c>
      <c r="E453" s="16" t="s">
        <v>53</v>
      </c>
      <c r="F453" s="16" t="s">
        <v>12</v>
      </c>
      <c r="G453" s="16" t="s">
        <v>394</v>
      </c>
      <c r="H453" s="16" t="s">
        <v>394</v>
      </c>
      <c r="I453" s="16">
        <v>598</v>
      </c>
      <c r="J453" s="16">
        <v>498</v>
      </c>
      <c r="K453" s="18" t="str">
        <f>HYPERLINK("mailto:mohamadk@tums.ac.ir", "contact")</f>
        <v>contact</v>
      </c>
    </row>
    <row r="454" spans="1:11" x14ac:dyDescent="0.25">
      <c r="A454" s="13" t="s">
        <v>1357</v>
      </c>
      <c r="B454" s="13" t="s">
        <v>1352</v>
      </c>
      <c r="C454" s="13" t="s">
        <v>776</v>
      </c>
      <c r="D454" s="13" t="s">
        <v>1358</v>
      </c>
      <c r="E454" s="16" t="s">
        <v>41</v>
      </c>
      <c r="F454" s="16" t="s">
        <v>40</v>
      </c>
      <c r="G454" s="16" t="s">
        <v>414</v>
      </c>
      <c r="H454" s="16" t="s">
        <v>414</v>
      </c>
      <c r="I454" s="16">
        <v>496</v>
      </c>
      <c r="J454" s="16">
        <v>471</v>
      </c>
      <c r="K454" s="18" t="str">
        <f>HYPERLINK("mailto:ncdrisc@imperial.ac.uk", "contact")</f>
        <v>contact</v>
      </c>
    </row>
    <row r="455" spans="1:11" x14ac:dyDescent="0.25">
      <c r="A455" s="13" t="s">
        <v>1359</v>
      </c>
      <c r="B455" s="13" t="s">
        <v>1352</v>
      </c>
      <c r="C455" s="13" t="s">
        <v>776</v>
      </c>
      <c r="D455" s="13" t="s">
        <v>1360</v>
      </c>
      <c r="E455" s="16" t="s">
        <v>41</v>
      </c>
      <c r="F455" s="16" t="s">
        <v>40</v>
      </c>
      <c r="G455" s="16" t="s">
        <v>414</v>
      </c>
      <c r="H455" s="16" t="s">
        <v>414</v>
      </c>
      <c r="I455" s="16">
        <v>495</v>
      </c>
      <c r="J455" s="16">
        <v>489</v>
      </c>
      <c r="K455" s="18" t="str">
        <f>HYPERLINK("mailto:ncdrisc@imperial.ac.uk", "contact")</f>
        <v>contact</v>
      </c>
    </row>
    <row r="456" spans="1:11" x14ac:dyDescent="0.25">
      <c r="A456" s="13" t="s">
        <v>1361</v>
      </c>
      <c r="B456" s="13" t="s">
        <v>1352</v>
      </c>
      <c r="C456" s="13" t="s">
        <v>776</v>
      </c>
      <c r="D456" s="13" t="s">
        <v>1362</v>
      </c>
      <c r="E456" s="16" t="s">
        <v>41</v>
      </c>
      <c r="F456" s="16" t="s">
        <v>468</v>
      </c>
      <c r="G456" s="16" t="s">
        <v>770</v>
      </c>
      <c r="H456" s="16" t="s">
        <v>770</v>
      </c>
      <c r="I456" s="16">
        <v>1091</v>
      </c>
      <c r="J456" s="16">
        <v>1028</v>
      </c>
      <c r="K456" s="18" t="str">
        <f t="shared" ref="K456:K461" si="1">HYPERLINK("mailto:nsarrafzadegan@gmail.com", "contact")</f>
        <v>contact</v>
      </c>
    </row>
    <row r="457" spans="1:11" x14ac:dyDescent="0.25">
      <c r="A457" s="13" t="s">
        <v>1363</v>
      </c>
      <c r="B457" s="13" t="s">
        <v>1352</v>
      </c>
      <c r="C457" s="13" t="s">
        <v>776</v>
      </c>
      <c r="D457" s="13" t="s">
        <v>1362</v>
      </c>
      <c r="E457" s="16" t="s">
        <v>41</v>
      </c>
      <c r="F457" s="16" t="s">
        <v>40</v>
      </c>
      <c r="G457" s="16" t="s">
        <v>770</v>
      </c>
      <c r="H457" s="16" t="s">
        <v>770</v>
      </c>
      <c r="I457" s="16">
        <v>2131</v>
      </c>
      <c r="J457" s="16">
        <v>2089</v>
      </c>
      <c r="K457" s="18" t="str">
        <f t="shared" si="1"/>
        <v>contact</v>
      </c>
    </row>
    <row r="458" spans="1:11" x14ac:dyDescent="0.25">
      <c r="A458" s="13" t="s">
        <v>1364</v>
      </c>
      <c r="B458" s="13" t="s">
        <v>1352</v>
      </c>
      <c r="C458" s="13" t="s">
        <v>776</v>
      </c>
      <c r="D458" s="13" t="s">
        <v>1365</v>
      </c>
      <c r="E458" s="16" t="s">
        <v>41</v>
      </c>
      <c r="F458" s="16" t="s">
        <v>468</v>
      </c>
      <c r="G458" s="16" t="s">
        <v>770</v>
      </c>
      <c r="H458" s="16" t="s">
        <v>770</v>
      </c>
      <c r="I458" s="16">
        <v>238</v>
      </c>
      <c r="J458" s="16">
        <v>234</v>
      </c>
      <c r="K458" s="18" t="str">
        <f t="shared" si="1"/>
        <v>contact</v>
      </c>
    </row>
    <row r="459" spans="1:11" x14ac:dyDescent="0.25">
      <c r="A459" s="13" t="s">
        <v>1366</v>
      </c>
      <c r="B459" s="13" t="s">
        <v>1352</v>
      </c>
      <c r="C459" s="13" t="s">
        <v>776</v>
      </c>
      <c r="D459" s="13" t="s">
        <v>1365</v>
      </c>
      <c r="E459" s="16" t="s">
        <v>41</v>
      </c>
      <c r="F459" s="16" t="s">
        <v>40</v>
      </c>
      <c r="G459" s="16" t="s">
        <v>770</v>
      </c>
      <c r="H459" s="16" t="s">
        <v>770</v>
      </c>
      <c r="I459" s="16">
        <v>1932</v>
      </c>
      <c r="J459" s="16">
        <v>1782</v>
      </c>
      <c r="K459" s="18" t="str">
        <f t="shared" si="1"/>
        <v>contact</v>
      </c>
    </row>
    <row r="460" spans="1:11" x14ac:dyDescent="0.25">
      <c r="A460" s="13" t="s">
        <v>1367</v>
      </c>
      <c r="B460" s="13" t="s">
        <v>1352</v>
      </c>
      <c r="C460" s="13" t="s">
        <v>776</v>
      </c>
      <c r="D460" s="13" t="s">
        <v>1368</v>
      </c>
      <c r="E460" s="16" t="s">
        <v>41</v>
      </c>
      <c r="F460" s="16" t="s">
        <v>468</v>
      </c>
      <c r="G460" s="16" t="s">
        <v>770</v>
      </c>
      <c r="H460" s="16" t="s">
        <v>770</v>
      </c>
      <c r="I460" s="16">
        <v>419</v>
      </c>
      <c r="J460" s="16">
        <v>409</v>
      </c>
      <c r="K460" s="18" t="str">
        <f t="shared" si="1"/>
        <v>contact</v>
      </c>
    </row>
    <row r="461" spans="1:11" x14ac:dyDescent="0.25">
      <c r="A461" s="13" t="s">
        <v>1369</v>
      </c>
      <c r="B461" s="13" t="s">
        <v>1352</v>
      </c>
      <c r="C461" s="13" t="s">
        <v>776</v>
      </c>
      <c r="D461" s="13" t="s">
        <v>1368</v>
      </c>
      <c r="E461" s="16" t="s">
        <v>41</v>
      </c>
      <c r="F461" s="16" t="s">
        <v>40</v>
      </c>
      <c r="G461" s="16" t="s">
        <v>770</v>
      </c>
      <c r="H461" s="16" t="s">
        <v>770</v>
      </c>
      <c r="I461" s="16">
        <v>578</v>
      </c>
      <c r="J461" s="16">
        <v>581</v>
      </c>
      <c r="K461" s="18" t="str">
        <f t="shared" si="1"/>
        <v>contact</v>
      </c>
    </row>
    <row r="462" spans="1:11" x14ac:dyDescent="0.25">
      <c r="A462" s="13" t="s">
        <v>1370</v>
      </c>
      <c r="B462" s="13" t="s">
        <v>1352</v>
      </c>
      <c r="C462" s="13" t="s">
        <v>409</v>
      </c>
      <c r="D462" s="13" t="s">
        <v>1371</v>
      </c>
      <c r="E462" s="16" t="s">
        <v>41</v>
      </c>
      <c r="F462" s="16" t="s">
        <v>12</v>
      </c>
      <c r="G462" s="16" t="s">
        <v>694</v>
      </c>
      <c r="H462" s="16" t="s">
        <v>694</v>
      </c>
      <c r="I462" s="16">
        <v>1675</v>
      </c>
      <c r="J462" s="16">
        <v>1585</v>
      </c>
      <c r="K462" s="18" t="str">
        <f>HYPERLINK("mailto:ncdrisc@imperial.ac.uk", "contact")</f>
        <v>contact</v>
      </c>
    </row>
    <row r="463" spans="1:11" x14ac:dyDescent="0.25">
      <c r="A463" s="13" t="s">
        <v>1372</v>
      </c>
      <c r="B463" s="13" t="s">
        <v>1352</v>
      </c>
      <c r="C463" s="13" t="s">
        <v>920</v>
      </c>
      <c r="D463" s="13" t="s">
        <v>1373</v>
      </c>
      <c r="E463" s="16" t="s">
        <v>13</v>
      </c>
      <c r="F463" s="16" t="s">
        <v>12</v>
      </c>
      <c r="G463" s="16" t="s">
        <v>526</v>
      </c>
      <c r="H463" s="16" t="s">
        <v>526</v>
      </c>
      <c r="I463" s="16">
        <v>368</v>
      </c>
      <c r="J463" s="16">
        <v>373</v>
      </c>
      <c r="K463" s="18" t="str">
        <f>HYPERLINK("mailto:kelishadi@med.mui.ac.ir; roya.kelishadi@gmail.com", "contact")</f>
        <v>contact</v>
      </c>
    </row>
    <row r="464" spans="1:11" x14ac:dyDescent="0.25">
      <c r="A464" s="13" t="s">
        <v>1374</v>
      </c>
      <c r="B464" s="13" t="s">
        <v>1352</v>
      </c>
      <c r="C464" s="13" t="s">
        <v>920</v>
      </c>
      <c r="D464" s="13" t="s">
        <v>1375</v>
      </c>
      <c r="E464" s="16" t="s">
        <v>53</v>
      </c>
      <c r="F464" s="16" t="s">
        <v>40</v>
      </c>
      <c r="G464" s="16" t="s">
        <v>1376</v>
      </c>
      <c r="H464" s="16" t="s">
        <v>1376</v>
      </c>
      <c r="I464" s="16">
        <v>1974</v>
      </c>
      <c r="J464" s="16">
        <v>1741</v>
      </c>
      <c r="K464" s="18" t="str">
        <f>HYPERLINK("mailto:inabipour@gmail.com", "contact")</f>
        <v>contact</v>
      </c>
    </row>
    <row r="465" spans="1:11" x14ac:dyDescent="0.25">
      <c r="A465" s="13" t="s">
        <v>1377</v>
      </c>
      <c r="B465" s="13" t="s">
        <v>1352</v>
      </c>
      <c r="C465" s="13" t="s">
        <v>628</v>
      </c>
      <c r="D465" s="13" t="s">
        <v>380</v>
      </c>
      <c r="E465" s="16" t="s">
        <v>13</v>
      </c>
      <c r="F465" s="16" t="s">
        <v>12</v>
      </c>
      <c r="G465" s="16" t="s">
        <v>398</v>
      </c>
      <c r="H465" s="16" t="s">
        <v>398</v>
      </c>
      <c r="I465" s="16">
        <v>31782</v>
      </c>
      <c r="J465" s="16">
        <v>32723</v>
      </c>
      <c r="K465" s="18" t="str">
        <f>HYPERLINK("mailto:farzadfarf@who.int; farzadfar3@yahoo.com", "contact")</f>
        <v>contact</v>
      </c>
    </row>
    <row r="466" spans="1:11" x14ac:dyDescent="0.25">
      <c r="A466" s="13" t="s">
        <v>1378</v>
      </c>
      <c r="B466" s="13" t="s">
        <v>1352</v>
      </c>
      <c r="C466" s="13" t="s">
        <v>488</v>
      </c>
      <c r="D466" s="13" t="s">
        <v>1362</v>
      </c>
      <c r="E466" s="16" t="s">
        <v>41</v>
      </c>
      <c r="F466" s="16" t="s">
        <v>468</v>
      </c>
      <c r="G466" s="16" t="s">
        <v>770</v>
      </c>
      <c r="H466" s="16" t="s">
        <v>770</v>
      </c>
      <c r="I466" s="16">
        <v>1028</v>
      </c>
      <c r="J466" s="16">
        <v>1030</v>
      </c>
      <c r="K466" s="18" t="str">
        <f t="shared" ref="K466:K475" si="2">HYPERLINK("mailto:nsarrafzadegan@gmail.com", "contact")</f>
        <v>contact</v>
      </c>
    </row>
    <row r="467" spans="1:11" x14ac:dyDescent="0.25">
      <c r="A467" s="13" t="s">
        <v>1379</v>
      </c>
      <c r="B467" s="13" t="s">
        <v>1352</v>
      </c>
      <c r="C467" s="13" t="s">
        <v>488</v>
      </c>
      <c r="D467" s="13" t="s">
        <v>1362</v>
      </c>
      <c r="E467" s="16" t="s">
        <v>41</v>
      </c>
      <c r="F467" s="16" t="s">
        <v>40</v>
      </c>
      <c r="G467" s="16" t="s">
        <v>770</v>
      </c>
      <c r="H467" s="16" t="s">
        <v>770</v>
      </c>
      <c r="I467" s="16">
        <v>1366</v>
      </c>
      <c r="J467" s="16">
        <v>1429</v>
      </c>
      <c r="K467" s="18" t="str">
        <f t="shared" si="2"/>
        <v>contact</v>
      </c>
    </row>
    <row r="468" spans="1:11" x14ac:dyDescent="0.25">
      <c r="A468" s="13" t="s">
        <v>1380</v>
      </c>
      <c r="B468" s="13" t="s">
        <v>1352</v>
      </c>
      <c r="C468" s="13" t="s">
        <v>488</v>
      </c>
      <c r="D468" s="13" t="s">
        <v>1365</v>
      </c>
      <c r="E468" s="16" t="s">
        <v>41</v>
      </c>
      <c r="F468" s="16" t="s">
        <v>468</v>
      </c>
      <c r="G468" s="16" t="s">
        <v>770</v>
      </c>
      <c r="H468" s="16" t="s">
        <v>770</v>
      </c>
      <c r="I468" s="16">
        <v>153</v>
      </c>
      <c r="J468" s="16">
        <v>158</v>
      </c>
      <c r="K468" s="18" t="str">
        <f t="shared" si="2"/>
        <v>contact</v>
      </c>
    </row>
    <row r="469" spans="1:11" x14ac:dyDescent="0.25">
      <c r="A469" s="13" t="s">
        <v>1381</v>
      </c>
      <c r="B469" s="13" t="s">
        <v>1352</v>
      </c>
      <c r="C469" s="13" t="s">
        <v>488</v>
      </c>
      <c r="D469" s="13" t="s">
        <v>1365</v>
      </c>
      <c r="E469" s="16" t="s">
        <v>41</v>
      </c>
      <c r="F469" s="16" t="s">
        <v>40</v>
      </c>
      <c r="G469" s="16" t="s">
        <v>770</v>
      </c>
      <c r="H469" s="16" t="s">
        <v>770</v>
      </c>
      <c r="I469" s="16">
        <v>1435</v>
      </c>
      <c r="J469" s="16">
        <v>1415</v>
      </c>
      <c r="K469" s="18" t="str">
        <f t="shared" si="2"/>
        <v>contact</v>
      </c>
    </row>
    <row r="470" spans="1:11" x14ac:dyDescent="0.25">
      <c r="A470" s="13" t="s">
        <v>1382</v>
      </c>
      <c r="B470" s="13" t="s">
        <v>1352</v>
      </c>
      <c r="C470" s="13" t="s">
        <v>488</v>
      </c>
      <c r="D470" s="13" t="s">
        <v>1368</v>
      </c>
      <c r="E470" s="16" t="s">
        <v>41</v>
      </c>
      <c r="F470" s="16" t="s">
        <v>468</v>
      </c>
      <c r="G470" s="16" t="s">
        <v>770</v>
      </c>
      <c r="H470" s="16" t="s">
        <v>770</v>
      </c>
      <c r="I470" s="16">
        <v>254</v>
      </c>
      <c r="J470" s="16">
        <v>254</v>
      </c>
      <c r="K470" s="18" t="str">
        <f t="shared" si="2"/>
        <v>contact</v>
      </c>
    </row>
    <row r="471" spans="1:11" x14ac:dyDescent="0.25">
      <c r="A471" s="13" t="s">
        <v>1383</v>
      </c>
      <c r="B471" s="13" t="s">
        <v>1352</v>
      </c>
      <c r="C471" s="13" t="s">
        <v>488</v>
      </c>
      <c r="D471" s="13" t="s">
        <v>1368</v>
      </c>
      <c r="E471" s="16" t="s">
        <v>41</v>
      </c>
      <c r="F471" s="16" t="s">
        <v>40</v>
      </c>
      <c r="G471" s="16" t="s">
        <v>770</v>
      </c>
      <c r="H471" s="16" t="s">
        <v>770</v>
      </c>
      <c r="I471" s="16">
        <v>544</v>
      </c>
      <c r="J471" s="16">
        <v>498</v>
      </c>
      <c r="K471" s="18" t="str">
        <f t="shared" si="2"/>
        <v>contact</v>
      </c>
    </row>
    <row r="472" spans="1:11" x14ac:dyDescent="0.25">
      <c r="A472" s="13" t="s">
        <v>1384</v>
      </c>
      <c r="B472" s="13" t="s">
        <v>1352</v>
      </c>
      <c r="C472" s="13" t="s">
        <v>488</v>
      </c>
      <c r="D472" s="13" t="s">
        <v>1385</v>
      </c>
      <c r="E472" s="16" t="s">
        <v>41</v>
      </c>
      <c r="F472" s="16" t="s">
        <v>468</v>
      </c>
      <c r="G472" s="16" t="s">
        <v>526</v>
      </c>
      <c r="H472" s="16" t="s">
        <v>526</v>
      </c>
      <c r="I472" s="16">
        <v>4</v>
      </c>
      <c r="J472" s="16">
        <v>8</v>
      </c>
      <c r="K472" s="18" t="str">
        <f t="shared" si="2"/>
        <v>contact</v>
      </c>
    </row>
    <row r="473" spans="1:11" x14ac:dyDescent="0.25">
      <c r="A473" s="13" t="s">
        <v>1386</v>
      </c>
      <c r="B473" s="13" t="s">
        <v>1352</v>
      </c>
      <c r="C473" s="13" t="s">
        <v>488</v>
      </c>
      <c r="D473" s="13" t="s">
        <v>1385</v>
      </c>
      <c r="E473" s="16" t="s">
        <v>41</v>
      </c>
      <c r="F473" s="16" t="s">
        <v>40</v>
      </c>
      <c r="G473" s="16" t="s">
        <v>526</v>
      </c>
      <c r="H473" s="16" t="s">
        <v>526</v>
      </c>
      <c r="I473" s="16">
        <v>4</v>
      </c>
      <c r="J473" s="16">
        <v>17</v>
      </c>
      <c r="K473" s="18" t="str">
        <f t="shared" si="2"/>
        <v>contact</v>
      </c>
    </row>
    <row r="474" spans="1:11" x14ac:dyDescent="0.25">
      <c r="A474" s="13" t="s">
        <v>1387</v>
      </c>
      <c r="B474" s="13" t="s">
        <v>1352</v>
      </c>
      <c r="C474" s="13" t="s">
        <v>488</v>
      </c>
      <c r="D474" s="13" t="s">
        <v>1388</v>
      </c>
      <c r="E474" s="16" t="s">
        <v>41</v>
      </c>
      <c r="F474" s="16" t="s">
        <v>40</v>
      </c>
      <c r="G474" s="16" t="s">
        <v>526</v>
      </c>
      <c r="H474" s="16" t="s">
        <v>526</v>
      </c>
      <c r="I474" s="16">
        <v>6</v>
      </c>
      <c r="J474" s="16">
        <v>9</v>
      </c>
      <c r="K474" s="18" t="str">
        <f t="shared" si="2"/>
        <v>contact</v>
      </c>
    </row>
    <row r="475" spans="1:11" x14ac:dyDescent="0.25">
      <c r="A475" s="13" t="s">
        <v>1389</v>
      </c>
      <c r="B475" s="13" t="s">
        <v>1352</v>
      </c>
      <c r="C475" s="13" t="s">
        <v>488</v>
      </c>
      <c r="D475" s="13" t="s">
        <v>1390</v>
      </c>
      <c r="E475" s="16" t="s">
        <v>41</v>
      </c>
      <c r="F475" s="16" t="s">
        <v>468</v>
      </c>
      <c r="G475" s="16"/>
      <c r="H475" s="16" t="s">
        <v>526</v>
      </c>
      <c r="I475" s="16"/>
      <c r="J475" s="16">
        <v>3</v>
      </c>
      <c r="K475" s="18" t="str">
        <f t="shared" si="2"/>
        <v>contact</v>
      </c>
    </row>
    <row r="476" spans="1:11" x14ac:dyDescent="0.25">
      <c r="A476" s="13" t="s">
        <v>1391</v>
      </c>
      <c r="B476" s="13" t="s">
        <v>1352</v>
      </c>
      <c r="C476" s="13" t="s">
        <v>488</v>
      </c>
      <c r="D476" s="13" t="s">
        <v>1392</v>
      </c>
      <c r="E476" s="16" t="s">
        <v>13</v>
      </c>
      <c r="F476" s="16" t="s">
        <v>12</v>
      </c>
      <c r="G476" s="16" t="s">
        <v>398</v>
      </c>
      <c r="H476" s="16" t="s">
        <v>398</v>
      </c>
      <c r="I476" s="16">
        <v>1886</v>
      </c>
      <c r="J476" s="16">
        <v>1912</v>
      </c>
      <c r="K476" s="18" t="str">
        <f>HYPERLINK("mailto:farzadfarf@who.int; farzadfar3@yahoo.com", "contact")</f>
        <v>contact</v>
      </c>
    </row>
    <row r="477" spans="1:11" x14ac:dyDescent="0.25">
      <c r="A477" s="13" t="s">
        <v>1393</v>
      </c>
      <c r="B477" s="13" t="s">
        <v>1352</v>
      </c>
      <c r="C477" s="13" t="s">
        <v>488</v>
      </c>
      <c r="D477" s="13" t="s">
        <v>1394</v>
      </c>
      <c r="E477" s="16" t="s">
        <v>13</v>
      </c>
      <c r="F477" s="16" t="s">
        <v>12</v>
      </c>
      <c r="G477" s="16" t="s">
        <v>398</v>
      </c>
      <c r="H477" s="16" t="s">
        <v>398</v>
      </c>
      <c r="I477" s="16">
        <v>11705</v>
      </c>
      <c r="J477" s="16">
        <v>11919</v>
      </c>
      <c r="K477" s="18" t="str">
        <f>HYPERLINK("mailto:farzadfarf@who.int; farzadfar3@yahoo.com", "contact")</f>
        <v>contact</v>
      </c>
    </row>
    <row r="478" spans="1:11" x14ac:dyDescent="0.25">
      <c r="A478" s="13" t="s">
        <v>1395</v>
      </c>
      <c r="B478" s="13" t="s">
        <v>1352</v>
      </c>
      <c r="C478" s="13" t="s">
        <v>670</v>
      </c>
      <c r="D478" s="13" t="s">
        <v>1373</v>
      </c>
      <c r="E478" s="16" t="s">
        <v>13</v>
      </c>
      <c r="F478" s="16" t="s">
        <v>12</v>
      </c>
      <c r="G478" s="16" t="s">
        <v>526</v>
      </c>
      <c r="H478" s="16" t="s">
        <v>526</v>
      </c>
      <c r="I478" s="16">
        <v>532</v>
      </c>
      <c r="J478" s="16">
        <v>497</v>
      </c>
      <c r="K478" s="18" t="str">
        <f>HYPERLINK("mailto:kelishadi@med.mui.ac.ir; roya.kelishadi@gmail.com", "contact")</f>
        <v>contact</v>
      </c>
    </row>
    <row r="479" spans="1:11" x14ac:dyDescent="0.25">
      <c r="A479" s="13" t="s">
        <v>1396</v>
      </c>
      <c r="B479" s="13" t="s">
        <v>1352</v>
      </c>
      <c r="C479" s="13" t="s">
        <v>670</v>
      </c>
      <c r="D479" s="13" t="s">
        <v>1375</v>
      </c>
      <c r="E479" s="16" t="s">
        <v>53</v>
      </c>
      <c r="F479" s="16" t="s">
        <v>40</v>
      </c>
      <c r="G479" s="16" t="s">
        <v>1397</v>
      </c>
      <c r="H479" s="16" t="s">
        <v>1397</v>
      </c>
      <c r="I479" s="16">
        <v>1014</v>
      </c>
      <c r="J479" s="16">
        <v>833</v>
      </c>
      <c r="K479" s="18" t="str">
        <f>HYPERLINK("mailto:inabipour@gmail.com", "contact")</f>
        <v>contact</v>
      </c>
    </row>
    <row r="480" spans="1:11" x14ac:dyDescent="0.25">
      <c r="A480" s="13" t="s">
        <v>1398</v>
      </c>
      <c r="B480" s="13" t="s">
        <v>1352</v>
      </c>
      <c r="C480" s="13" t="s">
        <v>859</v>
      </c>
      <c r="D480" s="13" t="s">
        <v>1399</v>
      </c>
      <c r="E480" s="16" t="s">
        <v>41</v>
      </c>
      <c r="F480" s="16" t="s">
        <v>40</v>
      </c>
      <c r="G480" s="16" t="s">
        <v>434</v>
      </c>
      <c r="H480" s="16" t="s">
        <v>434</v>
      </c>
      <c r="I480" s="16">
        <v>6000</v>
      </c>
      <c r="J480" s="16">
        <v>4704</v>
      </c>
      <c r="K480" s="18" t="str">
        <f>HYPERLINK("mailto:azizi@endocrine.ac.ir", "contact")</f>
        <v>contact</v>
      </c>
    </row>
    <row r="481" spans="1:11" x14ac:dyDescent="0.25">
      <c r="A481" s="13" t="s">
        <v>1400</v>
      </c>
      <c r="B481" s="13" t="s">
        <v>1352</v>
      </c>
      <c r="C481" s="13" t="s">
        <v>460</v>
      </c>
      <c r="D481" s="13" t="s">
        <v>1401</v>
      </c>
      <c r="E481" s="16" t="s">
        <v>53</v>
      </c>
      <c r="F481" s="16" t="s">
        <v>468</v>
      </c>
      <c r="G481" s="16" t="s">
        <v>1402</v>
      </c>
      <c r="H481" s="16" t="s">
        <v>1402</v>
      </c>
      <c r="I481" s="16">
        <v>4921</v>
      </c>
      <c r="J481" s="16">
        <v>4325</v>
      </c>
      <c r="K481" s="18" t="str">
        <f>HYPERLINK("mailto:dr.reza.malekzadeh@gmail.com", "contact")</f>
        <v>contact</v>
      </c>
    </row>
    <row r="482" spans="1:11" x14ac:dyDescent="0.25">
      <c r="A482" s="13" t="s">
        <v>1403</v>
      </c>
      <c r="B482" s="13" t="s">
        <v>1352</v>
      </c>
      <c r="C482" s="13" t="s">
        <v>460</v>
      </c>
      <c r="D482" s="13" t="s">
        <v>1401</v>
      </c>
      <c r="E482" s="16" t="s">
        <v>41</v>
      </c>
      <c r="F482" s="16" t="s">
        <v>40</v>
      </c>
      <c r="G482" s="16" t="s">
        <v>1402</v>
      </c>
      <c r="H482" s="16" t="s">
        <v>1402</v>
      </c>
      <c r="I482" s="16">
        <v>1061</v>
      </c>
      <c r="J482" s="16">
        <v>1091</v>
      </c>
      <c r="K482" s="18" t="str">
        <f>HYPERLINK("mailto:dr.reza.malekzadeh@gmail.com", "contact")</f>
        <v>contact</v>
      </c>
    </row>
    <row r="483" spans="1:11" x14ac:dyDescent="0.25">
      <c r="A483" s="13" t="s">
        <v>1404</v>
      </c>
      <c r="B483" s="13" t="s">
        <v>1352</v>
      </c>
      <c r="C483" s="13" t="s">
        <v>499</v>
      </c>
      <c r="D483" s="13" t="s">
        <v>380</v>
      </c>
      <c r="E483" s="16" t="s">
        <v>13</v>
      </c>
      <c r="F483" s="16" t="s">
        <v>12</v>
      </c>
      <c r="G483" s="16" t="s">
        <v>1405</v>
      </c>
      <c r="H483" s="16" t="s">
        <v>1405</v>
      </c>
      <c r="I483" s="16">
        <v>4854</v>
      </c>
      <c r="J483" s="16">
        <v>3313</v>
      </c>
      <c r="K483" s="18" t="str">
        <f>HYPERLINK("mailto:farzadfarf@who.int; farzadfar3@yahoo.com", "contact")</f>
        <v>contact</v>
      </c>
    </row>
    <row r="484" spans="1:11" x14ac:dyDescent="0.25">
      <c r="A484" s="13" t="s">
        <v>1406</v>
      </c>
      <c r="B484" s="13" t="s">
        <v>1352</v>
      </c>
      <c r="C484" s="13" t="s">
        <v>400</v>
      </c>
      <c r="D484" s="13" t="s">
        <v>1407</v>
      </c>
      <c r="E484" s="16" t="s">
        <v>41</v>
      </c>
      <c r="F484" s="16" t="s">
        <v>468</v>
      </c>
      <c r="G484" s="16" t="s">
        <v>394</v>
      </c>
      <c r="H484" s="16" t="s">
        <v>394</v>
      </c>
      <c r="I484" s="16">
        <v>1024</v>
      </c>
      <c r="J484" s="16">
        <v>1685</v>
      </c>
      <c r="K484" s="18" t="str">
        <f>HYPERLINK("mailto:h.poustchi@gmail.com", "contact")</f>
        <v>contact</v>
      </c>
    </row>
    <row r="485" spans="1:11" x14ac:dyDescent="0.25">
      <c r="A485" s="13" t="s">
        <v>1408</v>
      </c>
      <c r="B485" s="13" t="s">
        <v>1352</v>
      </c>
      <c r="C485" s="13" t="s">
        <v>400</v>
      </c>
      <c r="D485" s="13" t="s">
        <v>1407</v>
      </c>
      <c r="E485" s="16" t="s">
        <v>41</v>
      </c>
      <c r="F485" s="16" t="s">
        <v>40</v>
      </c>
      <c r="G485" s="16" t="s">
        <v>394</v>
      </c>
      <c r="H485" s="16" t="s">
        <v>394</v>
      </c>
      <c r="I485" s="16">
        <v>1476</v>
      </c>
      <c r="J485" s="16">
        <v>1522</v>
      </c>
      <c r="K485" s="18" t="str">
        <f>HYPERLINK("mailto:h.poustchi@gmail.com", "contact")</f>
        <v>contact</v>
      </c>
    </row>
    <row r="486" spans="1:11" x14ac:dyDescent="0.25">
      <c r="A486" s="13" t="s">
        <v>1409</v>
      </c>
      <c r="B486" s="13" t="s">
        <v>1352</v>
      </c>
      <c r="C486" s="13" t="s">
        <v>562</v>
      </c>
      <c r="D486" s="13" t="s">
        <v>1410</v>
      </c>
      <c r="E486" s="16" t="s">
        <v>41</v>
      </c>
      <c r="F486" s="16" t="s">
        <v>40</v>
      </c>
      <c r="G486" s="16" t="s">
        <v>1411</v>
      </c>
      <c r="H486" s="16" t="s">
        <v>1411</v>
      </c>
      <c r="I486" s="16">
        <v>519</v>
      </c>
      <c r="J486" s="16">
        <v>395</v>
      </c>
      <c r="K486" s="18" t="str">
        <f>HYPERLINK("mailto:h.poustchi@gmail.com", "contact")</f>
        <v>contact</v>
      </c>
    </row>
    <row r="487" spans="1:11" x14ac:dyDescent="0.25">
      <c r="A487" s="13" t="s">
        <v>1412</v>
      </c>
      <c r="B487" s="13" t="s">
        <v>1352</v>
      </c>
      <c r="C487" s="13" t="s">
        <v>1089</v>
      </c>
      <c r="D487" s="13" t="s">
        <v>1413</v>
      </c>
      <c r="E487" s="16" t="s">
        <v>41</v>
      </c>
      <c r="F487" s="16" t="s">
        <v>468</v>
      </c>
      <c r="G487" s="16" t="s">
        <v>1414</v>
      </c>
      <c r="H487" s="16" t="s">
        <v>1414</v>
      </c>
      <c r="I487" s="16">
        <v>4988</v>
      </c>
      <c r="J487" s="16">
        <v>4276</v>
      </c>
      <c r="K487" s="18" t="str">
        <f>HYPERLINK("mailto:fatemehmalekzadeh59@gmail.com", "contact")</f>
        <v>contact</v>
      </c>
    </row>
    <row r="488" spans="1:11" x14ac:dyDescent="0.25">
      <c r="A488" s="13" t="s">
        <v>1415</v>
      </c>
      <c r="B488" s="13" t="s">
        <v>1352</v>
      </c>
      <c r="C488" s="13" t="s">
        <v>562</v>
      </c>
      <c r="D488" s="13" t="s">
        <v>1416</v>
      </c>
      <c r="E488" s="16" t="s">
        <v>41</v>
      </c>
      <c r="F488" s="16" t="s">
        <v>40</v>
      </c>
      <c r="G488" s="16" t="s">
        <v>1411</v>
      </c>
      <c r="H488" s="16" t="s">
        <v>1411</v>
      </c>
      <c r="I488" s="16">
        <v>1072</v>
      </c>
      <c r="J488" s="16">
        <v>1133</v>
      </c>
      <c r="K488" s="18" t="str">
        <f>HYPERLINK("mailto:h.poustchi@gmail.com", "contact")</f>
        <v>contact</v>
      </c>
    </row>
    <row r="489" spans="1:11" x14ac:dyDescent="0.25">
      <c r="A489" s="13" t="s">
        <v>1417</v>
      </c>
      <c r="B489" s="13" t="s">
        <v>1352</v>
      </c>
      <c r="C489" s="13" t="s">
        <v>386</v>
      </c>
      <c r="D489" s="13" t="s">
        <v>1418</v>
      </c>
      <c r="E489" s="16" t="s">
        <v>41</v>
      </c>
      <c r="F489" s="16" t="s">
        <v>40</v>
      </c>
      <c r="G489" s="16" t="s">
        <v>784</v>
      </c>
      <c r="H489" s="16" t="s">
        <v>784</v>
      </c>
      <c r="I489" s="16">
        <v>1545</v>
      </c>
      <c r="J489" s="16">
        <v>1455</v>
      </c>
      <c r="K489" s="18" t="str">
        <f>HYPERLINK("mailto:inabipour@gmail.com", "contact")</f>
        <v>contact</v>
      </c>
    </row>
    <row r="490" spans="1:11" x14ac:dyDescent="0.25">
      <c r="A490" s="13" t="s">
        <v>1419</v>
      </c>
      <c r="B490" s="13" t="s">
        <v>1352</v>
      </c>
      <c r="C490" s="13" t="s">
        <v>386</v>
      </c>
      <c r="D490" s="13" t="s">
        <v>1420</v>
      </c>
      <c r="E490" s="16" t="s">
        <v>53</v>
      </c>
      <c r="F490" s="16" t="s">
        <v>12</v>
      </c>
      <c r="G490" s="16" t="s">
        <v>724</v>
      </c>
      <c r="H490" s="16" t="s">
        <v>724</v>
      </c>
      <c r="I490" s="16">
        <v>1159</v>
      </c>
      <c r="J490" s="16">
        <v>839</v>
      </c>
      <c r="K490" s="18" t="str">
        <f>HYPERLINK("mailto:mdkatibeh@gmail.com", "contact")</f>
        <v>contact</v>
      </c>
    </row>
    <row r="491" spans="1:11" x14ac:dyDescent="0.25">
      <c r="A491" s="13" t="s">
        <v>1421</v>
      </c>
      <c r="B491" s="13" t="s">
        <v>1352</v>
      </c>
      <c r="C491" s="13" t="s">
        <v>570</v>
      </c>
      <c r="D491" s="13" t="s">
        <v>1373</v>
      </c>
      <c r="E491" s="16" t="s">
        <v>13</v>
      </c>
      <c r="F491" s="16" t="s">
        <v>12</v>
      </c>
      <c r="G491" s="16" t="s">
        <v>526</v>
      </c>
      <c r="H491" s="16" t="s">
        <v>526</v>
      </c>
      <c r="I491" s="16">
        <v>388</v>
      </c>
      <c r="J491" s="16">
        <v>330</v>
      </c>
      <c r="K491" s="18" t="str">
        <f>HYPERLINK("mailto:kelishadi@med.mui.ac.ir; roya.kelishadi@gmail.com", "contact")</f>
        <v>contact</v>
      </c>
    </row>
    <row r="492" spans="1:11" x14ac:dyDescent="0.25">
      <c r="A492" s="13" t="s">
        <v>1422</v>
      </c>
      <c r="B492" s="13" t="s">
        <v>1352</v>
      </c>
      <c r="C492" s="13" t="s">
        <v>873</v>
      </c>
      <c r="D492" s="13" t="s">
        <v>1423</v>
      </c>
      <c r="E492" s="16" t="s">
        <v>41</v>
      </c>
      <c r="F492" s="16" t="s">
        <v>468</v>
      </c>
      <c r="G492" s="16" t="s">
        <v>908</v>
      </c>
      <c r="H492" s="16" t="s">
        <v>908</v>
      </c>
      <c r="I492" s="16">
        <v>4584</v>
      </c>
      <c r="J492" s="16">
        <v>3752</v>
      </c>
      <c r="K492" s="18" t="str">
        <f>HYPERLINK("mailto:Farjam.md@gmail.com", "contact")</f>
        <v>contact</v>
      </c>
    </row>
    <row r="493" spans="1:11" x14ac:dyDescent="0.25">
      <c r="A493" s="13" t="s">
        <v>1424</v>
      </c>
      <c r="B493" s="13" t="s">
        <v>1352</v>
      </c>
      <c r="C493" s="13" t="s">
        <v>873</v>
      </c>
      <c r="D493" s="13" t="s">
        <v>1423</v>
      </c>
      <c r="E493" s="16" t="s">
        <v>41</v>
      </c>
      <c r="F493" s="16" t="s">
        <v>40</v>
      </c>
      <c r="G493" s="16" t="s">
        <v>908</v>
      </c>
      <c r="H493" s="16" t="s">
        <v>908</v>
      </c>
      <c r="I493" s="16">
        <v>812</v>
      </c>
      <c r="J493" s="16">
        <v>722</v>
      </c>
      <c r="K493" s="18" t="str">
        <f>HYPERLINK("mailto:Farjam.md@gmail.com", "contact")</f>
        <v>contact</v>
      </c>
    </row>
    <row r="494" spans="1:11" x14ac:dyDescent="0.25">
      <c r="A494" s="13" t="s">
        <v>1425</v>
      </c>
      <c r="B494" s="13" t="s">
        <v>1352</v>
      </c>
      <c r="C494" s="13" t="s">
        <v>873</v>
      </c>
      <c r="D494" s="13" t="s">
        <v>1426</v>
      </c>
      <c r="E494" s="16" t="s">
        <v>41</v>
      </c>
      <c r="F494" s="16" t="s">
        <v>468</v>
      </c>
      <c r="G494" s="16" t="s">
        <v>908</v>
      </c>
      <c r="H494" s="16" t="s">
        <v>908</v>
      </c>
      <c r="I494" s="16">
        <v>3261</v>
      </c>
      <c r="J494" s="16">
        <v>2646</v>
      </c>
      <c r="K494" s="18" t="str">
        <f>HYPERLINK("mailto:ghanaie@yahoo.com", "contact")</f>
        <v>contact</v>
      </c>
    </row>
    <row r="495" spans="1:11" x14ac:dyDescent="0.25">
      <c r="A495" s="13" t="s">
        <v>1427</v>
      </c>
      <c r="B495" s="13" t="s">
        <v>1352</v>
      </c>
      <c r="C495" s="13" t="s">
        <v>873</v>
      </c>
      <c r="D495" s="13" t="s">
        <v>1426</v>
      </c>
      <c r="E495" s="16" t="s">
        <v>41</v>
      </c>
      <c r="F495" s="16" t="s">
        <v>40</v>
      </c>
      <c r="G495" s="16" t="s">
        <v>908</v>
      </c>
      <c r="H495" s="16" t="s">
        <v>908</v>
      </c>
      <c r="I495" s="16">
        <v>2350</v>
      </c>
      <c r="J495" s="16">
        <v>2236</v>
      </c>
      <c r="K495" s="18" t="str">
        <f>HYPERLINK("mailto:ghanaie@yahoo.com", "contact")</f>
        <v>contact</v>
      </c>
    </row>
    <row r="496" spans="1:11" x14ac:dyDescent="0.25">
      <c r="A496" s="13" t="s">
        <v>1428</v>
      </c>
      <c r="B496" s="13" t="s">
        <v>1352</v>
      </c>
      <c r="C496" s="13" t="s">
        <v>873</v>
      </c>
      <c r="D496" s="13" t="s">
        <v>1429</v>
      </c>
      <c r="E496" s="16" t="s">
        <v>41</v>
      </c>
      <c r="F496" s="16" t="s">
        <v>468</v>
      </c>
      <c r="G496" s="16" t="s">
        <v>908</v>
      </c>
      <c r="H496" s="16" t="s">
        <v>908</v>
      </c>
      <c r="I496" s="16">
        <v>2198</v>
      </c>
      <c r="J496" s="16">
        <v>1809</v>
      </c>
      <c r="K496" s="18" t="str">
        <f>HYPERLINK("mailto:farid_n32@yahoo.com", "contact")</f>
        <v>contact</v>
      </c>
    </row>
    <row r="497" spans="1:11" x14ac:dyDescent="0.25">
      <c r="A497" s="13" t="s">
        <v>1430</v>
      </c>
      <c r="B497" s="13" t="s">
        <v>1352</v>
      </c>
      <c r="C497" s="13" t="s">
        <v>873</v>
      </c>
      <c r="D497" s="13" t="s">
        <v>1429</v>
      </c>
      <c r="E497" s="16" t="s">
        <v>41</v>
      </c>
      <c r="F497" s="16" t="s">
        <v>40</v>
      </c>
      <c r="G497" s="16" t="s">
        <v>908</v>
      </c>
      <c r="H497" s="16" t="s">
        <v>908</v>
      </c>
      <c r="I497" s="16">
        <v>2976</v>
      </c>
      <c r="J497" s="16">
        <v>2948</v>
      </c>
      <c r="K497" s="18" t="str">
        <f>HYPERLINK("mailto:farid_n32@yahoo.com", "contact")</f>
        <v>contact</v>
      </c>
    </row>
    <row r="498" spans="1:11" x14ac:dyDescent="0.25">
      <c r="A498" s="13" t="s">
        <v>1431</v>
      </c>
      <c r="B498" s="13" t="s">
        <v>1352</v>
      </c>
      <c r="C498" s="13" t="s">
        <v>873</v>
      </c>
      <c r="D498" s="13" t="s">
        <v>1432</v>
      </c>
      <c r="E498" s="16" t="s">
        <v>41</v>
      </c>
      <c r="F498" s="16" t="s">
        <v>468</v>
      </c>
      <c r="G498" s="16" t="s">
        <v>908</v>
      </c>
      <c r="H498" s="16" t="s">
        <v>908</v>
      </c>
      <c r="I498" s="16">
        <v>3861</v>
      </c>
      <c r="J498" s="16">
        <v>2914</v>
      </c>
      <c r="K498" s="18" t="str">
        <f>HYPERLINK("mailto:rezaiana@gmail.com", "contact")</f>
        <v>contact</v>
      </c>
    </row>
    <row r="499" spans="1:11" x14ac:dyDescent="0.25">
      <c r="A499" s="13" t="s">
        <v>1433</v>
      </c>
      <c r="B499" s="13" t="s">
        <v>1352</v>
      </c>
      <c r="C499" s="13" t="s">
        <v>873</v>
      </c>
      <c r="D499" s="13" t="s">
        <v>1432</v>
      </c>
      <c r="E499" s="16" t="s">
        <v>41</v>
      </c>
      <c r="F499" s="16" t="s">
        <v>40</v>
      </c>
      <c r="G499" s="16" t="s">
        <v>908</v>
      </c>
      <c r="H499" s="16" t="s">
        <v>908</v>
      </c>
      <c r="I499" s="16">
        <v>2001</v>
      </c>
      <c r="J499" s="16">
        <v>1795</v>
      </c>
      <c r="K499" s="18" t="str">
        <f>HYPERLINK("mailto:rezaiana@gmail.com", "contact")</f>
        <v>contact</v>
      </c>
    </row>
    <row r="500" spans="1:11" x14ac:dyDescent="0.25">
      <c r="A500" s="13" t="s">
        <v>1434</v>
      </c>
      <c r="B500" s="13" t="s">
        <v>1352</v>
      </c>
      <c r="C500" s="13" t="s">
        <v>873</v>
      </c>
      <c r="D500" s="13" t="s">
        <v>1435</v>
      </c>
      <c r="E500" s="16" t="s">
        <v>41</v>
      </c>
      <c r="F500" s="16" t="s">
        <v>468</v>
      </c>
      <c r="G500" s="16" t="s">
        <v>908</v>
      </c>
      <c r="H500" s="16" t="s">
        <v>908</v>
      </c>
      <c r="I500" s="16">
        <v>2549</v>
      </c>
      <c r="J500" s="16">
        <v>1974</v>
      </c>
      <c r="K500" s="18" t="str">
        <f>HYPERLINK("mailto:mhosseinsina@yahoo.com", "contact")</f>
        <v>contact</v>
      </c>
    </row>
    <row r="501" spans="1:11" x14ac:dyDescent="0.25">
      <c r="A501" s="13" t="s">
        <v>1436</v>
      </c>
      <c r="B501" s="13" t="s">
        <v>1352</v>
      </c>
      <c r="C501" s="13" t="s">
        <v>873</v>
      </c>
      <c r="D501" s="13" t="s">
        <v>1435</v>
      </c>
      <c r="E501" s="16" t="s">
        <v>41</v>
      </c>
      <c r="F501" s="16" t="s">
        <v>40</v>
      </c>
      <c r="G501" s="16" t="s">
        <v>908</v>
      </c>
      <c r="H501" s="16" t="s">
        <v>908</v>
      </c>
      <c r="I501" s="16">
        <v>5595</v>
      </c>
      <c r="J501" s="16">
        <v>4671</v>
      </c>
      <c r="K501" s="18" t="str">
        <f>HYPERLINK("mailto:mhosseinsina@yahoo.com", "contact")</f>
        <v>contact</v>
      </c>
    </row>
    <row r="502" spans="1:11" x14ac:dyDescent="0.25">
      <c r="A502" s="13" t="s">
        <v>1437</v>
      </c>
      <c r="B502" s="13" t="s">
        <v>1352</v>
      </c>
      <c r="C502" s="13" t="s">
        <v>739</v>
      </c>
      <c r="D502" s="13" t="s">
        <v>1438</v>
      </c>
      <c r="E502" s="16" t="s">
        <v>41</v>
      </c>
      <c r="F502" s="16" t="s">
        <v>468</v>
      </c>
      <c r="G502" s="16" t="s">
        <v>908</v>
      </c>
      <c r="H502" s="16" t="s">
        <v>908</v>
      </c>
      <c r="I502" s="16">
        <v>1608</v>
      </c>
      <c r="J502" s="16">
        <v>936</v>
      </c>
      <c r="K502" s="18" t="str">
        <f>HYPERLINK("mailto:mmoosazadeh1351@gmail.com", "contact")</f>
        <v>contact</v>
      </c>
    </row>
    <row r="503" spans="1:11" x14ac:dyDescent="0.25">
      <c r="A503" s="13" t="s">
        <v>1439</v>
      </c>
      <c r="B503" s="13" t="s">
        <v>1352</v>
      </c>
      <c r="C503" s="13" t="s">
        <v>739</v>
      </c>
      <c r="D503" s="13" t="s">
        <v>1438</v>
      </c>
      <c r="E503" s="16" t="s">
        <v>41</v>
      </c>
      <c r="F503" s="16" t="s">
        <v>40</v>
      </c>
      <c r="G503" s="16" t="s">
        <v>908</v>
      </c>
      <c r="H503" s="16" t="s">
        <v>908</v>
      </c>
      <c r="I503" s="16">
        <v>4421</v>
      </c>
      <c r="J503" s="16">
        <v>3179</v>
      </c>
      <c r="K503" s="18" t="str">
        <f>HYPERLINK("mailto:mmoosazadeh1351@gmail.com", "contact")</f>
        <v>contact</v>
      </c>
    </row>
    <row r="504" spans="1:11" x14ac:dyDescent="0.25">
      <c r="A504" s="13" t="s">
        <v>1440</v>
      </c>
      <c r="B504" s="13" t="s">
        <v>1352</v>
      </c>
      <c r="C504" s="13" t="s">
        <v>739</v>
      </c>
      <c r="D504" s="13" t="s">
        <v>1441</v>
      </c>
      <c r="E504" s="16" t="s">
        <v>41</v>
      </c>
      <c r="F504" s="16" t="s">
        <v>468</v>
      </c>
      <c r="G504" s="16" t="s">
        <v>908</v>
      </c>
      <c r="H504" s="16" t="s">
        <v>908</v>
      </c>
      <c r="I504" s="16">
        <v>1030</v>
      </c>
      <c r="J504" s="16">
        <v>1578</v>
      </c>
      <c r="K504" s="18" t="str">
        <f>HYPERLINK("mailto:dr_esmaeili_n@yahoo.com", "contact")</f>
        <v>contact</v>
      </c>
    </row>
    <row r="505" spans="1:11" x14ac:dyDescent="0.25">
      <c r="A505" s="13" t="s">
        <v>1442</v>
      </c>
      <c r="B505" s="13" t="s">
        <v>1352</v>
      </c>
      <c r="C505" s="13" t="s">
        <v>739</v>
      </c>
      <c r="D505" s="13" t="s">
        <v>1441</v>
      </c>
      <c r="E505" s="16" t="s">
        <v>41</v>
      </c>
      <c r="F505" s="16" t="s">
        <v>40</v>
      </c>
      <c r="G505" s="16" t="s">
        <v>908</v>
      </c>
      <c r="H505" s="16" t="s">
        <v>908</v>
      </c>
      <c r="I505" s="16">
        <v>4280</v>
      </c>
      <c r="J505" s="16">
        <v>3593</v>
      </c>
      <c r="K505" s="18" t="str">
        <f>HYPERLINK("mailto:dr_esmaeili_n@yahoo.com", "contact")</f>
        <v>contact</v>
      </c>
    </row>
    <row r="506" spans="1:11" x14ac:dyDescent="0.25">
      <c r="A506" s="13" t="s">
        <v>1443</v>
      </c>
      <c r="B506" s="13" t="s">
        <v>1352</v>
      </c>
      <c r="C506" s="13" t="s">
        <v>404</v>
      </c>
      <c r="D506" s="13" t="s">
        <v>1444</v>
      </c>
      <c r="E506" s="16" t="s">
        <v>13</v>
      </c>
      <c r="F506" s="16" t="s">
        <v>12</v>
      </c>
      <c r="G506" s="16" t="s">
        <v>414</v>
      </c>
      <c r="H506" s="16" t="s">
        <v>414</v>
      </c>
      <c r="I506" s="16">
        <v>10015</v>
      </c>
      <c r="J506" s="16">
        <v>8704</v>
      </c>
      <c r="K506" s="18" t="str">
        <f>HYPERLINK("mailto:farzadfarf@who.int; farzadfar3@yahoo.com", "contact")</f>
        <v>contact</v>
      </c>
    </row>
    <row r="507" spans="1:11" x14ac:dyDescent="0.25">
      <c r="A507" s="13" t="s">
        <v>1445</v>
      </c>
      <c r="B507" s="13" t="s">
        <v>1352</v>
      </c>
      <c r="C507" s="13" t="s">
        <v>739</v>
      </c>
      <c r="D507" s="13" t="s">
        <v>1446</v>
      </c>
      <c r="E507" s="16" t="s">
        <v>41</v>
      </c>
      <c r="F507" s="16" t="s">
        <v>40</v>
      </c>
      <c r="G507" s="16" t="s">
        <v>1447</v>
      </c>
      <c r="H507" s="16" t="s">
        <v>1447</v>
      </c>
      <c r="I507" s="16">
        <v>4861</v>
      </c>
      <c r="J507" s="16">
        <v>5002</v>
      </c>
      <c r="K507" s="18" t="str">
        <f>HYPERLINK("mailto:dr.mirjalili@ssu.ac.ir", "contact")</f>
        <v>contact</v>
      </c>
    </row>
    <row r="508" spans="1:11" x14ac:dyDescent="0.25">
      <c r="A508" s="13" t="s">
        <v>1448</v>
      </c>
      <c r="B508" s="13" t="s">
        <v>1352</v>
      </c>
      <c r="C508" s="13" t="s">
        <v>745</v>
      </c>
      <c r="D508" s="13" t="s">
        <v>1449</v>
      </c>
      <c r="E508" s="16" t="s">
        <v>41</v>
      </c>
      <c r="F508" s="16" t="s">
        <v>468</v>
      </c>
      <c r="G508" s="16" t="s">
        <v>908</v>
      </c>
      <c r="H508" s="16" t="s">
        <v>908</v>
      </c>
      <c r="I508" s="16">
        <v>2282</v>
      </c>
      <c r="J508" s="16">
        <v>1479</v>
      </c>
      <c r="K508" s="18" t="str">
        <f>HYPERLINK("mailto:ahvaz.ent@gmail.com", "contact")</f>
        <v>contact</v>
      </c>
    </row>
    <row r="509" spans="1:11" x14ac:dyDescent="0.25">
      <c r="A509" s="13" t="s">
        <v>1450</v>
      </c>
      <c r="B509" s="13" t="s">
        <v>1352</v>
      </c>
      <c r="C509" s="13" t="s">
        <v>745</v>
      </c>
      <c r="D509" s="13" t="s">
        <v>1449</v>
      </c>
      <c r="E509" s="16" t="s">
        <v>41</v>
      </c>
      <c r="F509" s="16" t="s">
        <v>40</v>
      </c>
      <c r="G509" s="16" t="s">
        <v>908</v>
      </c>
      <c r="H509" s="16" t="s">
        <v>908</v>
      </c>
      <c r="I509" s="16">
        <v>3554</v>
      </c>
      <c r="J509" s="16">
        <v>2512</v>
      </c>
      <c r="K509" s="18" t="str">
        <f>HYPERLINK("mailto:ahvaz.ent@gmail.com", "contact")</f>
        <v>contact</v>
      </c>
    </row>
    <row r="510" spans="1:11" x14ac:dyDescent="0.25">
      <c r="A510" s="13" t="s">
        <v>1451</v>
      </c>
      <c r="B510" s="13" t="s">
        <v>1352</v>
      </c>
      <c r="C510" s="13" t="s">
        <v>745</v>
      </c>
      <c r="D510" s="13" t="s">
        <v>1452</v>
      </c>
      <c r="E510" s="16" t="s">
        <v>41</v>
      </c>
      <c r="F510" s="16" t="s">
        <v>468</v>
      </c>
      <c r="G510" s="16" t="s">
        <v>908</v>
      </c>
      <c r="H510" s="16" t="s">
        <v>908</v>
      </c>
      <c r="I510" s="16">
        <v>366</v>
      </c>
      <c r="J510" s="16">
        <v>234</v>
      </c>
      <c r="K510" s="18" t="str">
        <f>HYPERLINK("mailto:azimnejate@yahoo.com", "contact")</f>
        <v>contact</v>
      </c>
    </row>
    <row r="511" spans="1:11" x14ac:dyDescent="0.25">
      <c r="A511" s="13" t="s">
        <v>1453</v>
      </c>
      <c r="B511" s="13" t="s">
        <v>1352</v>
      </c>
      <c r="C511" s="13" t="s">
        <v>745</v>
      </c>
      <c r="D511" s="13" t="s">
        <v>1452</v>
      </c>
      <c r="E511" s="16" t="s">
        <v>41</v>
      </c>
      <c r="F511" s="16" t="s">
        <v>40</v>
      </c>
      <c r="G511" s="16" t="s">
        <v>908</v>
      </c>
      <c r="H511" s="16" t="s">
        <v>908</v>
      </c>
      <c r="I511" s="16">
        <v>1902</v>
      </c>
      <c r="J511" s="16">
        <v>1485</v>
      </c>
      <c r="K511" s="18" t="str">
        <f>HYPERLINK("mailto:azimnejate@yahoo.com", "contact")</f>
        <v>contact</v>
      </c>
    </row>
    <row r="512" spans="1:11" x14ac:dyDescent="0.25">
      <c r="A512" s="13" t="s">
        <v>1454</v>
      </c>
      <c r="B512" s="13" t="s">
        <v>1352</v>
      </c>
      <c r="C512" s="13" t="s">
        <v>463</v>
      </c>
      <c r="D512" s="13" t="s">
        <v>1455</v>
      </c>
      <c r="E512" s="16" t="s">
        <v>41</v>
      </c>
      <c r="F512" s="16" t="s">
        <v>40</v>
      </c>
      <c r="G512" s="16" t="s">
        <v>1456</v>
      </c>
      <c r="H512" s="16" t="s">
        <v>1456</v>
      </c>
      <c r="I512" s="16">
        <v>317</v>
      </c>
      <c r="J512" s="16">
        <v>176</v>
      </c>
      <c r="K512" s="18" t="str">
        <f>HYPERLINK("mailto:Saeed.dastgiri@gmail.com", "contact")</f>
        <v>contact</v>
      </c>
    </row>
    <row r="513" spans="1:11" x14ac:dyDescent="0.25">
      <c r="A513" s="13" t="s">
        <v>1457</v>
      </c>
      <c r="B513" s="13" t="s">
        <v>1352</v>
      </c>
      <c r="C513" s="13" t="s">
        <v>516</v>
      </c>
      <c r="D513" s="13" t="s">
        <v>1458</v>
      </c>
      <c r="E513" s="16" t="s">
        <v>41</v>
      </c>
      <c r="F513" s="16" t="s">
        <v>468</v>
      </c>
      <c r="G513" s="16" t="s">
        <v>431</v>
      </c>
      <c r="H513" s="16" t="s">
        <v>431</v>
      </c>
      <c r="I513" s="16">
        <v>3173</v>
      </c>
      <c r="J513" s="16">
        <v>2919</v>
      </c>
      <c r="K513" s="18" t="str">
        <f>HYPERLINK("mailto:saeidsafiri@gmail.com", "contact")</f>
        <v>contact</v>
      </c>
    </row>
    <row r="514" spans="1:11" x14ac:dyDescent="0.25">
      <c r="A514" s="13" t="s">
        <v>1459</v>
      </c>
      <c r="B514" s="13" t="s">
        <v>1352</v>
      </c>
      <c r="C514" s="13" t="s">
        <v>516</v>
      </c>
      <c r="D514" s="13" t="s">
        <v>1460</v>
      </c>
      <c r="E514" s="16" t="s">
        <v>53</v>
      </c>
      <c r="F514" s="16" t="s">
        <v>12</v>
      </c>
      <c r="G514" s="16" t="s">
        <v>526</v>
      </c>
      <c r="H514" s="16" t="s">
        <v>526</v>
      </c>
      <c r="I514" s="16">
        <v>16</v>
      </c>
      <c r="J514" s="16">
        <v>15</v>
      </c>
      <c r="K514" s="18" t="str">
        <f>HYPERLINK("mailto:mohammadimr@tums.ac.ir", "contact")</f>
        <v>contact</v>
      </c>
    </row>
    <row r="515" spans="1:11" x14ac:dyDescent="0.25">
      <c r="A515" s="13" t="s">
        <v>1461</v>
      </c>
      <c r="B515" s="13" t="s">
        <v>1352</v>
      </c>
      <c r="C515" s="13" t="s">
        <v>745</v>
      </c>
      <c r="D515" s="13" t="s">
        <v>1462</v>
      </c>
      <c r="E515" s="16" t="s">
        <v>41</v>
      </c>
      <c r="F515" s="16" t="s">
        <v>468</v>
      </c>
      <c r="G515" s="16" t="s">
        <v>908</v>
      </c>
      <c r="H515" s="16" t="s">
        <v>908</v>
      </c>
      <c r="I515" s="16">
        <v>2379</v>
      </c>
      <c r="J515" s="16">
        <v>1821</v>
      </c>
      <c r="K515" s="18" t="str">
        <f>HYPERLINK("mailto:irajmohebbi@umsu.ac.ir", "contact")</f>
        <v>contact</v>
      </c>
    </row>
    <row r="516" spans="1:11" x14ac:dyDescent="0.25">
      <c r="A516" s="13" t="s">
        <v>1463</v>
      </c>
      <c r="B516" s="13" t="s">
        <v>1352</v>
      </c>
      <c r="C516" s="13" t="s">
        <v>745</v>
      </c>
      <c r="D516" s="13" t="s">
        <v>1462</v>
      </c>
      <c r="E516" s="16" t="s">
        <v>41</v>
      </c>
      <c r="F516" s="16" t="s">
        <v>40</v>
      </c>
      <c r="G516" s="16" t="s">
        <v>908</v>
      </c>
      <c r="H516" s="16" t="s">
        <v>908</v>
      </c>
      <c r="I516" s="16">
        <v>484</v>
      </c>
      <c r="J516" s="16">
        <v>423</v>
      </c>
      <c r="K516" s="18" t="str">
        <f>HYPERLINK("mailto:irajmohebbi@umsu.ac.ir", "contact")</f>
        <v>contact</v>
      </c>
    </row>
    <row r="517" spans="1:11" x14ac:dyDescent="0.25">
      <c r="A517" s="13" t="s">
        <v>1464</v>
      </c>
      <c r="B517" s="13" t="s">
        <v>1352</v>
      </c>
      <c r="C517" s="13" t="s">
        <v>834</v>
      </c>
      <c r="D517" s="13" t="s">
        <v>1465</v>
      </c>
      <c r="E517" s="16" t="s">
        <v>41</v>
      </c>
      <c r="F517" s="16" t="s">
        <v>40</v>
      </c>
      <c r="G517" s="16" t="s">
        <v>908</v>
      </c>
      <c r="H517" s="16" t="s">
        <v>908</v>
      </c>
      <c r="I517" s="16">
        <v>6024</v>
      </c>
      <c r="J517" s="16">
        <v>3909</v>
      </c>
      <c r="K517" s="18" t="str">
        <f>HYPERLINK("mailto:ansarialireza@yahoo.com", "contact")</f>
        <v>contact</v>
      </c>
    </row>
    <row r="518" spans="1:11" x14ac:dyDescent="0.25">
      <c r="A518" s="13" t="s">
        <v>1466</v>
      </c>
      <c r="B518" s="13" t="s">
        <v>1352</v>
      </c>
      <c r="C518" s="13" t="s">
        <v>1467</v>
      </c>
      <c r="D518" s="13" t="s">
        <v>1468</v>
      </c>
      <c r="E518" s="16" t="s">
        <v>41</v>
      </c>
      <c r="F518" s="16" t="s">
        <v>40</v>
      </c>
      <c r="G518" s="16" t="s">
        <v>908</v>
      </c>
      <c r="H518" s="16" t="s">
        <v>908</v>
      </c>
      <c r="I518" s="16">
        <v>11250</v>
      </c>
      <c r="J518" s="16">
        <v>9552</v>
      </c>
      <c r="K518" s="18" t="str">
        <f>HYPERLINK("mailto:farhad.pourfarzi@gmail.com", "contact")</f>
        <v>contact</v>
      </c>
    </row>
    <row r="519" spans="1:11" x14ac:dyDescent="0.25">
      <c r="A519" s="13" t="s">
        <v>1469</v>
      </c>
      <c r="B519" s="13" t="s">
        <v>1352</v>
      </c>
      <c r="C519" s="13" t="s">
        <v>1095</v>
      </c>
      <c r="D519" s="13" t="s">
        <v>1470</v>
      </c>
      <c r="E519" s="16" t="s">
        <v>41</v>
      </c>
      <c r="F519" s="16" t="s">
        <v>468</v>
      </c>
      <c r="G519" s="16" t="s">
        <v>908</v>
      </c>
      <c r="H519" s="16" t="s">
        <v>908</v>
      </c>
      <c r="I519" s="16">
        <v>920</v>
      </c>
      <c r="J519" s="16">
        <v>610</v>
      </c>
      <c r="K519" s="18" t="str">
        <f>HYPERLINK("mailto:J_harooni@yahoo.com", "contact")</f>
        <v>contact</v>
      </c>
    </row>
    <row r="520" spans="1:11" x14ac:dyDescent="0.25">
      <c r="A520" s="13" t="s">
        <v>1471</v>
      </c>
      <c r="B520" s="13" t="s">
        <v>1352</v>
      </c>
      <c r="C520" s="13" t="s">
        <v>1095</v>
      </c>
      <c r="D520" s="13" t="s">
        <v>1470</v>
      </c>
      <c r="E520" s="16" t="s">
        <v>41</v>
      </c>
      <c r="F520" s="16" t="s">
        <v>40</v>
      </c>
      <c r="G520" s="16" t="s">
        <v>908</v>
      </c>
      <c r="H520" s="16" t="s">
        <v>908</v>
      </c>
      <c r="I520" s="16">
        <v>1126</v>
      </c>
      <c r="J520" s="16">
        <v>960</v>
      </c>
      <c r="K520" s="18" t="str">
        <f>HYPERLINK("mailto:J_harooni@yahoo.com", "contact")</f>
        <v>contact</v>
      </c>
    </row>
    <row r="521" spans="1:11" x14ac:dyDescent="0.25">
      <c r="A521" s="13" t="s">
        <v>1472</v>
      </c>
      <c r="B521" s="13" t="s">
        <v>1352</v>
      </c>
      <c r="C521" s="13" t="s">
        <v>486</v>
      </c>
      <c r="D521" s="13" t="s">
        <v>1473</v>
      </c>
      <c r="E521" s="16" t="s">
        <v>41</v>
      </c>
      <c r="F521" s="16" t="s">
        <v>468</v>
      </c>
      <c r="G521" s="16" t="s">
        <v>381</v>
      </c>
      <c r="H521" s="16" t="s">
        <v>381</v>
      </c>
      <c r="I521" s="16">
        <v>146</v>
      </c>
      <c r="J521" s="16">
        <v>152</v>
      </c>
      <c r="K521" s="18" t="str">
        <f>HYPERLINK("mailto:smk9289@gmail.com", "contact")</f>
        <v>contact</v>
      </c>
    </row>
    <row r="522" spans="1:11" x14ac:dyDescent="0.25">
      <c r="A522" s="13" t="s">
        <v>1474</v>
      </c>
      <c r="B522" s="13" t="s">
        <v>1352</v>
      </c>
      <c r="C522" s="13" t="s">
        <v>393</v>
      </c>
      <c r="D522" s="13" t="s">
        <v>1475</v>
      </c>
      <c r="E522" s="16" t="s">
        <v>41</v>
      </c>
      <c r="F522" s="16" t="s">
        <v>40</v>
      </c>
      <c r="G522" s="16" t="s">
        <v>908</v>
      </c>
      <c r="H522" s="16" t="s">
        <v>908</v>
      </c>
      <c r="I522" s="16">
        <v>2540</v>
      </c>
      <c r="J522" s="16">
        <v>2418</v>
      </c>
      <c r="K522" s="18" t="str">
        <f>HYPERLINK("mailto:safarpourar@gmail.com", "contact")</f>
        <v>contact</v>
      </c>
    </row>
    <row r="523" spans="1:11" x14ac:dyDescent="0.25">
      <c r="A523" s="13" t="s">
        <v>1476</v>
      </c>
      <c r="B523" s="13" t="s">
        <v>1352</v>
      </c>
      <c r="C523" s="13" t="s">
        <v>877</v>
      </c>
      <c r="D523" s="13" t="s">
        <v>1477</v>
      </c>
      <c r="E523" s="16" t="s">
        <v>53</v>
      </c>
      <c r="F523" s="16" t="s">
        <v>12</v>
      </c>
      <c r="G523" s="16" t="s">
        <v>788</v>
      </c>
      <c r="H523" s="16" t="s">
        <v>788</v>
      </c>
      <c r="I523" s="16">
        <v>18413</v>
      </c>
      <c r="J523" s="16">
        <v>10216</v>
      </c>
      <c r="K523" s="18" t="str">
        <f>HYPERLINK("mailto:h.poustchi@gmail.com ", "contact")</f>
        <v>contact</v>
      </c>
    </row>
    <row r="524" spans="1:11" x14ac:dyDescent="0.25">
      <c r="A524" s="13" t="s">
        <v>1478</v>
      </c>
      <c r="B524" s="13" t="s">
        <v>1352</v>
      </c>
      <c r="C524" s="13" t="s">
        <v>393</v>
      </c>
      <c r="D524" s="13" t="s">
        <v>1479</v>
      </c>
      <c r="E524" s="16" t="s">
        <v>53</v>
      </c>
      <c r="F524" s="16" t="s">
        <v>40</v>
      </c>
      <c r="G524" s="16" t="s">
        <v>1480</v>
      </c>
      <c r="H524" s="16" t="s">
        <v>1480</v>
      </c>
      <c r="I524" s="16">
        <v>3943</v>
      </c>
      <c r="J524" s="16">
        <v>3497</v>
      </c>
      <c r="K524" s="18" t="str">
        <f>HYPERLINK("mailto:aziminm@gmail.com", "contact")</f>
        <v>contact</v>
      </c>
    </row>
    <row r="525" spans="1:11" x14ac:dyDescent="0.25">
      <c r="A525" s="13" t="s">
        <v>1481</v>
      </c>
      <c r="B525" s="13" t="s">
        <v>1352</v>
      </c>
      <c r="C525" s="13" t="s">
        <v>1095</v>
      </c>
      <c r="D525" s="13" t="s">
        <v>1482</v>
      </c>
      <c r="E525" s="16" t="s">
        <v>41</v>
      </c>
      <c r="F525" s="16" t="s">
        <v>40</v>
      </c>
      <c r="G525" s="16" t="s">
        <v>908</v>
      </c>
      <c r="H525" s="16" t="s">
        <v>908</v>
      </c>
      <c r="I525" s="16">
        <v>2341</v>
      </c>
      <c r="J525" s="16">
        <v>1898</v>
      </c>
      <c r="K525" s="18" t="str">
        <f>HYPERLINK("mailto:alirezamoslem@gmail.com", "contact")</f>
        <v>contact</v>
      </c>
    </row>
    <row r="526" spans="1:11" x14ac:dyDescent="0.25">
      <c r="A526" s="13" t="s">
        <v>1483</v>
      </c>
      <c r="B526" s="13" t="s">
        <v>1352</v>
      </c>
      <c r="C526" s="13" t="s">
        <v>877</v>
      </c>
      <c r="D526" s="13" t="s">
        <v>1484</v>
      </c>
      <c r="E526" s="16" t="s">
        <v>41</v>
      </c>
      <c r="F526" s="16" t="s">
        <v>468</v>
      </c>
      <c r="G526" s="16" t="s">
        <v>908</v>
      </c>
      <c r="H526" s="16" t="s">
        <v>908</v>
      </c>
      <c r="I526" s="16">
        <v>1791</v>
      </c>
      <c r="J526" s="16">
        <v>1233</v>
      </c>
      <c r="K526" s="18" t="str">
        <f>HYPERLINK("mailto:aliahmadi2007@gmail.com", "contact")</f>
        <v>contact</v>
      </c>
    </row>
    <row r="527" spans="1:11" x14ac:dyDescent="0.25">
      <c r="A527" s="13" t="s">
        <v>1485</v>
      </c>
      <c r="B527" s="13" t="s">
        <v>1352</v>
      </c>
      <c r="C527" s="13" t="s">
        <v>877</v>
      </c>
      <c r="D527" s="13" t="s">
        <v>1484</v>
      </c>
      <c r="E527" s="16" t="s">
        <v>41</v>
      </c>
      <c r="F527" s="16" t="s">
        <v>40</v>
      </c>
      <c r="G527" s="16" t="s">
        <v>908</v>
      </c>
      <c r="H527" s="16" t="s">
        <v>908</v>
      </c>
      <c r="I527" s="16">
        <v>3495</v>
      </c>
      <c r="J527" s="16">
        <v>3499</v>
      </c>
      <c r="K527" s="18" t="str">
        <f>HYPERLINK("mailto:aliahmadi2007@gmail.com", "contact")</f>
        <v>contact</v>
      </c>
    </row>
    <row r="528" spans="1:11" x14ac:dyDescent="0.25">
      <c r="A528" s="13" t="s">
        <v>1486</v>
      </c>
      <c r="B528" s="13" t="s">
        <v>1352</v>
      </c>
      <c r="C528" s="13" t="s">
        <v>814</v>
      </c>
      <c r="D528" s="13" t="s">
        <v>1487</v>
      </c>
      <c r="E528" s="16" t="s">
        <v>41</v>
      </c>
      <c r="F528" s="16" t="s">
        <v>40</v>
      </c>
      <c r="G528" s="16" t="s">
        <v>1480</v>
      </c>
      <c r="H528" s="16" t="s">
        <v>1480</v>
      </c>
      <c r="I528" s="16">
        <v>1120</v>
      </c>
      <c r="J528" s="16">
        <v>835</v>
      </c>
      <c r="K528" s="18" t="str">
        <f>HYPERLINK("mailto:nfahimfar@gmail.com", "contact")</f>
        <v>contact</v>
      </c>
    </row>
    <row r="529" spans="1:11" x14ac:dyDescent="0.25">
      <c r="A529" s="13" t="s">
        <v>1488</v>
      </c>
      <c r="B529" s="13" t="s">
        <v>1352</v>
      </c>
      <c r="C529" s="13" t="s">
        <v>486</v>
      </c>
      <c r="D529" s="13" t="s">
        <v>1489</v>
      </c>
      <c r="E529" s="16" t="s">
        <v>41</v>
      </c>
      <c r="F529" s="16" t="s">
        <v>40</v>
      </c>
      <c r="G529" s="16" t="s">
        <v>908</v>
      </c>
      <c r="H529" s="16" t="s">
        <v>908</v>
      </c>
      <c r="I529" s="16">
        <v>2206</v>
      </c>
      <c r="J529" s="16">
        <v>1748</v>
      </c>
      <c r="K529" s="18" t="str">
        <f>HYPERLINK("mailto:Farhadmepid@muk.ac.ir", "contact")</f>
        <v>contact</v>
      </c>
    </row>
    <row r="530" spans="1:11" x14ac:dyDescent="0.25">
      <c r="A530" s="13" t="s">
        <v>1490</v>
      </c>
      <c r="B530" s="13" t="s">
        <v>1352</v>
      </c>
      <c r="C530" s="13" t="s">
        <v>894</v>
      </c>
      <c r="D530" s="13" t="s">
        <v>380</v>
      </c>
      <c r="E530" s="16" t="s">
        <v>13</v>
      </c>
      <c r="F530" s="16" t="s">
        <v>12</v>
      </c>
      <c r="G530" s="16" t="s">
        <v>414</v>
      </c>
      <c r="H530" s="16" t="s">
        <v>414</v>
      </c>
      <c r="I530" s="16">
        <v>13979</v>
      </c>
      <c r="J530" s="16">
        <v>11202</v>
      </c>
      <c r="K530" s="18" t="str">
        <f>HYPERLINK("mailto:mmrashidi7@gmail.com", "contact")</f>
        <v>contact</v>
      </c>
    </row>
    <row r="531" spans="1:11" x14ac:dyDescent="0.25">
      <c r="A531" s="13" t="s">
        <v>1491</v>
      </c>
      <c r="B531" s="13" t="s">
        <v>156</v>
      </c>
      <c r="C531" s="13" t="s">
        <v>496</v>
      </c>
      <c r="D531" s="13" t="s">
        <v>380</v>
      </c>
      <c r="E531" s="16" t="s">
        <v>13</v>
      </c>
      <c r="F531" s="16" t="s">
        <v>12</v>
      </c>
      <c r="G531" s="16" t="s">
        <v>578</v>
      </c>
      <c r="H531" s="16" t="s">
        <v>578</v>
      </c>
      <c r="I531" s="16">
        <v>2379</v>
      </c>
      <c r="J531" s="16">
        <v>1817</v>
      </c>
      <c r="K531" s="18" t="str">
        <f>HYPERLINK("mailto:ncdrisc@imperial.ac.uk", "contact")</f>
        <v>contact</v>
      </c>
    </row>
    <row r="532" spans="1:11" x14ac:dyDescent="0.25">
      <c r="A532" s="13" t="s">
        <v>155</v>
      </c>
      <c r="B532" s="13" t="s">
        <v>156</v>
      </c>
      <c r="C532" s="13" t="s">
        <v>489</v>
      </c>
      <c r="D532" s="13" t="s">
        <v>380</v>
      </c>
      <c r="E532" s="16" t="s">
        <v>13</v>
      </c>
      <c r="F532" s="16" t="s">
        <v>12</v>
      </c>
      <c r="G532" s="16" t="s">
        <v>394</v>
      </c>
      <c r="H532" s="16" t="s">
        <v>394</v>
      </c>
      <c r="I532" s="16">
        <v>1530</v>
      </c>
      <c r="J532" s="16">
        <v>959</v>
      </c>
      <c r="K532" s="17" t="s">
        <v>383</v>
      </c>
    </row>
    <row r="533" spans="1:11" x14ac:dyDescent="0.25">
      <c r="A533" s="13" t="s">
        <v>1492</v>
      </c>
      <c r="B533" s="13" t="s">
        <v>1493</v>
      </c>
      <c r="C533" s="13" t="s">
        <v>853</v>
      </c>
      <c r="D533" s="13" t="s">
        <v>1494</v>
      </c>
      <c r="E533" s="16" t="s">
        <v>53</v>
      </c>
      <c r="F533" s="16" t="s">
        <v>40</v>
      </c>
      <c r="G533" s="16" t="s">
        <v>1495</v>
      </c>
      <c r="H533" s="16" t="s">
        <v>1495</v>
      </c>
      <c r="I533" s="16">
        <v>3324</v>
      </c>
      <c r="J533" s="16">
        <v>2437</v>
      </c>
      <c r="K533" s="18" t="str">
        <f>HYPERLINK("mailto:v.gudnason@hjarta.is", "contact")</f>
        <v>contact</v>
      </c>
    </row>
    <row r="534" spans="1:11" x14ac:dyDescent="0.25">
      <c r="A534" s="13" t="s">
        <v>1496</v>
      </c>
      <c r="B534" s="13" t="s">
        <v>1493</v>
      </c>
      <c r="C534" s="13" t="s">
        <v>1497</v>
      </c>
      <c r="D534" s="13" t="s">
        <v>1498</v>
      </c>
      <c r="E534" s="16" t="s">
        <v>53</v>
      </c>
      <c r="F534" s="16" t="s">
        <v>40</v>
      </c>
      <c r="G534" s="16" t="s">
        <v>1499</v>
      </c>
      <c r="H534" s="16" t="s">
        <v>1499</v>
      </c>
      <c r="I534" s="16">
        <v>1934</v>
      </c>
      <c r="J534" s="16">
        <v>1382</v>
      </c>
      <c r="K534" s="18" t="str">
        <f>HYPERLINK("mailto:v.gudnason@hjarta.is", "contact")</f>
        <v>contact</v>
      </c>
    </row>
    <row r="535" spans="1:11" x14ac:dyDescent="0.25">
      <c r="A535" s="13" t="s">
        <v>1500</v>
      </c>
      <c r="B535" s="13" t="s">
        <v>1501</v>
      </c>
      <c r="C535" s="13" t="s">
        <v>1502</v>
      </c>
      <c r="D535" s="13" t="s">
        <v>1503</v>
      </c>
      <c r="E535" s="16" t="s">
        <v>41</v>
      </c>
      <c r="F535" s="16" t="s">
        <v>40</v>
      </c>
      <c r="G535" s="16" t="s">
        <v>1176</v>
      </c>
      <c r="H535" s="16" t="s">
        <v>1176</v>
      </c>
      <c r="I535" s="16">
        <v>207</v>
      </c>
      <c r="J535" s="16">
        <v>249</v>
      </c>
      <c r="K535" s="18" t="str">
        <f>HYPERLINK("mailto:jochanans@ekmd.huji.ac.il", "contact")</f>
        <v>contact</v>
      </c>
    </row>
    <row r="536" spans="1:11" x14ac:dyDescent="0.25">
      <c r="A536" s="13" t="s">
        <v>1504</v>
      </c>
      <c r="B536" s="13" t="s">
        <v>1501</v>
      </c>
      <c r="C536" s="13" t="s">
        <v>822</v>
      </c>
      <c r="D536" s="13" t="s">
        <v>1503</v>
      </c>
      <c r="E536" s="16" t="s">
        <v>41</v>
      </c>
      <c r="F536" s="16" t="s">
        <v>40</v>
      </c>
      <c r="G536" s="16" t="s">
        <v>1505</v>
      </c>
      <c r="H536" s="16" t="s">
        <v>1505</v>
      </c>
      <c r="I536" s="16">
        <v>454</v>
      </c>
      <c r="J536" s="16">
        <v>446</v>
      </c>
      <c r="K536" s="18" t="str">
        <f>HYPERLINK("mailto:jochanans@ekmd.huji.ac.il", "contact")</f>
        <v>contact</v>
      </c>
    </row>
    <row r="537" spans="1:11" x14ac:dyDescent="0.25">
      <c r="A537" s="13" t="s">
        <v>1506</v>
      </c>
      <c r="B537" s="13" t="s">
        <v>1501</v>
      </c>
      <c r="C537" s="13" t="s">
        <v>1507</v>
      </c>
      <c r="D537" s="13" t="s">
        <v>1508</v>
      </c>
      <c r="E537" s="16" t="s">
        <v>13</v>
      </c>
      <c r="F537" s="16" t="s">
        <v>40</v>
      </c>
      <c r="G537" s="16" t="s">
        <v>1509</v>
      </c>
      <c r="H537" s="16" t="s">
        <v>1509</v>
      </c>
      <c r="I537" s="16">
        <v>607</v>
      </c>
      <c r="J537" s="16">
        <v>536</v>
      </c>
      <c r="K537" s="18" t="str">
        <f>HYPERLINK("mailto:Racheld@gertner.health.gov.il", "contact")</f>
        <v>contact</v>
      </c>
    </row>
    <row r="538" spans="1:11" x14ac:dyDescent="0.25">
      <c r="A538" s="13" t="s">
        <v>1510</v>
      </c>
      <c r="B538" s="13" t="s">
        <v>1501</v>
      </c>
      <c r="C538" s="13" t="s">
        <v>1511</v>
      </c>
      <c r="D538" s="13" t="s">
        <v>1512</v>
      </c>
      <c r="E538" s="16" t="s">
        <v>53</v>
      </c>
      <c r="F538" s="16" t="s">
        <v>40</v>
      </c>
      <c r="G538" s="16" t="s">
        <v>1513</v>
      </c>
      <c r="H538" s="16" t="s">
        <v>1513</v>
      </c>
      <c r="I538" s="16">
        <v>551</v>
      </c>
      <c r="J538" s="16">
        <v>550</v>
      </c>
      <c r="K538" s="18" t="str">
        <f>HYPERLINK("mailto:OfraL@gertner.health.gov.il", "contact")</f>
        <v>contact</v>
      </c>
    </row>
    <row r="539" spans="1:11" x14ac:dyDescent="0.25">
      <c r="A539" s="13" t="s">
        <v>1514</v>
      </c>
      <c r="B539" s="13" t="s">
        <v>1501</v>
      </c>
      <c r="C539" s="13" t="s">
        <v>520</v>
      </c>
      <c r="D539" s="13" t="s">
        <v>1503</v>
      </c>
      <c r="E539" s="16" t="s">
        <v>41</v>
      </c>
      <c r="F539" s="16" t="s">
        <v>40</v>
      </c>
      <c r="G539" s="16" t="s">
        <v>1515</v>
      </c>
      <c r="H539" s="16" t="s">
        <v>1515</v>
      </c>
      <c r="I539" s="16">
        <v>635</v>
      </c>
      <c r="J539" s="16">
        <v>522</v>
      </c>
      <c r="K539" s="18" t="str">
        <f>HYPERLINK("mailto:jochanans@ekmd.huji.ac.il", "contact")</f>
        <v>contact</v>
      </c>
    </row>
    <row r="540" spans="1:11" x14ac:dyDescent="0.25">
      <c r="A540" s="13" t="s">
        <v>1516</v>
      </c>
      <c r="B540" s="13" t="s">
        <v>1501</v>
      </c>
      <c r="C540" s="13" t="s">
        <v>594</v>
      </c>
      <c r="D540" s="13" t="s">
        <v>1503</v>
      </c>
      <c r="E540" s="16" t="s">
        <v>41</v>
      </c>
      <c r="F540" s="16" t="s">
        <v>40</v>
      </c>
      <c r="G540" s="16" t="s">
        <v>1517</v>
      </c>
      <c r="H540" s="16" t="s">
        <v>1517</v>
      </c>
      <c r="I540" s="16">
        <v>347</v>
      </c>
      <c r="J540" s="16">
        <v>259</v>
      </c>
      <c r="K540" s="18" t="str">
        <f>HYPERLINK("mailto:jochanans@ekmd.huji.ac.il", "contact")</f>
        <v>contact</v>
      </c>
    </row>
    <row r="541" spans="1:11" x14ac:dyDescent="0.25">
      <c r="A541" s="13" t="s">
        <v>1518</v>
      </c>
      <c r="B541" s="13" t="s">
        <v>1519</v>
      </c>
      <c r="C541" s="13" t="s">
        <v>1520</v>
      </c>
      <c r="D541" s="13" t="s">
        <v>1521</v>
      </c>
      <c r="E541" s="16" t="s">
        <v>41</v>
      </c>
      <c r="F541" s="16" t="s">
        <v>468</v>
      </c>
      <c r="G541" s="16" t="s">
        <v>394</v>
      </c>
      <c r="H541" s="16" t="s">
        <v>394</v>
      </c>
      <c r="I541" s="16">
        <v>476</v>
      </c>
      <c r="J541" s="16">
        <v>410</v>
      </c>
      <c r="K541" s="18" t="str">
        <f>HYPERLINK("mailto:ncdrisc@imperial.ac.uk", "contact")</f>
        <v>contact</v>
      </c>
    </row>
    <row r="542" spans="1:11" x14ac:dyDescent="0.25">
      <c r="A542" s="13" t="s">
        <v>1522</v>
      </c>
      <c r="B542" s="13" t="s">
        <v>1519</v>
      </c>
      <c r="C542" s="13" t="s">
        <v>1523</v>
      </c>
      <c r="D542" s="13" t="s">
        <v>1524</v>
      </c>
      <c r="E542" s="16" t="s">
        <v>41</v>
      </c>
      <c r="F542" s="16" t="s">
        <v>12</v>
      </c>
      <c r="G542" s="16" t="s">
        <v>394</v>
      </c>
      <c r="H542" s="16" t="s">
        <v>394</v>
      </c>
      <c r="I542" s="16">
        <v>2512</v>
      </c>
      <c r="J542" s="16">
        <v>2040</v>
      </c>
      <c r="K542" s="18" t="str">
        <f>HYPERLINK("mailto:mlaurenzi@comcast.net", "contact")</f>
        <v>contact</v>
      </c>
    </row>
    <row r="543" spans="1:11" x14ac:dyDescent="0.25">
      <c r="A543" s="13" t="s">
        <v>1525</v>
      </c>
      <c r="B543" s="13" t="s">
        <v>1519</v>
      </c>
      <c r="C543" s="13" t="s">
        <v>1526</v>
      </c>
      <c r="D543" s="13" t="s">
        <v>1527</v>
      </c>
      <c r="E543" s="16" t="s">
        <v>41</v>
      </c>
      <c r="F543" s="16" t="s">
        <v>468</v>
      </c>
      <c r="G543" s="16" t="s">
        <v>1528</v>
      </c>
      <c r="H543" s="16" t="s">
        <v>1528</v>
      </c>
      <c r="I543" s="16">
        <v>1903</v>
      </c>
      <c r="J543" s="16">
        <v>1700</v>
      </c>
      <c r="K543" s="18" t="str">
        <f>HYPERLINK("mailto:luigi.palmieri@iss.it", "contact")</f>
        <v>contact</v>
      </c>
    </row>
    <row r="544" spans="1:11" x14ac:dyDescent="0.25">
      <c r="A544" s="13" t="s">
        <v>1529</v>
      </c>
      <c r="B544" s="13" t="s">
        <v>1519</v>
      </c>
      <c r="C544" s="13" t="s">
        <v>1530</v>
      </c>
      <c r="D544" s="13" t="s">
        <v>1527</v>
      </c>
      <c r="E544" s="16" t="s">
        <v>41</v>
      </c>
      <c r="F544" s="16" t="s">
        <v>468</v>
      </c>
      <c r="G544" s="16" t="s">
        <v>1531</v>
      </c>
      <c r="H544" s="16" t="s">
        <v>1531</v>
      </c>
      <c r="I544" s="16">
        <v>1479</v>
      </c>
      <c r="J544" s="16">
        <v>1209</v>
      </c>
      <c r="K544" s="18" t="str">
        <f>HYPERLINK("mailto:luigi.palmieri@iss.it", "contact")</f>
        <v>contact</v>
      </c>
    </row>
    <row r="545" spans="1:11" x14ac:dyDescent="0.25">
      <c r="A545" s="13" t="s">
        <v>1532</v>
      </c>
      <c r="B545" s="13" t="s">
        <v>1519</v>
      </c>
      <c r="C545" s="13" t="s">
        <v>1530</v>
      </c>
      <c r="D545" s="13" t="s">
        <v>1533</v>
      </c>
      <c r="E545" s="16" t="s">
        <v>53</v>
      </c>
      <c r="F545" s="16" t="s">
        <v>12</v>
      </c>
      <c r="G545" s="16" t="s">
        <v>398</v>
      </c>
      <c r="H545" s="16" t="s">
        <v>398</v>
      </c>
      <c r="I545" s="16">
        <v>803</v>
      </c>
      <c r="J545" s="16">
        <v>787</v>
      </c>
      <c r="K545" s="18" t="str">
        <f>HYPERLINK("mailto:giovanni.veronesi@uninsubria.it", "contact")</f>
        <v>contact</v>
      </c>
    </row>
    <row r="546" spans="1:11" x14ac:dyDescent="0.25">
      <c r="A546" s="13" t="s">
        <v>1534</v>
      </c>
      <c r="B546" s="13" t="s">
        <v>1519</v>
      </c>
      <c r="C546" s="13" t="s">
        <v>926</v>
      </c>
      <c r="D546" s="13" t="s">
        <v>1535</v>
      </c>
      <c r="E546" s="16" t="s">
        <v>41</v>
      </c>
      <c r="F546" s="16" t="s">
        <v>468</v>
      </c>
      <c r="G546" s="16" t="s">
        <v>394</v>
      </c>
      <c r="H546" s="16" t="s">
        <v>394</v>
      </c>
      <c r="I546" s="16">
        <v>599</v>
      </c>
      <c r="J546" s="16">
        <v>500</v>
      </c>
      <c r="K546" s="18" t="str">
        <f>HYPERLINK("mailto:carlo.barbagallo@unipa.it", "contact")</f>
        <v>contact</v>
      </c>
    </row>
    <row r="547" spans="1:11" x14ac:dyDescent="0.25">
      <c r="A547" s="13" t="s">
        <v>1536</v>
      </c>
      <c r="B547" s="13" t="s">
        <v>1519</v>
      </c>
      <c r="C547" s="13" t="s">
        <v>1537</v>
      </c>
      <c r="D547" s="13" t="s">
        <v>1538</v>
      </c>
      <c r="E547" s="16" t="s">
        <v>41</v>
      </c>
      <c r="F547" s="16" t="s">
        <v>468</v>
      </c>
      <c r="G547" s="16" t="s">
        <v>743</v>
      </c>
      <c r="H547" s="16" t="s">
        <v>743</v>
      </c>
      <c r="I547" s="16">
        <v>450</v>
      </c>
      <c r="J547" s="16">
        <v>469</v>
      </c>
      <c r="K547" s="18" t="str">
        <f>HYPERLINK("mailto:stefan.kiechl@i-med.ac.at", "contact")</f>
        <v>contact</v>
      </c>
    </row>
    <row r="548" spans="1:11" x14ac:dyDescent="0.25">
      <c r="A548" s="13" t="s">
        <v>1539</v>
      </c>
      <c r="B548" s="13" t="s">
        <v>1519</v>
      </c>
      <c r="C548" s="13" t="s">
        <v>1540</v>
      </c>
      <c r="D548" s="13" t="s">
        <v>1533</v>
      </c>
      <c r="E548" s="16" t="s">
        <v>53</v>
      </c>
      <c r="F548" s="16" t="s">
        <v>12</v>
      </c>
      <c r="G548" s="16" t="s">
        <v>398</v>
      </c>
      <c r="H548" s="16" t="s">
        <v>398</v>
      </c>
      <c r="I548" s="16">
        <v>769</v>
      </c>
      <c r="J548" s="16">
        <v>785</v>
      </c>
      <c r="K548" s="18" t="str">
        <f>HYPERLINK("mailto:giovanni.veronesi@uninsubria.it", "contact")</f>
        <v>contact</v>
      </c>
    </row>
    <row r="549" spans="1:11" x14ac:dyDescent="0.25">
      <c r="A549" s="13" t="s">
        <v>1541</v>
      </c>
      <c r="B549" s="13" t="s">
        <v>1519</v>
      </c>
      <c r="C549" s="13" t="s">
        <v>449</v>
      </c>
      <c r="D549" s="13" t="s">
        <v>929</v>
      </c>
      <c r="E549" s="16" t="s">
        <v>41</v>
      </c>
      <c r="F549" s="16" t="s">
        <v>40</v>
      </c>
      <c r="G549" s="16" t="s">
        <v>1542</v>
      </c>
      <c r="H549" s="16" t="s">
        <v>1542</v>
      </c>
      <c r="I549" s="16">
        <v>1013</v>
      </c>
      <c r="J549" s="16">
        <v>804</v>
      </c>
      <c r="K549" s="18" t="str">
        <f>HYPERLINK("mailto:ncdrisc@imperial.ac.uk", "contact")</f>
        <v>contact</v>
      </c>
    </row>
    <row r="550" spans="1:11" x14ac:dyDescent="0.25">
      <c r="A550" s="13" t="s">
        <v>1543</v>
      </c>
      <c r="B550" s="13" t="s">
        <v>1519</v>
      </c>
      <c r="C550" s="13" t="s">
        <v>449</v>
      </c>
      <c r="D550" s="13" t="s">
        <v>1544</v>
      </c>
      <c r="E550" s="16" t="s">
        <v>41</v>
      </c>
      <c r="F550" s="16" t="s">
        <v>468</v>
      </c>
      <c r="G550" s="16"/>
      <c r="H550" s="16" t="s">
        <v>1545</v>
      </c>
      <c r="I550" s="16"/>
      <c r="J550" s="16">
        <v>423</v>
      </c>
      <c r="K550" s="18" t="str">
        <f>HYPERLINK("mailto:luigi.palmieri@iss.it", "contact")</f>
        <v>contact</v>
      </c>
    </row>
    <row r="551" spans="1:11" x14ac:dyDescent="0.25">
      <c r="A551" s="13" t="s">
        <v>1546</v>
      </c>
      <c r="B551" s="13" t="s">
        <v>1519</v>
      </c>
      <c r="C551" s="13" t="s">
        <v>1547</v>
      </c>
      <c r="D551" s="13" t="s">
        <v>1524</v>
      </c>
      <c r="E551" s="16" t="s">
        <v>41</v>
      </c>
      <c r="F551" s="16" t="s">
        <v>12</v>
      </c>
      <c r="G551" s="16" t="s">
        <v>394</v>
      </c>
      <c r="H551" s="16" t="s">
        <v>394</v>
      </c>
      <c r="I551" s="16">
        <v>1886</v>
      </c>
      <c r="J551" s="16">
        <v>1549</v>
      </c>
      <c r="K551" s="18" t="str">
        <f>HYPERLINK("mailto:mlaurenzi@comcast.net", "contact")</f>
        <v>contact</v>
      </c>
    </row>
    <row r="552" spans="1:11" x14ac:dyDescent="0.25">
      <c r="A552" s="13" t="s">
        <v>1548</v>
      </c>
      <c r="B552" s="13" t="s">
        <v>1519</v>
      </c>
      <c r="C552" s="13" t="s">
        <v>663</v>
      </c>
      <c r="D552" s="13" t="s">
        <v>1549</v>
      </c>
      <c r="E552" s="16" t="s">
        <v>13</v>
      </c>
      <c r="F552" s="16" t="s">
        <v>12</v>
      </c>
      <c r="G552" s="16" t="s">
        <v>985</v>
      </c>
      <c r="H552" s="16" t="s">
        <v>985</v>
      </c>
      <c r="I552" s="16">
        <v>2146</v>
      </c>
      <c r="J552" s="16">
        <v>2271</v>
      </c>
      <c r="K552" s="18" t="str">
        <f>HYPERLINK("mailto:stefania.maggi@in.cnr.it", "contact")</f>
        <v>contact</v>
      </c>
    </row>
    <row r="553" spans="1:11" x14ac:dyDescent="0.25">
      <c r="A553" s="13" t="s">
        <v>1550</v>
      </c>
      <c r="B553" s="13" t="s">
        <v>1519</v>
      </c>
      <c r="C553" s="13" t="s">
        <v>1551</v>
      </c>
      <c r="D553" s="13" t="s">
        <v>1527</v>
      </c>
      <c r="E553" s="16" t="s">
        <v>41</v>
      </c>
      <c r="F553" s="16" t="s">
        <v>468</v>
      </c>
      <c r="G553" s="16" t="s">
        <v>1552</v>
      </c>
      <c r="H553" s="16" t="s">
        <v>1552</v>
      </c>
      <c r="I553" s="16">
        <v>991</v>
      </c>
      <c r="J553" s="16">
        <v>963</v>
      </c>
      <c r="K553" s="18" t="str">
        <f>HYPERLINK("mailto:luigi.palmieri@iss.it", "contact")</f>
        <v>contact</v>
      </c>
    </row>
    <row r="554" spans="1:11" x14ac:dyDescent="0.25">
      <c r="A554" s="13" t="s">
        <v>1553</v>
      </c>
      <c r="B554" s="13" t="s">
        <v>1519</v>
      </c>
      <c r="C554" s="13" t="s">
        <v>1554</v>
      </c>
      <c r="D554" s="13" t="s">
        <v>1533</v>
      </c>
      <c r="E554" s="16" t="s">
        <v>53</v>
      </c>
      <c r="F554" s="16" t="s">
        <v>40</v>
      </c>
      <c r="G554" s="16" t="s">
        <v>398</v>
      </c>
      <c r="H554" s="16" t="s">
        <v>398</v>
      </c>
      <c r="I554" s="16">
        <v>774</v>
      </c>
      <c r="J554" s="16">
        <v>740</v>
      </c>
      <c r="K554" s="18" t="str">
        <f>HYPERLINK("mailto:giovanni.veronesi@uninsubria.it", "contact")</f>
        <v>contact</v>
      </c>
    </row>
    <row r="555" spans="1:11" x14ac:dyDescent="0.25">
      <c r="A555" s="13" t="s">
        <v>1555</v>
      </c>
      <c r="B555" s="13" t="s">
        <v>1519</v>
      </c>
      <c r="C555" s="13" t="s">
        <v>917</v>
      </c>
      <c r="D555" s="13" t="s">
        <v>1556</v>
      </c>
      <c r="E555" s="16" t="s">
        <v>41</v>
      </c>
      <c r="F555" s="16" t="s">
        <v>12</v>
      </c>
      <c r="G555" s="16" t="s">
        <v>1557</v>
      </c>
      <c r="H555" s="16" t="s">
        <v>1557</v>
      </c>
      <c r="I555" s="16">
        <v>309</v>
      </c>
      <c r="J555" s="16">
        <v>265</v>
      </c>
      <c r="K555" s="18" t="str">
        <f>HYPERLINK("mailto:ncdrisc@imperial.ac.uk", "contact")</f>
        <v>contact</v>
      </c>
    </row>
    <row r="556" spans="1:11" x14ac:dyDescent="0.25">
      <c r="A556" s="13" t="s">
        <v>1558</v>
      </c>
      <c r="B556" s="13" t="s">
        <v>1519</v>
      </c>
      <c r="C556" s="13" t="s">
        <v>917</v>
      </c>
      <c r="D556" s="13" t="s">
        <v>1538</v>
      </c>
      <c r="E556" s="16" t="s">
        <v>41</v>
      </c>
      <c r="F556" s="16" t="s">
        <v>468</v>
      </c>
      <c r="G556" s="16" t="s">
        <v>1559</v>
      </c>
      <c r="H556" s="16" t="s">
        <v>1559</v>
      </c>
      <c r="I556" s="16">
        <v>410</v>
      </c>
      <c r="J556" s="16">
        <v>411</v>
      </c>
      <c r="K556" s="18" t="str">
        <f>HYPERLINK("mailto:stefan.kiechl@i-med.ac.at", "contact")</f>
        <v>contact</v>
      </c>
    </row>
    <row r="557" spans="1:11" x14ac:dyDescent="0.25">
      <c r="A557" s="13" t="s">
        <v>1560</v>
      </c>
      <c r="B557" s="13" t="s">
        <v>1519</v>
      </c>
      <c r="C557" s="13" t="s">
        <v>681</v>
      </c>
      <c r="D557" s="13" t="s">
        <v>1549</v>
      </c>
      <c r="E557" s="16" t="s">
        <v>13</v>
      </c>
      <c r="F557" s="16" t="s">
        <v>12</v>
      </c>
      <c r="G557" s="16" t="s">
        <v>1561</v>
      </c>
      <c r="H557" s="16" t="s">
        <v>1561</v>
      </c>
      <c r="I557" s="16">
        <v>1413</v>
      </c>
      <c r="J557" s="16">
        <v>1541</v>
      </c>
      <c r="K557" s="18" t="str">
        <f>HYPERLINK("mailto:stefania.maggi@in.cnr.it", "contact")</f>
        <v>contact</v>
      </c>
    </row>
    <row r="558" spans="1:11" x14ac:dyDescent="0.25">
      <c r="A558" s="13" t="s">
        <v>1562</v>
      </c>
      <c r="B558" s="13" t="s">
        <v>1519</v>
      </c>
      <c r="C558" s="13" t="s">
        <v>1563</v>
      </c>
      <c r="D558" s="13" t="s">
        <v>1564</v>
      </c>
      <c r="E558" s="16" t="s">
        <v>53</v>
      </c>
      <c r="F558" s="16" t="s">
        <v>12</v>
      </c>
      <c r="G558" s="16" t="s">
        <v>531</v>
      </c>
      <c r="H558" s="16" t="s">
        <v>531</v>
      </c>
      <c r="I558" s="16">
        <v>1853</v>
      </c>
      <c r="J558" s="16">
        <v>1243</v>
      </c>
      <c r="K558" s="18" t="str">
        <f>HYPERLINK("mailto:sabina.zambon@unipd.it", "contact")</f>
        <v>contact</v>
      </c>
    </row>
    <row r="559" spans="1:11" x14ac:dyDescent="0.25">
      <c r="A559" s="13" t="s">
        <v>1565</v>
      </c>
      <c r="B559" s="13" t="s">
        <v>1519</v>
      </c>
      <c r="C559" s="13" t="s">
        <v>934</v>
      </c>
      <c r="D559" s="13" t="s">
        <v>1566</v>
      </c>
      <c r="E559" s="16" t="s">
        <v>41</v>
      </c>
      <c r="F559" s="16" t="s">
        <v>12</v>
      </c>
      <c r="G559" s="16" t="s">
        <v>414</v>
      </c>
      <c r="H559" s="16" t="s">
        <v>414</v>
      </c>
      <c r="I559" s="16">
        <v>725</v>
      </c>
      <c r="J559" s="16">
        <v>582</v>
      </c>
      <c r="K559" s="18" t="str">
        <f>HYPERLINK("mailto:ncdrisc@imperial.ac.uk", "contact")</f>
        <v>contact</v>
      </c>
    </row>
    <row r="560" spans="1:11" x14ac:dyDescent="0.25">
      <c r="A560" s="13" t="s">
        <v>1567</v>
      </c>
      <c r="B560" s="13" t="s">
        <v>1519</v>
      </c>
      <c r="C560" s="13" t="s">
        <v>457</v>
      </c>
      <c r="D560" s="13" t="s">
        <v>1568</v>
      </c>
      <c r="E560" s="16" t="s">
        <v>41</v>
      </c>
      <c r="F560" s="16" t="s">
        <v>12</v>
      </c>
      <c r="G560" s="16" t="s">
        <v>599</v>
      </c>
      <c r="H560" s="16" t="s">
        <v>599</v>
      </c>
      <c r="I560" s="16">
        <v>601</v>
      </c>
      <c r="J560" s="16">
        <v>599</v>
      </c>
      <c r="K560" s="18" t="str">
        <f>HYPERLINK("mailto:capuanov@tiscali.it", "contact")</f>
        <v>contact</v>
      </c>
    </row>
    <row r="561" spans="1:11" x14ac:dyDescent="0.25">
      <c r="A561" s="13" t="s">
        <v>1569</v>
      </c>
      <c r="B561" s="13" t="s">
        <v>1519</v>
      </c>
      <c r="C561" s="13" t="s">
        <v>666</v>
      </c>
      <c r="D561" s="13" t="s">
        <v>1538</v>
      </c>
      <c r="E561" s="16" t="s">
        <v>41</v>
      </c>
      <c r="F561" s="16" t="s">
        <v>468</v>
      </c>
      <c r="G561" s="16" t="s">
        <v>1570</v>
      </c>
      <c r="H561" s="16" t="s">
        <v>1570</v>
      </c>
      <c r="I561" s="16">
        <v>361</v>
      </c>
      <c r="J561" s="16">
        <v>331</v>
      </c>
      <c r="K561" s="18" t="str">
        <f>HYPERLINK("mailto:stefan.kiechl@i-med.ac.at", "contact")</f>
        <v>contact</v>
      </c>
    </row>
    <row r="562" spans="1:11" x14ac:dyDescent="0.25">
      <c r="A562" s="13" t="s">
        <v>1571</v>
      </c>
      <c r="B562" s="13" t="s">
        <v>1519</v>
      </c>
      <c r="C562" s="13" t="s">
        <v>666</v>
      </c>
      <c r="D562" s="13" t="s">
        <v>1544</v>
      </c>
      <c r="E562" s="16" t="s">
        <v>41</v>
      </c>
      <c r="F562" s="16" t="s">
        <v>468</v>
      </c>
      <c r="G562" s="16"/>
      <c r="H562" s="16" t="s">
        <v>1572</v>
      </c>
      <c r="I562" s="16"/>
      <c r="J562" s="16">
        <v>225</v>
      </c>
      <c r="K562" s="18" t="str">
        <f>HYPERLINK("mailto:luigi.palmieri@iss.it", "contact")</f>
        <v>contact</v>
      </c>
    </row>
    <row r="563" spans="1:11" x14ac:dyDescent="0.25">
      <c r="A563" s="13" t="s">
        <v>1573</v>
      </c>
      <c r="B563" s="13" t="s">
        <v>1519</v>
      </c>
      <c r="C563" s="13" t="s">
        <v>1278</v>
      </c>
      <c r="D563" s="13" t="s">
        <v>1574</v>
      </c>
      <c r="E563" s="16" t="s">
        <v>13</v>
      </c>
      <c r="F563" s="16" t="s">
        <v>12</v>
      </c>
      <c r="G563" s="16" t="s">
        <v>402</v>
      </c>
      <c r="H563" s="16" t="s">
        <v>402</v>
      </c>
      <c r="I563" s="16">
        <v>4771</v>
      </c>
      <c r="J563" s="16">
        <v>4878</v>
      </c>
      <c r="K563" s="18" t="str">
        <f>HYPERLINK("mailto:diego50rdc@gmail.com", "contact")</f>
        <v>contact</v>
      </c>
    </row>
    <row r="564" spans="1:11" x14ac:dyDescent="0.25">
      <c r="A564" s="13" t="s">
        <v>1575</v>
      </c>
      <c r="B564" s="13" t="s">
        <v>1519</v>
      </c>
      <c r="C564" s="13" t="s">
        <v>688</v>
      </c>
      <c r="D564" s="13" t="s">
        <v>1549</v>
      </c>
      <c r="E564" s="16" t="s">
        <v>13</v>
      </c>
      <c r="F564" s="16" t="s">
        <v>12</v>
      </c>
      <c r="G564" s="16" t="s">
        <v>1576</v>
      </c>
      <c r="H564" s="16" t="s">
        <v>1576</v>
      </c>
      <c r="I564" s="16">
        <v>987</v>
      </c>
      <c r="J564" s="16">
        <v>941</v>
      </c>
      <c r="K564" s="18" t="str">
        <f>HYPERLINK("mailto:stefania.maggi@in.cnr.it", "contact")</f>
        <v>contact</v>
      </c>
    </row>
    <row r="565" spans="1:11" x14ac:dyDescent="0.25">
      <c r="A565" s="13" t="s">
        <v>1577</v>
      </c>
      <c r="B565" s="13" t="s">
        <v>1519</v>
      </c>
      <c r="C565" s="13" t="s">
        <v>493</v>
      </c>
      <c r="D565" s="13" t="s">
        <v>1556</v>
      </c>
      <c r="E565" s="16" t="s">
        <v>41</v>
      </c>
      <c r="F565" s="16" t="s">
        <v>12</v>
      </c>
      <c r="G565" s="16" t="s">
        <v>398</v>
      </c>
      <c r="H565" s="16" t="s">
        <v>398</v>
      </c>
      <c r="I565" s="16">
        <v>216</v>
      </c>
      <c r="J565" s="16">
        <v>169</v>
      </c>
      <c r="K565" s="18" t="str">
        <f>HYPERLINK("mailto:ncdrisc@imperial.ac.uk", "contact")</f>
        <v>contact</v>
      </c>
    </row>
    <row r="566" spans="1:11" x14ac:dyDescent="0.25">
      <c r="A566" s="13" t="s">
        <v>1578</v>
      </c>
      <c r="B566" s="13" t="s">
        <v>1519</v>
      </c>
      <c r="C566" s="13" t="s">
        <v>849</v>
      </c>
      <c r="D566" s="13" t="s">
        <v>1564</v>
      </c>
      <c r="E566" s="16" t="s">
        <v>53</v>
      </c>
      <c r="F566" s="16" t="s">
        <v>12</v>
      </c>
      <c r="G566" s="16" t="s">
        <v>1579</v>
      </c>
      <c r="H566" s="16" t="s">
        <v>1579</v>
      </c>
      <c r="I566" s="16">
        <v>1377</v>
      </c>
      <c r="J566" s="16">
        <v>813</v>
      </c>
      <c r="K566" s="18" t="str">
        <f>HYPERLINK("mailto:sabina.zambon@unipd.it", "contact")</f>
        <v>contact</v>
      </c>
    </row>
    <row r="567" spans="1:11" x14ac:dyDescent="0.25">
      <c r="A567" s="13" t="s">
        <v>1580</v>
      </c>
      <c r="B567" s="13" t="s">
        <v>1519</v>
      </c>
      <c r="C567" s="13" t="s">
        <v>1026</v>
      </c>
      <c r="D567" s="13" t="s">
        <v>1581</v>
      </c>
      <c r="E567" s="16" t="s">
        <v>41</v>
      </c>
      <c r="F567" s="16" t="s">
        <v>40</v>
      </c>
      <c r="G567" s="16" t="s">
        <v>394</v>
      </c>
      <c r="H567" s="16" t="s">
        <v>394</v>
      </c>
      <c r="I567" s="16">
        <v>2265</v>
      </c>
      <c r="J567" s="16">
        <v>1697</v>
      </c>
      <c r="K567" s="18" t="str">
        <f>HYPERLINK("mailto:ncdrisc@imperial.ac.uk", "contact")</f>
        <v>contact</v>
      </c>
    </row>
    <row r="568" spans="1:11" x14ac:dyDescent="0.25">
      <c r="A568" s="13" t="s">
        <v>1582</v>
      </c>
      <c r="B568" s="13" t="s">
        <v>1519</v>
      </c>
      <c r="C568" s="13" t="s">
        <v>471</v>
      </c>
      <c r="D568" s="13" t="s">
        <v>472</v>
      </c>
      <c r="E568" s="16" t="s">
        <v>41</v>
      </c>
      <c r="F568" s="16" t="s">
        <v>12</v>
      </c>
      <c r="G568" s="16"/>
      <c r="H568" s="16" t="s">
        <v>473</v>
      </c>
      <c r="I568" s="16"/>
      <c r="J568" s="16">
        <v>428</v>
      </c>
      <c r="K568" s="18" t="str">
        <f>HYPERLINK("mailto:ncdrisc@imperial.ac.uk", "contact")</f>
        <v>contact</v>
      </c>
    </row>
    <row r="569" spans="1:11" x14ac:dyDescent="0.25">
      <c r="A569" s="13" t="s">
        <v>1583</v>
      </c>
      <c r="B569" s="13" t="s">
        <v>1519</v>
      </c>
      <c r="C569" s="13" t="s">
        <v>1584</v>
      </c>
      <c r="D569" s="13" t="s">
        <v>1524</v>
      </c>
      <c r="E569" s="16" t="s">
        <v>41</v>
      </c>
      <c r="F569" s="16" t="s">
        <v>12</v>
      </c>
      <c r="G569" s="16" t="s">
        <v>469</v>
      </c>
      <c r="H569" s="16" t="s">
        <v>469</v>
      </c>
      <c r="I569" s="16">
        <v>1462</v>
      </c>
      <c r="J569" s="16">
        <v>1191</v>
      </c>
      <c r="K569" s="18" t="str">
        <f>HYPERLINK("mailto:mlaurenzi@comcast.net", "contact")</f>
        <v>contact</v>
      </c>
    </row>
    <row r="570" spans="1:11" x14ac:dyDescent="0.25">
      <c r="A570" s="13" t="s">
        <v>1585</v>
      </c>
      <c r="B570" s="13" t="s">
        <v>1519</v>
      </c>
      <c r="C570" s="13" t="s">
        <v>826</v>
      </c>
      <c r="D570" s="13" t="s">
        <v>1564</v>
      </c>
      <c r="E570" s="16" t="s">
        <v>53</v>
      </c>
      <c r="F570" s="16" t="s">
        <v>12</v>
      </c>
      <c r="G570" s="16" t="s">
        <v>1078</v>
      </c>
      <c r="H570" s="16" t="s">
        <v>1078</v>
      </c>
      <c r="I570" s="16">
        <v>1147</v>
      </c>
      <c r="J570" s="16">
        <v>629</v>
      </c>
      <c r="K570" s="18" t="str">
        <f>HYPERLINK("mailto:sabina.zambon@unipd.it", "contact")</f>
        <v>contact</v>
      </c>
    </row>
    <row r="571" spans="1:11" x14ac:dyDescent="0.25">
      <c r="A571" s="13" t="s">
        <v>1586</v>
      </c>
      <c r="B571" s="13" t="s">
        <v>1519</v>
      </c>
      <c r="C571" s="13" t="s">
        <v>628</v>
      </c>
      <c r="D571" s="13" t="s">
        <v>1538</v>
      </c>
      <c r="E571" s="16" t="s">
        <v>41</v>
      </c>
      <c r="F571" s="16" t="s">
        <v>468</v>
      </c>
      <c r="G571" s="16" t="s">
        <v>1587</v>
      </c>
      <c r="H571" s="16" t="s">
        <v>1587</v>
      </c>
      <c r="I571" s="16">
        <v>307</v>
      </c>
      <c r="J571" s="16">
        <v>263</v>
      </c>
      <c r="K571" s="18" t="str">
        <f>HYPERLINK("mailto:stefan.kiechl@i-med.ac.at", "contact")</f>
        <v>contact</v>
      </c>
    </row>
    <row r="572" spans="1:11" x14ac:dyDescent="0.25">
      <c r="A572" s="13" t="s">
        <v>1588</v>
      </c>
      <c r="B572" s="13" t="s">
        <v>1519</v>
      </c>
      <c r="C572" s="13" t="s">
        <v>396</v>
      </c>
      <c r="D572" s="13" t="s">
        <v>1589</v>
      </c>
      <c r="E572" s="16" t="s">
        <v>13</v>
      </c>
      <c r="F572" s="16" t="s">
        <v>12</v>
      </c>
      <c r="G572" s="16" t="s">
        <v>985</v>
      </c>
      <c r="H572" s="16" t="s">
        <v>985</v>
      </c>
      <c r="I572" s="16">
        <v>1444</v>
      </c>
      <c r="J572" s="16">
        <v>1589</v>
      </c>
      <c r="K572" s="18" t="str">
        <f>HYPERLINK("mailto:vincenzo.solfrizzi@uniba.it", "contact")</f>
        <v>contact</v>
      </c>
    </row>
    <row r="573" spans="1:11" x14ac:dyDescent="0.25">
      <c r="A573" s="13" t="s">
        <v>1590</v>
      </c>
      <c r="B573" s="13" t="s">
        <v>1519</v>
      </c>
      <c r="C573" s="13" t="s">
        <v>396</v>
      </c>
      <c r="D573" s="13" t="s">
        <v>1591</v>
      </c>
      <c r="E573" s="16" t="s">
        <v>41</v>
      </c>
      <c r="F573" s="16" t="s">
        <v>468</v>
      </c>
      <c r="G573" s="16" t="s">
        <v>1592</v>
      </c>
      <c r="H573" s="16" t="s">
        <v>1592</v>
      </c>
      <c r="I573" s="16">
        <v>113</v>
      </c>
      <c r="J573" s="16">
        <v>99</v>
      </c>
      <c r="K573" s="18" t="str">
        <f>HYPERLINK("mailto:marialorenza.muiesan@unibs.it", "contact")</f>
        <v>contact</v>
      </c>
    </row>
    <row r="574" spans="1:11" x14ac:dyDescent="0.25">
      <c r="A574" s="13" t="s">
        <v>1593</v>
      </c>
      <c r="B574" s="13" t="s">
        <v>1519</v>
      </c>
      <c r="C574" s="13" t="s">
        <v>524</v>
      </c>
      <c r="D574" s="13" t="s">
        <v>1594</v>
      </c>
      <c r="E574" s="16" t="s">
        <v>53</v>
      </c>
      <c r="F574" s="16" t="s">
        <v>12</v>
      </c>
      <c r="G574" s="16" t="s">
        <v>394</v>
      </c>
      <c r="H574" s="16" t="s">
        <v>394</v>
      </c>
      <c r="I574" s="16">
        <v>270</v>
      </c>
      <c r="J574" s="16">
        <v>216</v>
      </c>
      <c r="K574" s="18" t="str">
        <f>HYPERLINK("mailto:francesco.gianfagna@moli-sani.org; francesco.gianfagna@uninsubria.it", "contact")</f>
        <v>contact</v>
      </c>
    </row>
    <row r="575" spans="1:11" x14ac:dyDescent="0.25">
      <c r="A575" s="13" t="s">
        <v>1595</v>
      </c>
      <c r="B575" s="13" t="s">
        <v>1519</v>
      </c>
      <c r="C575" s="13" t="s">
        <v>479</v>
      </c>
      <c r="D575" s="13" t="s">
        <v>472</v>
      </c>
      <c r="E575" s="16" t="s">
        <v>41</v>
      </c>
      <c r="F575" s="16" t="s">
        <v>12</v>
      </c>
      <c r="G575" s="16"/>
      <c r="H575" s="16" t="s">
        <v>480</v>
      </c>
      <c r="I575" s="16"/>
      <c r="J575" s="16">
        <v>344</v>
      </c>
      <c r="K575" s="18" t="str">
        <f>HYPERLINK("mailto:ncdrisc@imperial.ac.uk", "contact")</f>
        <v>contact</v>
      </c>
    </row>
    <row r="576" spans="1:11" x14ac:dyDescent="0.25">
      <c r="A576" s="13" t="s">
        <v>1596</v>
      </c>
      <c r="B576" s="13" t="s">
        <v>1519</v>
      </c>
      <c r="C576" s="13" t="s">
        <v>1216</v>
      </c>
      <c r="D576" s="13" t="s">
        <v>1597</v>
      </c>
      <c r="E576" s="16" t="s">
        <v>53</v>
      </c>
      <c r="F576" s="16" t="s">
        <v>12</v>
      </c>
      <c r="G576" s="16" t="s">
        <v>501</v>
      </c>
      <c r="H576" s="16" t="s">
        <v>501</v>
      </c>
      <c r="I576" s="16">
        <v>12366</v>
      </c>
      <c r="J576" s="16">
        <v>11495</v>
      </c>
      <c r="K576" s="18" t="str">
        <f>HYPERLINK("mailto:licia.iacoviello@moli-sani.org", "contact")</f>
        <v>contact</v>
      </c>
    </row>
    <row r="577" spans="1:11" x14ac:dyDescent="0.25">
      <c r="A577" s="13" t="s">
        <v>1598</v>
      </c>
      <c r="B577" s="13" t="s">
        <v>1519</v>
      </c>
      <c r="C577" s="13" t="s">
        <v>712</v>
      </c>
      <c r="D577" s="13" t="s">
        <v>1568</v>
      </c>
      <c r="E577" s="16" t="s">
        <v>41</v>
      </c>
      <c r="F577" s="16" t="s">
        <v>12</v>
      </c>
      <c r="G577" s="16" t="s">
        <v>599</v>
      </c>
      <c r="H577" s="16" t="s">
        <v>599</v>
      </c>
      <c r="I577" s="16">
        <v>600</v>
      </c>
      <c r="J577" s="16">
        <v>600</v>
      </c>
      <c r="K577" s="18" t="str">
        <f>HYPERLINK("mailto:capuanov@tiscali.it", "contact")</f>
        <v>contact</v>
      </c>
    </row>
    <row r="578" spans="1:11" x14ac:dyDescent="0.25">
      <c r="A578" s="13" t="s">
        <v>1599</v>
      </c>
      <c r="B578" s="13" t="s">
        <v>1519</v>
      </c>
      <c r="C578" s="13" t="s">
        <v>554</v>
      </c>
      <c r="D578" s="13" t="s">
        <v>1538</v>
      </c>
      <c r="E578" s="16" t="s">
        <v>41</v>
      </c>
      <c r="F578" s="16" t="s">
        <v>468</v>
      </c>
      <c r="G578" s="16" t="s">
        <v>784</v>
      </c>
      <c r="H578" s="16" t="s">
        <v>784</v>
      </c>
      <c r="I578" s="16">
        <v>259</v>
      </c>
      <c r="J578" s="16">
        <v>225</v>
      </c>
      <c r="K578" s="18" t="str">
        <f>HYPERLINK("mailto:stefan.kiechl@i-med.ac.at", "contact")</f>
        <v>contact</v>
      </c>
    </row>
    <row r="579" spans="1:11" x14ac:dyDescent="0.25">
      <c r="A579" s="13" t="s">
        <v>1600</v>
      </c>
      <c r="B579" s="13" t="s">
        <v>1519</v>
      </c>
      <c r="C579" s="13" t="s">
        <v>670</v>
      </c>
      <c r="D579" s="13" t="s">
        <v>1601</v>
      </c>
      <c r="E579" s="16" t="s">
        <v>41</v>
      </c>
      <c r="F579" s="16" t="s">
        <v>12</v>
      </c>
      <c r="G579" s="16" t="s">
        <v>1602</v>
      </c>
      <c r="H579" s="16" t="s">
        <v>1602</v>
      </c>
      <c r="I579" s="16">
        <v>1119</v>
      </c>
      <c r="J579" s="16">
        <v>752</v>
      </c>
      <c r="K579" s="18" t="str">
        <f>HYPERLINK("mailto:giuseppe.grosso@studium.unict.it", "contact")</f>
        <v>contact</v>
      </c>
    </row>
    <row r="580" spans="1:11" x14ac:dyDescent="0.25">
      <c r="A580" s="13" t="s">
        <v>1603</v>
      </c>
      <c r="B580" s="13" t="s">
        <v>1519</v>
      </c>
      <c r="C580" s="13" t="s">
        <v>864</v>
      </c>
      <c r="D580" s="13" t="s">
        <v>1604</v>
      </c>
      <c r="E580" s="16" t="s">
        <v>13</v>
      </c>
      <c r="F580" s="16" t="s">
        <v>12</v>
      </c>
      <c r="G580" s="16" t="s">
        <v>1605</v>
      </c>
      <c r="H580" s="16" t="s">
        <v>1605</v>
      </c>
      <c r="I580" s="16">
        <v>4330</v>
      </c>
      <c r="J580" s="16">
        <v>4369</v>
      </c>
      <c r="K580" s="18" t="str">
        <f>HYPERLINK("mailto:diego50rdc@gmail.com", "contact")</f>
        <v>contact</v>
      </c>
    </row>
    <row r="581" spans="1:11" x14ac:dyDescent="0.25">
      <c r="A581" s="13" t="s">
        <v>1606</v>
      </c>
      <c r="B581" s="13" t="s">
        <v>1519</v>
      </c>
      <c r="C581" s="13" t="s">
        <v>460</v>
      </c>
      <c r="D581" s="13" t="s">
        <v>1607</v>
      </c>
      <c r="E581" s="16" t="s">
        <v>41</v>
      </c>
      <c r="F581" s="16" t="s">
        <v>12</v>
      </c>
      <c r="G581" s="16" t="s">
        <v>901</v>
      </c>
      <c r="H581" s="16" t="s">
        <v>901</v>
      </c>
      <c r="I581" s="16">
        <v>506</v>
      </c>
      <c r="J581" s="16">
        <v>466</v>
      </c>
      <c r="K581" s="18" t="str">
        <f>HYPERLINK("mailto:doc.elisaromeo@gmail.com", "contact")</f>
        <v>contact</v>
      </c>
    </row>
    <row r="582" spans="1:11" x14ac:dyDescent="0.25">
      <c r="A582" s="13" t="s">
        <v>1608</v>
      </c>
      <c r="B582" s="13" t="s">
        <v>1519</v>
      </c>
      <c r="C582" s="13" t="s">
        <v>400</v>
      </c>
      <c r="D582" s="13" t="s">
        <v>1591</v>
      </c>
      <c r="E582" s="16" t="s">
        <v>41</v>
      </c>
      <c r="F582" s="16" t="s">
        <v>468</v>
      </c>
      <c r="G582" s="16" t="s">
        <v>1609</v>
      </c>
      <c r="H582" s="16" t="s">
        <v>1609</v>
      </c>
      <c r="I582" s="16">
        <v>143</v>
      </c>
      <c r="J582" s="16">
        <v>107</v>
      </c>
      <c r="K582" s="18" t="str">
        <f>HYPERLINK("mailto:marialorenza.muiesan@unibs.it", "contact")</f>
        <v>contact</v>
      </c>
    </row>
    <row r="583" spans="1:11" x14ac:dyDescent="0.25">
      <c r="A583" s="13" t="s">
        <v>1610</v>
      </c>
      <c r="B583" s="13" t="s">
        <v>1519</v>
      </c>
      <c r="C583" s="13" t="s">
        <v>489</v>
      </c>
      <c r="D583" s="13" t="s">
        <v>1538</v>
      </c>
      <c r="E583" s="16" t="s">
        <v>41</v>
      </c>
      <c r="F583" s="16" t="s">
        <v>468</v>
      </c>
      <c r="G583" s="16" t="s">
        <v>531</v>
      </c>
      <c r="H583" s="16" t="s">
        <v>531</v>
      </c>
      <c r="I583" s="16">
        <v>169</v>
      </c>
      <c r="J583" s="16">
        <v>171</v>
      </c>
      <c r="K583" s="18" t="str">
        <f>HYPERLINK("mailto:stefan.kiechl@i-med.ac.at", "contact")</f>
        <v>contact</v>
      </c>
    </row>
    <row r="584" spans="1:11" x14ac:dyDescent="0.25">
      <c r="A584" s="13" t="s">
        <v>1611</v>
      </c>
      <c r="B584" s="13" t="s">
        <v>1519</v>
      </c>
      <c r="C584" s="13" t="s">
        <v>404</v>
      </c>
      <c r="D584" s="13" t="s">
        <v>1612</v>
      </c>
      <c r="E584" s="16" t="s">
        <v>53</v>
      </c>
      <c r="F584" s="16" t="s">
        <v>12</v>
      </c>
      <c r="G584" s="16"/>
      <c r="H584" s="16" t="s">
        <v>526</v>
      </c>
      <c r="I584" s="16"/>
      <c r="J584" s="16">
        <v>2</v>
      </c>
      <c r="K584" s="18" t="str">
        <f>HYPERLINK("mailto:Ursula.Kohlendorfer@i-med.ac.at", "contact")</f>
        <v>contact</v>
      </c>
    </row>
    <row r="585" spans="1:11" x14ac:dyDescent="0.25">
      <c r="A585" s="13" t="s">
        <v>1613</v>
      </c>
      <c r="B585" s="13" t="s">
        <v>1519</v>
      </c>
      <c r="C585" s="13" t="s">
        <v>486</v>
      </c>
      <c r="D585" s="13" t="s">
        <v>1568</v>
      </c>
      <c r="E585" s="16" t="s">
        <v>41</v>
      </c>
      <c r="F585" s="16" t="s">
        <v>12</v>
      </c>
      <c r="G585" s="16" t="s">
        <v>599</v>
      </c>
      <c r="H585" s="16" t="s">
        <v>599</v>
      </c>
      <c r="I585" s="16">
        <v>598</v>
      </c>
      <c r="J585" s="16">
        <v>600</v>
      </c>
      <c r="K585" s="18" t="str">
        <f>HYPERLINK("mailto:capuanov@tiscali.it", "contact")</f>
        <v>contact</v>
      </c>
    </row>
    <row r="586" spans="1:11" x14ac:dyDescent="0.25">
      <c r="A586" s="13" t="s">
        <v>1614</v>
      </c>
      <c r="B586" s="13" t="s">
        <v>1519</v>
      </c>
      <c r="C586" s="13" t="s">
        <v>1615</v>
      </c>
      <c r="D586" s="13" t="s">
        <v>1597</v>
      </c>
      <c r="E586" s="16" t="s">
        <v>53</v>
      </c>
      <c r="F586" s="16" t="s">
        <v>12</v>
      </c>
      <c r="G586" s="16" t="s">
        <v>1616</v>
      </c>
      <c r="H586" s="16" t="s">
        <v>1616</v>
      </c>
      <c r="I586" s="16">
        <v>1309</v>
      </c>
      <c r="J586" s="16">
        <v>1081</v>
      </c>
      <c r="K586" s="18" t="str">
        <f>HYPERLINK("mailto:amalia.decurtis@moli-sani.org", "contact")</f>
        <v>contact</v>
      </c>
    </row>
    <row r="587" spans="1:11" x14ac:dyDescent="0.25">
      <c r="A587" s="13" t="s">
        <v>1617</v>
      </c>
      <c r="B587" s="13" t="s">
        <v>1618</v>
      </c>
      <c r="C587" s="13" t="s">
        <v>449</v>
      </c>
      <c r="D587" s="13" t="s">
        <v>1619</v>
      </c>
      <c r="E587" s="16" t="s">
        <v>13</v>
      </c>
      <c r="F587" s="16" t="s">
        <v>12</v>
      </c>
      <c r="G587" s="16" t="s">
        <v>784</v>
      </c>
      <c r="H587" s="16" t="s">
        <v>784</v>
      </c>
      <c r="I587" s="16">
        <v>669</v>
      </c>
      <c r="J587" s="16">
        <v>649</v>
      </c>
      <c r="K587" s="18" t="str">
        <f>HYPERLINK("mailto:ncdrisc@imperial.ac.uk", "contact")</f>
        <v>contact</v>
      </c>
    </row>
    <row r="588" spans="1:11" x14ac:dyDescent="0.25">
      <c r="A588" s="13" t="s">
        <v>1620</v>
      </c>
      <c r="B588" s="13" t="s">
        <v>1618</v>
      </c>
      <c r="C588" s="13" t="s">
        <v>917</v>
      </c>
      <c r="D588" s="13" t="s">
        <v>1621</v>
      </c>
      <c r="E588" s="16" t="s">
        <v>41</v>
      </c>
      <c r="F588" s="16" t="s">
        <v>40</v>
      </c>
      <c r="G588" s="16" t="s">
        <v>414</v>
      </c>
      <c r="H588" s="16" t="s">
        <v>414</v>
      </c>
      <c r="I588" s="16">
        <v>329</v>
      </c>
      <c r="J588" s="16">
        <v>233</v>
      </c>
      <c r="K588" s="18" t="str">
        <f>HYPERLINK("mailto:ncdrisc@imperial.ac.uk", "contact")</f>
        <v>contact</v>
      </c>
    </row>
    <row r="589" spans="1:11" x14ac:dyDescent="0.25">
      <c r="A589" s="13" t="s">
        <v>1622</v>
      </c>
      <c r="B589" s="13" t="s">
        <v>1618</v>
      </c>
      <c r="C589" s="13" t="s">
        <v>688</v>
      </c>
      <c r="D589" s="13" t="s">
        <v>1623</v>
      </c>
      <c r="E589" s="16" t="s">
        <v>13</v>
      </c>
      <c r="F589" s="16" t="s">
        <v>12</v>
      </c>
      <c r="G589" s="16" t="s">
        <v>812</v>
      </c>
      <c r="H589" s="16" t="s">
        <v>812</v>
      </c>
      <c r="I589" s="16">
        <v>1249</v>
      </c>
      <c r="J589" s="16">
        <v>622</v>
      </c>
      <c r="K589" s="18" t="str">
        <f>HYPERLINK("mailto:rainfordw@cwjamaica.com; rjwilks1953@gmail.com", "contact")</f>
        <v>contact</v>
      </c>
    </row>
    <row r="590" spans="1:11" x14ac:dyDescent="0.25">
      <c r="A590" s="13" t="s">
        <v>1624</v>
      </c>
      <c r="B590" s="13" t="s">
        <v>1618</v>
      </c>
      <c r="C590" s="13" t="s">
        <v>706</v>
      </c>
      <c r="D590" s="13" t="s">
        <v>1625</v>
      </c>
      <c r="E590" s="16" t="s">
        <v>13</v>
      </c>
      <c r="F590" s="16" t="s">
        <v>12</v>
      </c>
      <c r="G590" s="16" t="s">
        <v>558</v>
      </c>
      <c r="H590" s="16" t="s">
        <v>558</v>
      </c>
      <c r="I590" s="16">
        <v>192</v>
      </c>
      <c r="J590" s="16">
        <v>152</v>
      </c>
      <c r="K590" s="18" t="str">
        <f>HYPERLINK("mailto:marshall.tullochreid@uwimona.edu.jm", "contact")</f>
        <v>contact</v>
      </c>
    </row>
    <row r="591" spans="1:11" x14ac:dyDescent="0.25">
      <c r="A591" s="13" t="s">
        <v>1626</v>
      </c>
      <c r="B591" s="13" t="s">
        <v>1618</v>
      </c>
      <c r="C591" s="13" t="s">
        <v>880</v>
      </c>
      <c r="D591" s="13" t="s">
        <v>1623</v>
      </c>
      <c r="E591" s="16" t="s">
        <v>13</v>
      </c>
      <c r="F591" s="16" t="s">
        <v>12</v>
      </c>
      <c r="G591" s="16" t="s">
        <v>812</v>
      </c>
      <c r="H591" s="16" t="s">
        <v>812</v>
      </c>
      <c r="I591" s="16">
        <v>1869</v>
      </c>
      <c r="J591" s="16">
        <v>842</v>
      </c>
      <c r="K591" s="18" t="str">
        <f>HYPERLINK("mailto:trevor.ferguson02@uwimona.edu.jm", "contact")</f>
        <v>contact</v>
      </c>
    </row>
    <row r="592" spans="1:11" x14ac:dyDescent="0.25">
      <c r="A592" s="13" t="s">
        <v>1627</v>
      </c>
      <c r="B592" s="13" t="s">
        <v>1618</v>
      </c>
      <c r="C592" s="13" t="s">
        <v>439</v>
      </c>
      <c r="D592" s="13" t="s">
        <v>1628</v>
      </c>
      <c r="E592" s="16" t="s">
        <v>13</v>
      </c>
      <c r="F592" s="16" t="s">
        <v>12</v>
      </c>
      <c r="G592" s="16" t="s">
        <v>784</v>
      </c>
      <c r="H592" s="16" t="s">
        <v>784</v>
      </c>
      <c r="I592" s="16">
        <v>208</v>
      </c>
      <c r="J592" s="16">
        <v>156</v>
      </c>
      <c r="K592" s="18" t="str">
        <f>HYPERLINK("mailto:denise.eldemireshearer@uwimona.edu.jm", "contact")</f>
        <v>contact</v>
      </c>
    </row>
    <row r="593" spans="1:11" x14ac:dyDescent="0.25">
      <c r="A593" s="13" t="s">
        <v>1629</v>
      </c>
      <c r="B593" s="13" t="s">
        <v>1618</v>
      </c>
      <c r="C593" s="13" t="s">
        <v>516</v>
      </c>
      <c r="D593" s="13" t="s">
        <v>1623</v>
      </c>
      <c r="E593" s="16" t="s">
        <v>13</v>
      </c>
      <c r="F593" s="16" t="s">
        <v>12</v>
      </c>
      <c r="G593" s="16" t="s">
        <v>394</v>
      </c>
      <c r="H593" s="16" t="s">
        <v>394</v>
      </c>
      <c r="I593" s="16">
        <v>1633</v>
      </c>
      <c r="J593" s="16">
        <v>1026</v>
      </c>
      <c r="K593" s="18" t="str">
        <f>HYPERLINK("mailto:trevor.ferguson02@uwimona.edu.jm", "contact")</f>
        <v>contact</v>
      </c>
    </row>
    <row r="594" spans="1:11" x14ac:dyDescent="0.25">
      <c r="A594" s="13" t="s">
        <v>1630</v>
      </c>
      <c r="B594" s="13" t="s">
        <v>159</v>
      </c>
      <c r="C594" s="13" t="s">
        <v>409</v>
      </c>
      <c r="D594" s="13" t="s">
        <v>1631</v>
      </c>
      <c r="E594" s="16" t="s">
        <v>13</v>
      </c>
      <c r="F594" s="16" t="s">
        <v>468</v>
      </c>
      <c r="G594" s="16" t="s">
        <v>394</v>
      </c>
      <c r="H594" s="16" t="s">
        <v>394</v>
      </c>
      <c r="I594" s="16">
        <v>1974</v>
      </c>
      <c r="J594" s="16">
        <v>1351</v>
      </c>
      <c r="K594" s="18" t="str">
        <f>HYPERLINK("mailto:Executive.director@emphnet.net ", "contact")</f>
        <v>contact</v>
      </c>
    </row>
    <row r="595" spans="1:11" x14ac:dyDescent="0.25">
      <c r="A595" s="13" t="s">
        <v>1632</v>
      </c>
      <c r="B595" s="13" t="s">
        <v>159</v>
      </c>
      <c r="C595" s="13" t="s">
        <v>488</v>
      </c>
      <c r="D595" s="13" t="s">
        <v>1631</v>
      </c>
      <c r="E595" s="16" t="s">
        <v>13</v>
      </c>
      <c r="F595" s="16" t="s">
        <v>12</v>
      </c>
      <c r="G595" s="16" t="s">
        <v>394</v>
      </c>
      <c r="H595" s="16" t="s">
        <v>394</v>
      </c>
      <c r="I595" s="16">
        <v>1705</v>
      </c>
      <c r="J595" s="16">
        <v>1949</v>
      </c>
      <c r="K595" s="18" t="str">
        <f>HYPERLINK("mailto:Executive.director@emphnet.net ", "contact")</f>
        <v>contact</v>
      </c>
    </row>
    <row r="596" spans="1:11" x14ac:dyDescent="0.25">
      <c r="A596" s="13" t="s">
        <v>1633</v>
      </c>
      <c r="B596" s="13" t="s">
        <v>159</v>
      </c>
      <c r="C596" s="13" t="s">
        <v>639</v>
      </c>
      <c r="D596" s="13" t="s">
        <v>1634</v>
      </c>
      <c r="E596" s="16" t="s">
        <v>13</v>
      </c>
      <c r="F596" s="16" t="s">
        <v>12</v>
      </c>
      <c r="G596" s="16" t="s">
        <v>394</v>
      </c>
      <c r="H596" s="16" t="s">
        <v>394</v>
      </c>
      <c r="I596" s="16">
        <v>3355</v>
      </c>
      <c r="J596" s="16">
        <v>1144</v>
      </c>
      <c r="K596" s="18" t="str">
        <f>HYPERLINK("mailto:yskhader@just.edu.jo", "contact")</f>
        <v>contact</v>
      </c>
    </row>
    <row r="597" spans="1:11" x14ac:dyDescent="0.25">
      <c r="A597" s="13" t="s">
        <v>1635</v>
      </c>
      <c r="B597" s="13" t="s">
        <v>159</v>
      </c>
      <c r="C597" s="13" t="s">
        <v>516</v>
      </c>
      <c r="D597" s="13" t="s">
        <v>1636</v>
      </c>
      <c r="E597" s="16" t="s">
        <v>13</v>
      </c>
      <c r="F597" s="16" t="s">
        <v>12</v>
      </c>
      <c r="G597" s="16" t="s">
        <v>394</v>
      </c>
      <c r="H597" s="16" t="s">
        <v>394</v>
      </c>
      <c r="I597" s="16">
        <v>2763</v>
      </c>
      <c r="J597" s="16">
        <v>1182</v>
      </c>
      <c r="K597" s="18" t="str">
        <f>HYPERLINK("mailto:ajlouni@ju.edu.jo", "contact")</f>
        <v>contact</v>
      </c>
    </row>
    <row r="598" spans="1:11" x14ac:dyDescent="0.25">
      <c r="A598" s="13" t="s">
        <v>158</v>
      </c>
      <c r="B598" s="13" t="s">
        <v>159</v>
      </c>
      <c r="C598" s="13" t="s">
        <v>511</v>
      </c>
      <c r="D598" s="13" t="s">
        <v>380</v>
      </c>
      <c r="E598" s="16" t="s">
        <v>13</v>
      </c>
      <c r="F598" s="16" t="s">
        <v>12</v>
      </c>
      <c r="G598" s="16" t="s">
        <v>381</v>
      </c>
      <c r="H598" s="16" t="s">
        <v>381</v>
      </c>
      <c r="I598" s="16">
        <v>3324</v>
      </c>
      <c r="J598" s="16">
        <v>2202</v>
      </c>
      <c r="K598" s="17" t="s">
        <v>383</v>
      </c>
    </row>
    <row r="599" spans="1:11" x14ac:dyDescent="0.25">
      <c r="A599" s="13" t="s">
        <v>1637</v>
      </c>
      <c r="B599" s="13" t="s">
        <v>1638</v>
      </c>
      <c r="C599" s="13" t="s">
        <v>1639</v>
      </c>
      <c r="D599" s="13" t="s">
        <v>1640</v>
      </c>
      <c r="E599" s="16" t="s">
        <v>41</v>
      </c>
      <c r="F599" s="16" t="s">
        <v>40</v>
      </c>
      <c r="G599" s="16" t="s">
        <v>1641</v>
      </c>
      <c r="H599" s="16" t="s">
        <v>1641</v>
      </c>
      <c r="I599" s="16">
        <v>593</v>
      </c>
      <c r="J599" s="16">
        <v>471</v>
      </c>
      <c r="K599" s="18" t="str">
        <f>HYPERLINK("mailto:markw@georgeinstitute.org.au", "contact")</f>
        <v>contact</v>
      </c>
    </row>
    <row r="600" spans="1:11" x14ac:dyDescent="0.25">
      <c r="A600" s="13" t="s">
        <v>1642</v>
      </c>
      <c r="B600" s="13" t="s">
        <v>1638</v>
      </c>
      <c r="C600" s="13" t="s">
        <v>1643</v>
      </c>
      <c r="D600" s="13" t="s">
        <v>1644</v>
      </c>
      <c r="E600" s="16" t="s">
        <v>41</v>
      </c>
      <c r="F600" s="16" t="s">
        <v>468</v>
      </c>
      <c r="G600" s="16" t="s">
        <v>869</v>
      </c>
      <c r="H600" s="16" t="s">
        <v>869</v>
      </c>
      <c r="I600" s="16">
        <v>87</v>
      </c>
      <c r="J600" s="16">
        <v>69</v>
      </c>
      <c r="K600" s="18" t="str">
        <f>HYPERLINK("mailto:markw@georgeinstitute.org.au", "contact")</f>
        <v>contact</v>
      </c>
    </row>
    <row r="601" spans="1:11" x14ac:dyDescent="0.25">
      <c r="A601" s="13" t="s">
        <v>1645</v>
      </c>
      <c r="B601" s="13" t="s">
        <v>1638</v>
      </c>
      <c r="C601" s="13" t="s">
        <v>660</v>
      </c>
      <c r="D601" s="13" t="s">
        <v>1644</v>
      </c>
      <c r="E601" s="16" t="s">
        <v>41</v>
      </c>
      <c r="F601" s="16" t="s">
        <v>468</v>
      </c>
      <c r="G601" s="16" t="s">
        <v>869</v>
      </c>
      <c r="H601" s="16" t="s">
        <v>869</v>
      </c>
      <c r="I601" s="16">
        <v>85</v>
      </c>
      <c r="J601" s="16">
        <v>76</v>
      </c>
      <c r="K601" s="18" t="str">
        <f>HYPERLINK("mailto:markw@georgeinstitute.org.au", "contact")</f>
        <v>contact</v>
      </c>
    </row>
    <row r="602" spans="1:11" x14ac:dyDescent="0.25">
      <c r="A602" s="13" t="s">
        <v>1647</v>
      </c>
      <c r="B602" s="13" t="s">
        <v>1638</v>
      </c>
      <c r="C602" s="13" t="s">
        <v>660</v>
      </c>
      <c r="D602" s="13" t="s">
        <v>1648</v>
      </c>
      <c r="E602" s="16" t="s">
        <v>41</v>
      </c>
      <c r="F602" s="16" t="s">
        <v>468</v>
      </c>
      <c r="G602" s="16" t="s">
        <v>473</v>
      </c>
      <c r="H602" s="16" t="s">
        <v>473</v>
      </c>
      <c r="I602" s="16">
        <v>1574</v>
      </c>
      <c r="J602" s="16">
        <v>1162</v>
      </c>
      <c r="K602" s="18" t="str">
        <f>HYPERLINK("mailto:t.ninomiya.a47@m.kyushu-u.ac.jp ;nino@cohort.med.kyushu-u.ac.jp; ninomiya.toshiharu.734@m.kyushu-u.ac.jp", "contact")</f>
        <v>contact</v>
      </c>
    </row>
    <row r="603" spans="1:11" x14ac:dyDescent="0.25">
      <c r="A603" s="13" t="s">
        <v>1649</v>
      </c>
      <c r="B603" s="13" t="s">
        <v>1638</v>
      </c>
      <c r="C603" s="13" t="s">
        <v>926</v>
      </c>
      <c r="D603" s="13" t="s">
        <v>1644</v>
      </c>
      <c r="E603" s="16" t="s">
        <v>41</v>
      </c>
      <c r="F603" s="16" t="s">
        <v>468</v>
      </c>
      <c r="G603" s="16" t="s">
        <v>869</v>
      </c>
      <c r="H603" s="16" t="s">
        <v>869</v>
      </c>
      <c r="I603" s="16">
        <v>63</v>
      </c>
      <c r="J603" s="16">
        <v>59</v>
      </c>
      <c r="K603" s="18" t="str">
        <f>HYPERLINK("mailto:markw@georgeinstitute.org.au", "contact")</f>
        <v>contact</v>
      </c>
    </row>
    <row r="604" spans="1:11" x14ac:dyDescent="0.25">
      <c r="A604" s="13" t="s">
        <v>1650</v>
      </c>
      <c r="B604" s="13" t="s">
        <v>1638</v>
      </c>
      <c r="C604" s="13" t="s">
        <v>926</v>
      </c>
      <c r="D604" s="13" t="s">
        <v>1651</v>
      </c>
      <c r="E604" s="16" t="s">
        <v>13</v>
      </c>
      <c r="F604" s="16" t="s">
        <v>12</v>
      </c>
      <c r="G604" s="16" t="s">
        <v>431</v>
      </c>
      <c r="H604" s="16" t="s">
        <v>431</v>
      </c>
      <c r="I604" s="16">
        <v>1613</v>
      </c>
      <c r="J604" s="16">
        <v>1377</v>
      </c>
      <c r="K604" s="18" t="str">
        <f>HYPERLINK("mailto:ikedan@nibiohn.go.jp", "contact")</f>
        <v>contact</v>
      </c>
    </row>
    <row r="605" spans="1:11" x14ac:dyDescent="0.25">
      <c r="A605" s="13" t="s">
        <v>1652</v>
      </c>
      <c r="B605" s="13" t="s">
        <v>1638</v>
      </c>
      <c r="C605" s="13" t="s">
        <v>1537</v>
      </c>
      <c r="D605" s="13" t="s">
        <v>1644</v>
      </c>
      <c r="E605" s="16" t="s">
        <v>41</v>
      </c>
      <c r="F605" s="16" t="s">
        <v>468</v>
      </c>
      <c r="G605" s="16" t="s">
        <v>869</v>
      </c>
      <c r="H605" s="16" t="s">
        <v>869</v>
      </c>
      <c r="I605" s="16">
        <v>58</v>
      </c>
      <c r="J605" s="16">
        <v>30</v>
      </c>
      <c r="K605" s="18" t="str">
        <f>HYPERLINK("mailto:markw@georgeinstitute.org.au", "contact")</f>
        <v>contact</v>
      </c>
    </row>
    <row r="606" spans="1:11" x14ac:dyDescent="0.25">
      <c r="A606" s="13" t="s">
        <v>1653</v>
      </c>
      <c r="B606" s="13" t="s">
        <v>1638</v>
      </c>
      <c r="C606" s="13" t="s">
        <v>1537</v>
      </c>
      <c r="D606" s="13" t="s">
        <v>1654</v>
      </c>
      <c r="E606" s="16" t="s">
        <v>13</v>
      </c>
      <c r="F606" s="16" t="s">
        <v>12</v>
      </c>
      <c r="G606" s="16" t="s">
        <v>431</v>
      </c>
      <c r="H606" s="16" t="s">
        <v>431</v>
      </c>
      <c r="I606" s="16">
        <v>1615</v>
      </c>
      <c r="J606" s="16">
        <v>1517</v>
      </c>
      <c r="K606" s="18" t="str">
        <f>HYPERLINK("mailto:ikedan@nibiohn.go.jp", "contact")</f>
        <v>contact</v>
      </c>
    </row>
    <row r="607" spans="1:11" x14ac:dyDescent="0.25">
      <c r="A607" s="13" t="s">
        <v>1655</v>
      </c>
      <c r="B607" s="13" t="s">
        <v>1638</v>
      </c>
      <c r="C607" s="13" t="s">
        <v>449</v>
      </c>
      <c r="D607" s="13" t="s">
        <v>685</v>
      </c>
      <c r="E607" s="16" t="s">
        <v>41</v>
      </c>
      <c r="F607" s="16" t="s">
        <v>468</v>
      </c>
      <c r="G607" s="16" t="s">
        <v>686</v>
      </c>
      <c r="H607" s="16" t="s">
        <v>686</v>
      </c>
      <c r="I607" s="16">
        <v>5182</v>
      </c>
      <c r="J607" s="16">
        <v>3896</v>
      </c>
      <c r="K607" s="18" t="str">
        <f>HYPERLINK("mailto:ncdrisc@imperial.ac.uk", "contact")</f>
        <v>contact</v>
      </c>
    </row>
    <row r="608" spans="1:11" x14ac:dyDescent="0.25">
      <c r="A608" s="13" t="s">
        <v>1656</v>
      </c>
      <c r="B608" s="13" t="s">
        <v>1638</v>
      </c>
      <c r="C608" s="13" t="s">
        <v>449</v>
      </c>
      <c r="D608" s="13" t="s">
        <v>1644</v>
      </c>
      <c r="E608" s="16" t="s">
        <v>41</v>
      </c>
      <c r="F608" s="16" t="s">
        <v>468</v>
      </c>
      <c r="G608" s="16" t="s">
        <v>869</v>
      </c>
      <c r="H608" s="16" t="s">
        <v>869</v>
      </c>
      <c r="I608" s="16">
        <v>117</v>
      </c>
      <c r="J608" s="16">
        <v>93</v>
      </c>
      <c r="K608" s="18" t="str">
        <f>HYPERLINK("mailto:markw@georgeinstitute.org.au", "contact")</f>
        <v>contact</v>
      </c>
    </row>
    <row r="609" spans="1:11" x14ac:dyDescent="0.25">
      <c r="A609" s="13" t="s">
        <v>1657</v>
      </c>
      <c r="B609" s="13" t="s">
        <v>1638</v>
      </c>
      <c r="C609" s="13" t="s">
        <v>449</v>
      </c>
      <c r="D609" s="13" t="s">
        <v>1651</v>
      </c>
      <c r="E609" s="16" t="s">
        <v>13</v>
      </c>
      <c r="F609" s="16" t="s">
        <v>12</v>
      </c>
      <c r="G609" s="16" t="s">
        <v>431</v>
      </c>
      <c r="H609" s="16" t="s">
        <v>431</v>
      </c>
      <c r="I609" s="16">
        <v>1523</v>
      </c>
      <c r="J609" s="16">
        <v>1444</v>
      </c>
      <c r="K609" s="18" t="str">
        <f>HYPERLINK("mailto:ikedan@nibiohn.go.jp", "contact")</f>
        <v>contact</v>
      </c>
    </row>
    <row r="610" spans="1:11" x14ac:dyDescent="0.25">
      <c r="A610" s="13" t="s">
        <v>1658</v>
      </c>
      <c r="B610" s="13" t="s">
        <v>1638</v>
      </c>
      <c r="C610" s="13" t="s">
        <v>452</v>
      </c>
      <c r="D610" s="13" t="s">
        <v>1644</v>
      </c>
      <c r="E610" s="16" t="s">
        <v>41</v>
      </c>
      <c r="F610" s="16" t="s">
        <v>468</v>
      </c>
      <c r="G610" s="16" t="s">
        <v>869</v>
      </c>
      <c r="H610" s="16" t="s">
        <v>869</v>
      </c>
      <c r="I610" s="16">
        <v>52</v>
      </c>
      <c r="J610" s="16">
        <v>55</v>
      </c>
      <c r="K610" s="18" t="str">
        <f>HYPERLINK("mailto:markw@georgeinstitute.org.au", "contact")</f>
        <v>contact</v>
      </c>
    </row>
    <row r="611" spans="1:11" x14ac:dyDescent="0.25">
      <c r="A611" s="13" t="s">
        <v>1659</v>
      </c>
      <c r="B611" s="13" t="s">
        <v>1638</v>
      </c>
      <c r="C611" s="13" t="s">
        <v>452</v>
      </c>
      <c r="D611" s="13" t="s">
        <v>1651</v>
      </c>
      <c r="E611" s="16" t="s">
        <v>13</v>
      </c>
      <c r="F611" s="16" t="s">
        <v>12</v>
      </c>
      <c r="G611" s="16" t="s">
        <v>431</v>
      </c>
      <c r="H611" s="16" t="s">
        <v>431</v>
      </c>
      <c r="I611" s="16">
        <v>1445</v>
      </c>
      <c r="J611" s="16">
        <v>1332</v>
      </c>
      <c r="K611" s="18" t="str">
        <f>HYPERLINK("mailto:ikedan@nibiohn.go.jp", "contact")</f>
        <v>contact</v>
      </c>
    </row>
    <row r="612" spans="1:11" x14ac:dyDescent="0.25">
      <c r="A612" s="13" t="s">
        <v>1660</v>
      </c>
      <c r="B612" s="13" t="s">
        <v>1638</v>
      </c>
      <c r="C612" s="13" t="s">
        <v>382</v>
      </c>
      <c r="D612" s="13" t="s">
        <v>1644</v>
      </c>
      <c r="E612" s="16" t="s">
        <v>41</v>
      </c>
      <c r="F612" s="16" t="s">
        <v>468</v>
      </c>
      <c r="G612" s="16" t="s">
        <v>869</v>
      </c>
      <c r="H612" s="16" t="s">
        <v>869</v>
      </c>
      <c r="I612" s="16">
        <v>65</v>
      </c>
      <c r="J612" s="16">
        <v>54</v>
      </c>
      <c r="K612" s="18" t="str">
        <f>HYPERLINK("mailto:markw@georgeinstitute.org.au", "contact")</f>
        <v>contact</v>
      </c>
    </row>
    <row r="613" spans="1:11" x14ac:dyDescent="0.25">
      <c r="A613" s="13" t="s">
        <v>1661</v>
      </c>
      <c r="B613" s="13" t="s">
        <v>1638</v>
      </c>
      <c r="C613" s="13" t="s">
        <v>382</v>
      </c>
      <c r="D613" s="13" t="s">
        <v>1651</v>
      </c>
      <c r="E613" s="16" t="s">
        <v>13</v>
      </c>
      <c r="F613" s="16" t="s">
        <v>12</v>
      </c>
      <c r="G613" s="16" t="s">
        <v>431</v>
      </c>
      <c r="H613" s="16" t="s">
        <v>431</v>
      </c>
      <c r="I613" s="16">
        <v>1360</v>
      </c>
      <c r="J613" s="16">
        <v>1251</v>
      </c>
      <c r="K613" s="18" t="str">
        <f>HYPERLINK("mailto:ikedan@nibiohn.go.jp", "contact")</f>
        <v>contact</v>
      </c>
    </row>
    <row r="614" spans="1:11" x14ac:dyDescent="0.25">
      <c r="A614" s="13" t="s">
        <v>1662</v>
      </c>
      <c r="B614" s="13" t="s">
        <v>1638</v>
      </c>
      <c r="C614" s="13" t="s">
        <v>406</v>
      </c>
      <c r="D614" s="13" t="s">
        <v>1644</v>
      </c>
      <c r="E614" s="16" t="s">
        <v>41</v>
      </c>
      <c r="F614" s="16" t="s">
        <v>468</v>
      </c>
      <c r="G614" s="16" t="s">
        <v>869</v>
      </c>
      <c r="H614" s="16" t="s">
        <v>869</v>
      </c>
      <c r="I614" s="16">
        <v>59</v>
      </c>
      <c r="J614" s="16">
        <v>42</v>
      </c>
      <c r="K614" s="18" t="str">
        <f>HYPERLINK("mailto:markw@georgeinstitute.org.au", "contact")</f>
        <v>contact</v>
      </c>
    </row>
    <row r="615" spans="1:11" x14ac:dyDescent="0.25">
      <c r="A615" s="13" t="s">
        <v>1663</v>
      </c>
      <c r="B615" s="13" t="s">
        <v>1638</v>
      </c>
      <c r="C615" s="13" t="s">
        <v>406</v>
      </c>
      <c r="D615" s="13" t="s">
        <v>1651</v>
      </c>
      <c r="E615" s="16" t="s">
        <v>13</v>
      </c>
      <c r="F615" s="16" t="s">
        <v>12</v>
      </c>
      <c r="G615" s="16" t="s">
        <v>1664</v>
      </c>
      <c r="H615" s="16" t="s">
        <v>1664</v>
      </c>
      <c r="I615" s="16">
        <v>1112</v>
      </c>
      <c r="J615" s="16">
        <v>970</v>
      </c>
      <c r="K615" s="18" t="str">
        <f>HYPERLINK("mailto:ikedan@nibiohn.go.jp", "contact")</f>
        <v>contact</v>
      </c>
    </row>
    <row r="616" spans="1:11" x14ac:dyDescent="0.25">
      <c r="A616" s="13" t="s">
        <v>1665</v>
      </c>
      <c r="B616" s="13" t="s">
        <v>1638</v>
      </c>
      <c r="C616" s="13" t="s">
        <v>917</v>
      </c>
      <c r="D616" s="13" t="s">
        <v>1644</v>
      </c>
      <c r="E616" s="16" t="s">
        <v>41</v>
      </c>
      <c r="F616" s="16" t="s">
        <v>468</v>
      </c>
      <c r="G616" s="16" t="s">
        <v>869</v>
      </c>
      <c r="H616" s="16" t="s">
        <v>869</v>
      </c>
      <c r="I616" s="16">
        <v>60</v>
      </c>
      <c r="J616" s="16">
        <v>45</v>
      </c>
      <c r="K616" s="18" t="str">
        <f>HYPERLINK("mailto:markw@georgeinstitute.org.au", "contact")</f>
        <v>contact</v>
      </c>
    </row>
    <row r="617" spans="1:11" x14ac:dyDescent="0.25">
      <c r="A617" s="13" t="s">
        <v>1666</v>
      </c>
      <c r="B617" s="13" t="s">
        <v>1638</v>
      </c>
      <c r="C617" s="13" t="s">
        <v>917</v>
      </c>
      <c r="D617" s="13" t="s">
        <v>1651</v>
      </c>
      <c r="E617" s="16" t="s">
        <v>13</v>
      </c>
      <c r="F617" s="16" t="s">
        <v>12</v>
      </c>
      <c r="G617" s="16" t="s">
        <v>1664</v>
      </c>
      <c r="H617" s="16" t="s">
        <v>1664</v>
      </c>
      <c r="I617" s="16">
        <v>1076</v>
      </c>
      <c r="J617" s="16">
        <v>948</v>
      </c>
      <c r="K617" s="18" t="str">
        <f>HYPERLINK("mailto:ikedan@nibiohn.go.jp", "contact")</f>
        <v>contact</v>
      </c>
    </row>
    <row r="618" spans="1:11" x14ac:dyDescent="0.25">
      <c r="A618" s="13" t="s">
        <v>1667</v>
      </c>
      <c r="B618" s="13" t="s">
        <v>1638</v>
      </c>
      <c r="C618" s="13" t="s">
        <v>931</v>
      </c>
      <c r="D618" s="13" t="s">
        <v>1651</v>
      </c>
      <c r="E618" s="16" t="s">
        <v>13</v>
      </c>
      <c r="F618" s="16" t="s">
        <v>12</v>
      </c>
      <c r="G618" s="16" t="s">
        <v>431</v>
      </c>
      <c r="H618" s="16" t="s">
        <v>431</v>
      </c>
      <c r="I618" s="16">
        <v>1060</v>
      </c>
      <c r="J618" s="16">
        <v>953</v>
      </c>
      <c r="K618" s="18" t="str">
        <f>HYPERLINK("mailto:ikedan@nibiohn.go.jp", "contact")</f>
        <v>contact</v>
      </c>
    </row>
    <row r="619" spans="1:11" x14ac:dyDescent="0.25">
      <c r="A619" s="13" t="s">
        <v>1668</v>
      </c>
      <c r="B619" s="13" t="s">
        <v>1638</v>
      </c>
      <c r="C619" s="13" t="s">
        <v>684</v>
      </c>
      <c r="D619" s="13" t="s">
        <v>1651</v>
      </c>
      <c r="E619" s="16" t="s">
        <v>13</v>
      </c>
      <c r="F619" s="16" t="s">
        <v>12</v>
      </c>
      <c r="G619" s="16" t="s">
        <v>434</v>
      </c>
      <c r="H619" s="16" t="s">
        <v>434</v>
      </c>
      <c r="I619" s="16">
        <v>1293</v>
      </c>
      <c r="J619" s="16">
        <v>1196</v>
      </c>
      <c r="K619" s="18" t="str">
        <f>HYPERLINK("mailto:ikedan@nibiohn.go.jp", "contact")</f>
        <v>contact</v>
      </c>
    </row>
    <row r="620" spans="1:11" x14ac:dyDescent="0.25">
      <c r="A620" s="13" t="s">
        <v>1669</v>
      </c>
      <c r="B620" s="13" t="s">
        <v>1638</v>
      </c>
      <c r="C620" s="13" t="s">
        <v>455</v>
      </c>
      <c r="D620" s="13" t="s">
        <v>1670</v>
      </c>
      <c r="E620" s="16" t="s">
        <v>41</v>
      </c>
      <c r="F620" s="16" t="s">
        <v>40</v>
      </c>
      <c r="G620" s="16" t="s">
        <v>402</v>
      </c>
      <c r="H620" s="16" t="s">
        <v>402</v>
      </c>
      <c r="I620" s="16">
        <v>593</v>
      </c>
      <c r="J620" s="16">
        <v>471</v>
      </c>
      <c r="K620" s="18" t="str">
        <f>HYPERLINK("mailto:ncdrisc@imperial.ac.uk", "contact")</f>
        <v>contact</v>
      </c>
    </row>
    <row r="621" spans="1:11" x14ac:dyDescent="0.25">
      <c r="A621" s="13" t="s">
        <v>1671</v>
      </c>
      <c r="B621" s="13" t="s">
        <v>1638</v>
      </c>
      <c r="C621" s="13" t="s">
        <v>455</v>
      </c>
      <c r="D621" s="13" t="s">
        <v>1651</v>
      </c>
      <c r="E621" s="16" t="s">
        <v>13</v>
      </c>
      <c r="F621" s="16" t="s">
        <v>12</v>
      </c>
      <c r="G621" s="16" t="s">
        <v>434</v>
      </c>
      <c r="H621" s="16" t="s">
        <v>434</v>
      </c>
      <c r="I621" s="16">
        <v>1337</v>
      </c>
      <c r="J621" s="16">
        <v>1135</v>
      </c>
      <c r="K621" s="18" t="str">
        <f>HYPERLINK("mailto:ikedan@nibiohn.go.jp", "contact")</f>
        <v>contact</v>
      </c>
    </row>
    <row r="622" spans="1:11" x14ac:dyDescent="0.25">
      <c r="A622" s="13" t="s">
        <v>1672</v>
      </c>
      <c r="B622" s="13" t="s">
        <v>1638</v>
      </c>
      <c r="C622" s="13" t="s">
        <v>1117</v>
      </c>
      <c r="D622" s="13" t="s">
        <v>1673</v>
      </c>
      <c r="E622" s="16" t="s">
        <v>53</v>
      </c>
      <c r="F622" s="16" t="s">
        <v>12</v>
      </c>
      <c r="G622" s="16" t="s">
        <v>1674</v>
      </c>
      <c r="H622" s="16" t="s">
        <v>1674</v>
      </c>
      <c r="I622" s="16">
        <v>7332</v>
      </c>
      <c r="J622" s="16">
        <v>4493</v>
      </c>
      <c r="K622" s="18" t="str">
        <f>HYPERLINK("mailto:noda_m@saitama-med.ac.jp; noda-3im@io.ocn.ne.jp", "contact")</f>
        <v>contact</v>
      </c>
    </row>
    <row r="623" spans="1:11" x14ac:dyDescent="0.25">
      <c r="A623" s="13" t="s">
        <v>1675</v>
      </c>
      <c r="B623" s="13" t="s">
        <v>1638</v>
      </c>
      <c r="C623" s="13" t="s">
        <v>934</v>
      </c>
      <c r="D623" s="13" t="s">
        <v>1651</v>
      </c>
      <c r="E623" s="16" t="s">
        <v>13</v>
      </c>
      <c r="F623" s="16" t="s">
        <v>12</v>
      </c>
      <c r="G623" s="16" t="s">
        <v>434</v>
      </c>
      <c r="H623" s="16" t="s">
        <v>434</v>
      </c>
      <c r="I623" s="16">
        <v>1013</v>
      </c>
      <c r="J623" s="16">
        <v>920</v>
      </c>
      <c r="K623" s="18" t="str">
        <f>HYPERLINK("mailto:ikedan@nibiohn.go.jp", "contact")</f>
        <v>contact</v>
      </c>
    </row>
    <row r="624" spans="1:11" x14ac:dyDescent="0.25">
      <c r="A624" s="13" t="s">
        <v>1676</v>
      </c>
      <c r="B624" s="13" t="s">
        <v>1638</v>
      </c>
      <c r="C624" s="13" t="s">
        <v>666</v>
      </c>
      <c r="D624" s="13" t="s">
        <v>1677</v>
      </c>
      <c r="E624" s="16" t="s">
        <v>41</v>
      </c>
      <c r="F624" s="16" t="s">
        <v>40</v>
      </c>
      <c r="G624" s="16" t="s">
        <v>1678</v>
      </c>
      <c r="H624" s="16" t="s">
        <v>1678</v>
      </c>
      <c r="I624" s="16">
        <v>171</v>
      </c>
      <c r="J624" s="16">
        <v>212</v>
      </c>
      <c r="K624" s="18" t="str">
        <f>HYPERLINK("mailto:iwasaki@den.hokudai.ac.jp", "contact")</f>
        <v>contact</v>
      </c>
    </row>
    <row r="625" spans="1:11" x14ac:dyDescent="0.25">
      <c r="A625" s="13" t="s">
        <v>1679</v>
      </c>
      <c r="B625" s="13" t="s">
        <v>1638</v>
      </c>
      <c r="C625" s="13" t="s">
        <v>666</v>
      </c>
      <c r="D625" s="13" t="s">
        <v>1654</v>
      </c>
      <c r="E625" s="16" t="s">
        <v>13</v>
      </c>
      <c r="F625" s="16" t="s">
        <v>12</v>
      </c>
      <c r="G625" s="16" t="s">
        <v>434</v>
      </c>
      <c r="H625" s="16" t="s">
        <v>434</v>
      </c>
      <c r="I625" s="16">
        <v>1219</v>
      </c>
      <c r="J625" s="16">
        <v>1073</v>
      </c>
      <c r="K625" s="18" t="str">
        <f>HYPERLINK("mailto:ikedan@nibiohn.go.jp", "contact")</f>
        <v>contact</v>
      </c>
    </row>
    <row r="626" spans="1:11" x14ac:dyDescent="0.25">
      <c r="A626" s="13" t="s">
        <v>1680</v>
      </c>
      <c r="B626" s="13" t="s">
        <v>1638</v>
      </c>
      <c r="C626" s="13" t="s">
        <v>776</v>
      </c>
      <c r="D626" s="13" t="s">
        <v>1681</v>
      </c>
      <c r="E626" s="16" t="s">
        <v>41</v>
      </c>
      <c r="F626" s="16" t="s">
        <v>468</v>
      </c>
      <c r="G626" s="16" t="s">
        <v>501</v>
      </c>
      <c r="H626" s="16" t="s">
        <v>501</v>
      </c>
      <c r="I626" s="16">
        <v>1016</v>
      </c>
      <c r="J626" s="16">
        <v>783</v>
      </c>
      <c r="K626" s="18" t="str">
        <f>HYPERLINK("mailto:ncdrisc@imperial.ac.uk", "contact")</f>
        <v>contact</v>
      </c>
    </row>
    <row r="627" spans="1:11" x14ac:dyDescent="0.25">
      <c r="A627" s="13" t="s">
        <v>1682</v>
      </c>
      <c r="B627" s="13" t="s">
        <v>1638</v>
      </c>
      <c r="C627" s="13" t="s">
        <v>776</v>
      </c>
      <c r="D627" s="13" t="s">
        <v>1683</v>
      </c>
      <c r="E627" s="16" t="s">
        <v>53</v>
      </c>
      <c r="F627" s="16" t="s">
        <v>12</v>
      </c>
      <c r="G627" s="16" t="s">
        <v>434</v>
      </c>
      <c r="H627" s="16" t="s">
        <v>434</v>
      </c>
      <c r="I627" s="16">
        <v>298123</v>
      </c>
      <c r="J627" s="16">
        <v>323553</v>
      </c>
      <c r="K627" s="18" t="str">
        <f>HYPERLINK("mailto:suka@jikei.ac.jp", "contact")</f>
        <v>contact</v>
      </c>
    </row>
    <row r="628" spans="1:11" x14ac:dyDescent="0.25">
      <c r="A628" s="13" t="s">
        <v>1684</v>
      </c>
      <c r="B628" s="13" t="s">
        <v>1638</v>
      </c>
      <c r="C628" s="13" t="s">
        <v>776</v>
      </c>
      <c r="D628" s="13" t="s">
        <v>1677</v>
      </c>
      <c r="E628" s="16" t="s">
        <v>41</v>
      </c>
      <c r="F628" s="16" t="s">
        <v>40</v>
      </c>
      <c r="G628" s="16" t="s">
        <v>1685</v>
      </c>
      <c r="H628" s="16" t="s">
        <v>1685</v>
      </c>
      <c r="I628" s="16">
        <v>196</v>
      </c>
      <c r="J628" s="16">
        <v>234</v>
      </c>
      <c r="K628" s="18" t="str">
        <f>HYPERLINK("mailto:iwasaki@den.hokudai.ac.jp", "contact")</f>
        <v>contact</v>
      </c>
    </row>
    <row r="629" spans="1:11" x14ac:dyDescent="0.25">
      <c r="A629" s="13" t="s">
        <v>1686</v>
      </c>
      <c r="B629" s="13" t="s">
        <v>1638</v>
      </c>
      <c r="C629" s="13" t="s">
        <v>776</v>
      </c>
      <c r="D629" s="13" t="s">
        <v>1651</v>
      </c>
      <c r="E629" s="16" t="s">
        <v>13</v>
      </c>
      <c r="F629" s="16" t="s">
        <v>12</v>
      </c>
      <c r="G629" s="16" t="s">
        <v>434</v>
      </c>
      <c r="H629" s="16" t="s">
        <v>434</v>
      </c>
      <c r="I629" s="16">
        <v>1088</v>
      </c>
      <c r="J629" s="16">
        <v>968</v>
      </c>
      <c r="K629" s="18" t="str">
        <f>HYPERLINK("mailto:ikedan@nibiohn.go.jp", "contact")</f>
        <v>contact</v>
      </c>
    </row>
    <row r="630" spans="1:11" x14ac:dyDescent="0.25">
      <c r="A630" s="13" t="s">
        <v>1687</v>
      </c>
      <c r="B630" s="13" t="s">
        <v>1638</v>
      </c>
      <c r="C630" s="13" t="s">
        <v>493</v>
      </c>
      <c r="D630" s="13" t="s">
        <v>1677</v>
      </c>
      <c r="E630" s="16" t="s">
        <v>41</v>
      </c>
      <c r="F630" s="16" t="s">
        <v>40</v>
      </c>
      <c r="G630" s="16" t="s">
        <v>630</v>
      </c>
      <c r="H630" s="16" t="s">
        <v>630</v>
      </c>
      <c r="I630" s="16">
        <v>185</v>
      </c>
      <c r="J630" s="16">
        <v>211</v>
      </c>
      <c r="K630" s="18" t="str">
        <f>HYPERLINK("mailto:iwasaki@den.hokudai.ac.jp", "contact")</f>
        <v>contact</v>
      </c>
    </row>
    <row r="631" spans="1:11" x14ac:dyDescent="0.25">
      <c r="A631" s="13" t="s">
        <v>1688</v>
      </c>
      <c r="B631" s="13" t="s">
        <v>1638</v>
      </c>
      <c r="C631" s="13" t="s">
        <v>493</v>
      </c>
      <c r="D631" s="13" t="s">
        <v>1651</v>
      </c>
      <c r="E631" s="16" t="s">
        <v>13</v>
      </c>
      <c r="F631" s="16" t="s">
        <v>12</v>
      </c>
      <c r="G631" s="16" t="s">
        <v>434</v>
      </c>
      <c r="H631" s="16" t="s">
        <v>434</v>
      </c>
      <c r="I631" s="16">
        <v>1072</v>
      </c>
      <c r="J631" s="16">
        <v>952</v>
      </c>
      <c r="K631" s="18" t="str">
        <f>HYPERLINK("mailto:ikedan@nibiohn.go.jp", "contact")</f>
        <v>contact</v>
      </c>
    </row>
    <row r="632" spans="1:11" x14ac:dyDescent="0.25">
      <c r="A632" s="13" t="s">
        <v>1689</v>
      </c>
      <c r="B632" s="13" t="s">
        <v>1638</v>
      </c>
      <c r="C632" s="13" t="s">
        <v>1690</v>
      </c>
      <c r="D632" s="13" t="s">
        <v>1648</v>
      </c>
      <c r="E632" s="16" t="s">
        <v>41</v>
      </c>
      <c r="F632" s="16" t="s">
        <v>468</v>
      </c>
      <c r="G632" s="16" t="s">
        <v>473</v>
      </c>
      <c r="H632" s="16" t="s">
        <v>473</v>
      </c>
      <c r="I632" s="16">
        <v>1837</v>
      </c>
      <c r="J632" s="16">
        <v>1391</v>
      </c>
      <c r="K632" s="18" t="str">
        <f>HYPERLINK("mailto:nino@cohort.med.kyushu-u.ac.jp", "contact")</f>
        <v>contact</v>
      </c>
    </row>
    <row r="633" spans="1:11" x14ac:dyDescent="0.25">
      <c r="A633" s="13" t="s">
        <v>1691</v>
      </c>
      <c r="B633" s="13" t="s">
        <v>1638</v>
      </c>
      <c r="C633" s="13" t="s">
        <v>471</v>
      </c>
      <c r="D633" s="13" t="s">
        <v>1692</v>
      </c>
      <c r="E633" s="16" t="s">
        <v>13</v>
      </c>
      <c r="F633" s="16" t="s">
        <v>12</v>
      </c>
      <c r="G633" s="16" t="s">
        <v>434</v>
      </c>
      <c r="H633" s="16" t="s">
        <v>434</v>
      </c>
      <c r="I633" s="16">
        <v>3534</v>
      </c>
      <c r="J633" s="16">
        <v>2475</v>
      </c>
      <c r="K633" s="18" t="str">
        <f>HYPERLINK("mailto:ikedan@nibiohn.go.jp", "contact")</f>
        <v>contact</v>
      </c>
    </row>
    <row r="634" spans="1:11" x14ac:dyDescent="0.25">
      <c r="A634" s="13" t="s">
        <v>1693</v>
      </c>
      <c r="B634" s="13" t="s">
        <v>1638</v>
      </c>
      <c r="C634" s="13" t="s">
        <v>471</v>
      </c>
      <c r="D634" s="13" t="s">
        <v>1677</v>
      </c>
      <c r="E634" s="16" t="s">
        <v>41</v>
      </c>
      <c r="F634" s="16" t="s">
        <v>40</v>
      </c>
      <c r="G634" s="16" t="s">
        <v>1694</v>
      </c>
      <c r="H634" s="16" t="s">
        <v>1694</v>
      </c>
      <c r="I634" s="16">
        <v>191</v>
      </c>
      <c r="J634" s="16">
        <v>215</v>
      </c>
      <c r="K634" s="18" t="str">
        <f>HYPERLINK("mailto:iwasaki@den.hokudai.ac.jp", "contact")</f>
        <v>contact</v>
      </c>
    </row>
    <row r="635" spans="1:11" x14ac:dyDescent="0.25">
      <c r="A635" s="13" t="s">
        <v>1695</v>
      </c>
      <c r="B635" s="13" t="s">
        <v>1638</v>
      </c>
      <c r="C635" s="13" t="s">
        <v>409</v>
      </c>
      <c r="D635" s="13" t="s">
        <v>1692</v>
      </c>
      <c r="E635" s="16" t="s">
        <v>13</v>
      </c>
      <c r="F635" s="16" t="s">
        <v>12</v>
      </c>
      <c r="G635" s="16" t="s">
        <v>434</v>
      </c>
      <c r="H635" s="16" t="s">
        <v>434</v>
      </c>
      <c r="I635" s="16">
        <v>2700</v>
      </c>
      <c r="J635" s="16">
        <v>1879</v>
      </c>
      <c r="K635" s="18" t="str">
        <f>HYPERLINK("mailto:ikedan@nibiohn.go.jp", "contact")</f>
        <v>contact</v>
      </c>
    </row>
    <row r="636" spans="1:11" x14ac:dyDescent="0.25">
      <c r="A636" s="13" t="s">
        <v>1696</v>
      </c>
      <c r="B636" s="13" t="s">
        <v>1638</v>
      </c>
      <c r="C636" s="13" t="s">
        <v>409</v>
      </c>
      <c r="D636" s="13" t="s">
        <v>1677</v>
      </c>
      <c r="E636" s="16" t="s">
        <v>41</v>
      </c>
      <c r="F636" s="16" t="s">
        <v>40</v>
      </c>
      <c r="G636" s="16" t="s">
        <v>1646</v>
      </c>
      <c r="H636" s="16" t="s">
        <v>1646</v>
      </c>
      <c r="I636" s="16">
        <v>184</v>
      </c>
      <c r="J636" s="16">
        <v>212</v>
      </c>
      <c r="K636" s="18" t="str">
        <f>HYPERLINK("mailto:iwasaki@den.hokudai.ac.jp", "contact")</f>
        <v>contact</v>
      </c>
    </row>
    <row r="637" spans="1:11" x14ac:dyDescent="0.25">
      <c r="A637" s="13" t="s">
        <v>1697</v>
      </c>
      <c r="B637" s="13" t="s">
        <v>1638</v>
      </c>
      <c r="C637" s="13" t="s">
        <v>632</v>
      </c>
      <c r="D637" s="13" t="s">
        <v>1673</v>
      </c>
      <c r="E637" s="16" t="s">
        <v>53</v>
      </c>
      <c r="F637" s="16" t="s">
        <v>12</v>
      </c>
      <c r="G637" s="16" t="s">
        <v>1698</v>
      </c>
      <c r="H637" s="16" t="s">
        <v>1699</v>
      </c>
      <c r="I637" s="16">
        <v>4731</v>
      </c>
      <c r="J637" s="16">
        <v>3068</v>
      </c>
      <c r="K637" s="18" t="str">
        <f>HYPERLINK("mailto:agoto@yokohama-cu.ac.jp", "contact")</f>
        <v>contact</v>
      </c>
    </row>
    <row r="638" spans="1:11" x14ac:dyDescent="0.25">
      <c r="A638" s="13" t="s">
        <v>1700</v>
      </c>
      <c r="B638" s="13" t="s">
        <v>1638</v>
      </c>
      <c r="C638" s="13" t="s">
        <v>628</v>
      </c>
      <c r="D638" s="13" t="s">
        <v>1692</v>
      </c>
      <c r="E638" s="16" t="s">
        <v>13</v>
      </c>
      <c r="F638" s="16" t="s">
        <v>12</v>
      </c>
      <c r="G638" s="16" t="s">
        <v>434</v>
      </c>
      <c r="H638" s="16" t="s">
        <v>434</v>
      </c>
      <c r="I638" s="16">
        <v>2540</v>
      </c>
      <c r="J638" s="16">
        <v>1824</v>
      </c>
      <c r="K638" s="18" t="str">
        <f>HYPERLINK("mailto:ikedan@nibiohn.go.jp", "contact")</f>
        <v>contact</v>
      </c>
    </row>
    <row r="639" spans="1:11" x14ac:dyDescent="0.25">
      <c r="A639" s="13" t="s">
        <v>1701</v>
      </c>
      <c r="B639" s="13" t="s">
        <v>1638</v>
      </c>
      <c r="C639" s="13" t="s">
        <v>628</v>
      </c>
      <c r="D639" s="13" t="s">
        <v>1677</v>
      </c>
      <c r="E639" s="16" t="s">
        <v>41</v>
      </c>
      <c r="F639" s="16" t="s">
        <v>40</v>
      </c>
      <c r="G639" s="16" t="s">
        <v>1702</v>
      </c>
      <c r="H639" s="16" t="s">
        <v>1702</v>
      </c>
      <c r="I639" s="16">
        <v>189</v>
      </c>
      <c r="J639" s="16">
        <v>202</v>
      </c>
      <c r="K639" s="18" t="str">
        <f>HYPERLINK("mailto:iwasaki@den.hokudai.ac.jp", "contact")</f>
        <v>contact</v>
      </c>
    </row>
    <row r="640" spans="1:11" x14ac:dyDescent="0.25">
      <c r="A640" s="13" t="s">
        <v>1703</v>
      </c>
      <c r="B640" s="13" t="s">
        <v>1638</v>
      </c>
      <c r="C640" s="13" t="s">
        <v>496</v>
      </c>
      <c r="D640" s="13" t="s">
        <v>1692</v>
      </c>
      <c r="E640" s="16" t="s">
        <v>13</v>
      </c>
      <c r="F640" s="16" t="s">
        <v>12</v>
      </c>
      <c r="G640" s="16" t="s">
        <v>434</v>
      </c>
      <c r="H640" s="16" t="s">
        <v>434</v>
      </c>
      <c r="I640" s="16">
        <v>2862</v>
      </c>
      <c r="J640" s="16">
        <v>2055</v>
      </c>
      <c r="K640" s="18" t="str">
        <f>HYPERLINK("mailto:ikedan@nibiohn.go.jp", "contact")</f>
        <v>contact</v>
      </c>
    </row>
    <row r="641" spans="1:11" x14ac:dyDescent="0.25">
      <c r="A641" s="13" t="s">
        <v>1704</v>
      </c>
      <c r="B641" s="13" t="s">
        <v>1638</v>
      </c>
      <c r="C641" s="13" t="s">
        <v>496</v>
      </c>
      <c r="D641" s="13" t="s">
        <v>1677</v>
      </c>
      <c r="E641" s="16" t="s">
        <v>41</v>
      </c>
      <c r="F641" s="16" t="s">
        <v>40</v>
      </c>
      <c r="G641" s="16" t="s">
        <v>1705</v>
      </c>
      <c r="H641" s="16" t="s">
        <v>1705</v>
      </c>
      <c r="I641" s="16">
        <v>193</v>
      </c>
      <c r="J641" s="16">
        <v>190</v>
      </c>
      <c r="K641" s="18" t="str">
        <f>HYPERLINK("mailto:iwasaki@den.hokudai.ac.jp", "contact")</f>
        <v>contact</v>
      </c>
    </row>
    <row r="642" spans="1:11" x14ac:dyDescent="0.25">
      <c r="A642" s="13" t="s">
        <v>1706</v>
      </c>
      <c r="B642" s="13" t="s">
        <v>1638</v>
      </c>
      <c r="C642" s="13" t="s">
        <v>488</v>
      </c>
      <c r="D642" s="13" t="s">
        <v>1692</v>
      </c>
      <c r="E642" s="16" t="s">
        <v>13</v>
      </c>
      <c r="F642" s="16" t="s">
        <v>12</v>
      </c>
      <c r="G642" s="16" t="s">
        <v>434</v>
      </c>
      <c r="H642" s="16" t="s">
        <v>434</v>
      </c>
      <c r="I642" s="16">
        <v>2734</v>
      </c>
      <c r="J642" s="16">
        <v>1976</v>
      </c>
      <c r="K642" s="18" t="str">
        <f>HYPERLINK("mailto:ikedan@nibiohn.go.jp", "contact")</f>
        <v>contact</v>
      </c>
    </row>
    <row r="643" spans="1:11" x14ac:dyDescent="0.25">
      <c r="A643" s="13" t="s">
        <v>1707</v>
      </c>
      <c r="B643" s="13" t="s">
        <v>1638</v>
      </c>
      <c r="C643" s="13" t="s">
        <v>488</v>
      </c>
      <c r="D643" s="13" t="s">
        <v>1677</v>
      </c>
      <c r="E643" s="16" t="s">
        <v>41</v>
      </c>
      <c r="F643" s="16" t="s">
        <v>40</v>
      </c>
      <c r="G643" s="16" t="s">
        <v>1708</v>
      </c>
      <c r="H643" s="16" t="s">
        <v>1708</v>
      </c>
      <c r="I643" s="16">
        <v>192</v>
      </c>
      <c r="J643" s="16">
        <v>181</v>
      </c>
      <c r="K643" s="18" t="str">
        <f>HYPERLINK("mailto:iwasaki@den.hokudai.ac.jp", "contact")</f>
        <v>contact</v>
      </c>
    </row>
    <row r="644" spans="1:11" x14ac:dyDescent="0.25">
      <c r="A644" s="13" t="s">
        <v>1709</v>
      </c>
      <c r="B644" s="13" t="s">
        <v>1638</v>
      </c>
      <c r="C644" s="13" t="s">
        <v>479</v>
      </c>
      <c r="D644" s="13" t="s">
        <v>1710</v>
      </c>
      <c r="E644" s="16" t="s">
        <v>41</v>
      </c>
      <c r="F644" s="16" t="s">
        <v>40</v>
      </c>
      <c r="G644" s="16" t="s">
        <v>473</v>
      </c>
      <c r="H644" s="16" t="s">
        <v>473</v>
      </c>
      <c r="I644" s="16">
        <v>11944</v>
      </c>
      <c r="J644" s="16">
        <v>6562</v>
      </c>
      <c r="K644" s="18" t="str">
        <f>HYPERLINK("mailto:ncdrisc@imperial.ac.uk", "contact")</f>
        <v>contact</v>
      </c>
    </row>
    <row r="645" spans="1:11" x14ac:dyDescent="0.25">
      <c r="A645" s="13" t="s">
        <v>1711</v>
      </c>
      <c r="B645" s="13" t="s">
        <v>1638</v>
      </c>
      <c r="C645" s="13" t="s">
        <v>479</v>
      </c>
      <c r="D645" s="13" t="s">
        <v>1692</v>
      </c>
      <c r="E645" s="16" t="s">
        <v>13</v>
      </c>
      <c r="F645" s="16" t="s">
        <v>12</v>
      </c>
      <c r="G645" s="16" t="s">
        <v>434</v>
      </c>
      <c r="H645" s="16" t="s">
        <v>434</v>
      </c>
      <c r="I645" s="16">
        <v>2939</v>
      </c>
      <c r="J645" s="16">
        <v>2149</v>
      </c>
      <c r="K645" s="18" t="str">
        <f>HYPERLINK("mailto:ikedan@nibiohn.go.jp", "contact")</f>
        <v>contact</v>
      </c>
    </row>
    <row r="646" spans="1:11" x14ac:dyDescent="0.25">
      <c r="A646" s="13" t="s">
        <v>1712</v>
      </c>
      <c r="B646" s="13" t="s">
        <v>1638</v>
      </c>
      <c r="C646" s="13" t="s">
        <v>479</v>
      </c>
      <c r="D646" s="13" t="s">
        <v>1677</v>
      </c>
      <c r="E646" s="16" t="s">
        <v>41</v>
      </c>
      <c r="F646" s="16" t="s">
        <v>40</v>
      </c>
      <c r="G646" s="16" t="s">
        <v>1713</v>
      </c>
      <c r="H646" s="16" t="s">
        <v>1713</v>
      </c>
      <c r="I646" s="16">
        <v>162</v>
      </c>
      <c r="J646" s="16">
        <v>160</v>
      </c>
      <c r="K646" s="18" t="str">
        <f>HYPERLINK("mailto:iwasaki@den.hokudai.ac.jp", "contact")</f>
        <v>contact</v>
      </c>
    </row>
    <row r="647" spans="1:11" x14ac:dyDescent="0.25">
      <c r="A647" s="13" t="s">
        <v>1714</v>
      </c>
      <c r="B647" s="13" t="s">
        <v>1638</v>
      </c>
      <c r="C647" s="13" t="s">
        <v>639</v>
      </c>
      <c r="D647" s="13" t="s">
        <v>1692</v>
      </c>
      <c r="E647" s="16" t="s">
        <v>13</v>
      </c>
      <c r="F647" s="16" t="s">
        <v>12</v>
      </c>
      <c r="G647" s="16" t="s">
        <v>434</v>
      </c>
      <c r="H647" s="16" t="s">
        <v>434</v>
      </c>
      <c r="I647" s="16">
        <v>2851</v>
      </c>
      <c r="J647" s="16">
        <v>2018</v>
      </c>
      <c r="K647" s="18" t="str">
        <f>HYPERLINK("mailto:ikedan@nibiohn.go.jp", "contact")</f>
        <v>contact</v>
      </c>
    </row>
    <row r="648" spans="1:11" x14ac:dyDescent="0.25">
      <c r="A648" s="13" t="s">
        <v>1715</v>
      </c>
      <c r="B648" s="13" t="s">
        <v>1638</v>
      </c>
      <c r="C648" s="13" t="s">
        <v>554</v>
      </c>
      <c r="D648" s="13" t="s">
        <v>1692</v>
      </c>
      <c r="E648" s="16" t="s">
        <v>13</v>
      </c>
      <c r="F648" s="16" t="s">
        <v>12</v>
      </c>
      <c r="G648" s="16" t="s">
        <v>434</v>
      </c>
      <c r="H648" s="16" t="s">
        <v>434</v>
      </c>
      <c r="I648" s="16">
        <v>2649</v>
      </c>
      <c r="J648" s="16">
        <v>1977</v>
      </c>
      <c r="K648" s="18" t="str">
        <f>HYPERLINK("mailto:ikedan@nibiohn.go.jp", "contact")</f>
        <v>contact</v>
      </c>
    </row>
    <row r="649" spans="1:11" x14ac:dyDescent="0.25">
      <c r="A649" s="13" t="s">
        <v>1716</v>
      </c>
      <c r="B649" s="13" t="s">
        <v>1638</v>
      </c>
      <c r="C649" s="13" t="s">
        <v>499</v>
      </c>
      <c r="D649" s="13" t="s">
        <v>1692</v>
      </c>
      <c r="E649" s="16" t="s">
        <v>13</v>
      </c>
      <c r="F649" s="16" t="s">
        <v>12</v>
      </c>
      <c r="G649" s="16" t="s">
        <v>434</v>
      </c>
      <c r="H649" s="16" t="s">
        <v>434</v>
      </c>
      <c r="I649" s="16">
        <v>2411</v>
      </c>
      <c r="J649" s="16">
        <v>1776</v>
      </c>
      <c r="K649" s="18" t="str">
        <f>HYPERLINK("mailto:ikedan@nibiohn.go.jp", "contact")</f>
        <v>contact</v>
      </c>
    </row>
    <row r="650" spans="1:11" x14ac:dyDescent="0.25">
      <c r="A650" s="13" t="s">
        <v>1717</v>
      </c>
      <c r="B650" s="13" t="s">
        <v>1638</v>
      </c>
      <c r="C650" s="13" t="s">
        <v>499</v>
      </c>
      <c r="D650" s="13" t="s">
        <v>1718</v>
      </c>
      <c r="E650" s="16" t="s">
        <v>41</v>
      </c>
      <c r="F650" s="16" t="s">
        <v>40</v>
      </c>
      <c r="G650" s="16" t="s">
        <v>434</v>
      </c>
      <c r="H650" s="16" t="s">
        <v>434</v>
      </c>
      <c r="I650" s="16">
        <v>5232</v>
      </c>
      <c r="J650" s="16">
        <v>6426</v>
      </c>
      <c r="K650" s="18" t="str">
        <f>HYPERLINK("mailto:suka@jikei.ac.jp", "contact")</f>
        <v>contact</v>
      </c>
    </row>
    <row r="651" spans="1:11" x14ac:dyDescent="0.25">
      <c r="A651" s="13" t="s">
        <v>1719</v>
      </c>
      <c r="B651" s="13" t="s">
        <v>1638</v>
      </c>
      <c r="C651" s="13" t="s">
        <v>439</v>
      </c>
      <c r="D651" s="13" t="s">
        <v>1692</v>
      </c>
      <c r="E651" s="16" t="s">
        <v>13</v>
      </c>
      <c r="F651" s="16" t="s">
        <v>12</v>
      </c>
      <c r="G651" s="16" t="s">
        <v>434</v>
      </c>
      <c r="H651" s="16" t="s">
        <v>434</v>
      </c>
      <c r="I651" s="16">
        <v>9670</v>
      </c>
      <c r="J651" s="16">
        <v>7007</v>
      </c>
      <c r="K651" s="18" t="str">
        <f>HYPERLINK("mailto:ikedan@nibiohn.go.jp", "contact")</f>
        <v>contact</v>
      </c>
    </row>
    <row r="652" spans="1:11" x14ac:dyDescent="0.25">
      <c r="A652" s="13" t="s">
        <v>1720</v>
      </c>
      <c r="B652" s="13" t="s">
        <v>1638</v>
      </c>
      <c r="C652" s="13" t="s">
        <v>490</v>
      </c>
      <c r="D652" s="13" t="s">
        <v>1692</v>
      </c>
      <c r="E652" s="16" t="s">
        <v>13</v>
      </c>
      <c r="F652" s="16" t="s">
        <v>12</v>
      </c>
      <c r="G652" s="16" t="s">
        <v>434</v>
      </c>
      <c r="H652" s="16" t="s">
        <v>434</v>
      </c>
      <c r="I652" s="16">
        <v>2310</v>
      </c>
      <c r="J652" s="16">
        <v>1765</v>
      </c>
      <c r="K652" s="18" t="str">
        <f>HYPERLINK("mailto:ikedan@nibiohn.go.jp", "contact")</f>
        <v>contact</v>
      </c>
    </row>
    <row r="653" spans="1:11" x14ac:dyDescent="0.25">
      <c r="A653" s="13" t="s">
        <v>1721</v>
      </c>
      <c r="B653" s="13" t="s">
        <v>1638</v>
      </c>
      <c r="C653" s="13" t="s">
        <v>1722</v>
      </c>
      <c r="D653" s="13" t="s">
        <v>1723</v>
      </c>
      <c r="E653" s="16" t="s">
        <v>53</v>
      </c>
      <c r="F653" s="16" t="s">
        <v>12</v>
      </c>
      <c r="G653" s="16" t="s">
        <v>1724</v>
      </c>
      <c r="H653" s="16" t="s">
        <v>1724</v>
      </c>
      <c r="I653" s="16">
        <v>5629</v>
      </c>
      <c r="J653" s="16">
        <v>5003</v>
      </c>
      <c r="K653" s="18" t="str">
        <f>HYPERLINK("mailto:agoto@yokohama-cu.ac.jp", "contact")</f>
        <v>contact</v>
      </c>
    </row>
    <row r="654" spans="1:11" x14ac:dyDescent="0.25">
      <c r="A654" s="13" t="s">
        <v>1725</v>
      </c>
      <c r="B654" s="13" t="s">
        <v>1638</v>
      </c>
      <c r="C654" s="13" t="s">
        <v>1726</v>
      </c>
      <c r="D654" s="13" t="s">
        <v>1727</v>
      </c>
      <c r="E654" s="16" t="s">
        <v>41</v>
      </c>
      <c r="F654" s="16" t="s">
        <v>468</v>
      </c>
      <c r="G654" s="16" t="s">
        <v>1605</v>
      </c>
      <c r="H654" s="16" t="s">
        <v>1605</v>
      </c>
      <c r="I654" s="16">
        <v>6107</v>
      </c>
      <c r="J654" s="16">
        <v>2915</v>
      </c>
      <c r="K654" s="18" t="str">
        <f>HYPERLINK("mailto:tabara@genome.med.kyoto-u.ac.jp; tabara@s-sph.ac.jp", "contact")</f>
        <v>contact</v>
      </c>
    </row>
    <row r="655" spans="1:11" x14ac:dyDescent="0.25">
      <c r="A655" s="13" t="s">
        <v>1728</v>
      </c>
      <c r="B655" s="13" t="s">
        <v>1638</v>
      </c>
      <c r="C655" s="13" t="s">
        <v>600</v>
      </c>
      <c r="D655" s="13" t="s">
        <v>1692</v>
      </c>
      <c r="E655" s="16" t="s">
        <v>13</v>
      </c>
      <c r="F655" s="16" t="s">
        <v>12</v>
      </c>
      <c r="G655" s="16" t="s">
        <v>434</v>
      </c>
      <c r="H655" s="16" t="s">
        <v>434</v>
      </c>
      <c r="I655" s="16">
        <v>2396</v>
      </c>
      <c r="J655" s="16">
        <v>1843</v>
      </c>
      <c r="K655" s="18" t="str">
        <f>HYPERLINK("mailto:ikedan@nibiohn.go.jp", "contact")</f>
        <v>contact</v>
      </c>
    </row>
    <row r="656" spans="1:11" x14ac:dyDescent="0.25">
      <c r="A656" s="13" t="s">
        <v>1729</v>
      </c>
      <c r="B656" s="13" t="s">
        <v>1638</v>
      </c>
      <c r="C656" s="13" t="s">
        <v>489</v>
      </c>
      <c r="D656" s="13" t="s">
        <v>1692</v>
      </c>
      <c r="E656" s="16" t="s">
        <v>13</v>
      </c>
      <c r="F656" s="16" t="s">
        <v>12</v>
      </c>
      <c r="G656" s="16" t="s">
        <v>434</v>
      </c>
      <c r="H656" s="16" t="s">
        <v>434</v>
      </c>
      <c r="I656" s="16">
        <v>2297</v>
      </c>
      <c r="J656" s="16">
        <v>1662</v>
      </c>
      <c r="K656" s="18" t="str">
        <f>HYPERLINK("mailto:ikedan@nibiohn.go.jp", "contact")</f>
        <v>contact</v>
      </c>
    </row>
    <row r="657" spans="1:11" x14ac:dyDescent="0.25">
      <c r="A657" s="13" t="s">
        <v>1730</v>
      </c>
      <c r="B657" s="13" t="s">
        <v>1638</v>
      </c>
      <c r="C657" s="13" t="s">
        <v>404</v>
      </c>
      <c r="D657" s="13" t="s">
        <v>1692</v>
      </c>
      <c r="E657" s="16" t="s">
        <v>13</v>
      </c>
      <c r="F657" s="16" t="s">
        <v>12</v>
      </c>
      <c r="G657" s="16" t="s">
        <v>434</v>
      </c>
      <c r="H657" s="16" t="s">
        <v>434</v>
      </c>
      <c r="I657" s="16">
        <v>7918</v>
      </c>
      <c r="J657" s="16">
        <v>5819</v>
      </c>
      <c r="K657" s="18" t="str">
        <f>HYPERLINK("mailto:ikedan@nibiohn.go.jp", "contact")</f>
        <v>contact</v>
      </c>
    </row>
    <row r="658" spans="1:11" x14ac:dyDescent="0.25">
      <c r="A658" s="13" t="s">
        <v>1731</v>
      </c>
      <c r="B658" s="13" t="s">
        <v>1638</v>
      </c>
      <c r="C658" s="13" t="s">
        <v>463</v>
      </c>
      <c r="D658" s="13" t="s">
        <v>1692</v>
      </c>
      <c r="E658" s="16" t="s">
        <v>13</v>
      </c>
      <c r="F658" s="16" t="s">
        <v>12</v>
      </c>
      <c r="G658" s="16" t="s">
        <v>434</v>
      </c>
      <c r="H658" s="16" t="s">
        <v>434</v>
      </c>
      <c r="I658" s="16">
        <v>2037</v>
      </c>
      <c r="J658" s="16">
        <v>1556</v>
      </c>
      <c r="K658" s="18" t="str">
        <f>HYPERLINK("mailto:ikedan@nibiohn.go.jp", "contact")</f>
        <v>contact</v>
      </c>
    </row>
    <row r="659" spans="1:11" x14ac:dyDescent="0.25">
      <c r="A659" s="13" t="s">
        <v>1732</v>
      </c>
      <c r="B659" s="13" t="s">
        <v>1638</v>
      </c>
      <c r="C659" s="13" t="s">
        <v>1733</v>
      </c>
      <c r="D659" s="13" t="s">
        <v>1734</v>
      </c>
      <c r="E659" s="16" t="s">
        <v>53</v>
      </c>
      <c r="F659" s="16" t="s">
        <v>12</v>
      </c>
      <c r="G659" s="16" t="s">
        <v>1735</v>
      </c>
      <c r="H659" s="16" t="s">
        <v>1735</v>
      </c>
      <c r="I659" s="16">
        <v>4337</v>
      </c>
      <c r="J659" s="16">
        <v>2109</v>
      </c>
      <c r="K659" s="18" t="str">
        <f>HYPERLINK("mailto:tabara@genome.med.kyoto-u.ac.jp; tabara@s-sph.ac.jp", "contact")</f>
        <v>contact</v>
      </c>
    </row>
    <row r="660" spans="1:11" x14ac:dyDescent="0.25">
      <c r="A660" s="13" t="s">
        <v>1736</v>
      </c>
      <c r="B660" s="13" t="s">
        <v>1638</v>
      </c>
      <c r="C660" s="13" t="s">
        <v>463</v>
      </c>
      <c r="D660" s="13" t="s">
        <v>1718</v>
      </c>
      <c r="E660" s="16" t="s">
        <v>41</v>
      </c>
      <c r="F660" s="16" t="s">
        <v>40</v>
      </c>
      <c r="G660" s="16" t="s">
        <v>434</v>
      </c>
      <c r="H660" s="16" t="s">
        <v>434</v>
      </c>
      <c r="I660" s="16">
        <v>14915</v>
      </c>
      <c r="J660" s="16">
        <v>27734</v>
      </c>
      <c r="K660" s="18" t="str">
        <f>HYPERLINK("mailto:suka@jikei.ac.jp", "contact")</f>
        <v>contact</v>
      </c>
    </row>
    <row r="661" spans="1:11" x14ac:dyDescent="0.25">
      <c r="A661" s="13" t="s">
        <v>1737</v>
      </c>
      <c r="B661" s="13" t="s">
        <v>1638</v>
      </c>
      <c r="C661" s="13" t="s">
        <v>379</v>
      </c>
      <c r="D661" s="13" t="s">
        <v>1692</v>
      </c>
      <c r="E661" s="16" t="s">
        <v>13</v>
      </c>
      <c r="F661" s="16" t="s">
        <v>12</v>
      </c>
      <c r="G661" s="16" t="s">
        <v>434</v>
      </c>
      <c r="H661" s="16" t="s">
        <v>434</v>
      </c>
      <c r="I661" s="16">
        <v>2041</v>
      </c>
      <c r="J661" s="16">
        <v>1528</v>
      </c>
      <c r="K661" s="18" t="str">
        <f>HYPERLINK("mailto:ikedan@nibiohn.go.jp", "contact")</f>
        <v>contact</v>
      </c>
    </row>
    <row r="662" spans="1:11" x14ac:dyDescent="0.25">
      <c r="A662" s="13" t="s">
        <v>1738</v>
      </c>
      <c r="B662" s="13" t="s">
        <v>1638</v>
      </c>
      <c r="C662" s="13" t="s">
        <v>511</v>
      </c>
      <c r="D662" s="13" t="s">
        <v>1692</v>
      </c>
      <c r="E662" s="16" t="s">
        <v>13</v>
      </c>
      <c r="F662" s="16" t="s">
        <v>12</v>
      </c>
      <c r="G662" s="16" t="s">
        <v>434</v>
      </c>
      <c r="H662" s="16" t="s">
        <v>434</v>
      </c>
      <c r="I662" s="16">
        <v>1645</v>
      </c>
      <c r="J662" s="16">
        <v>1260</v>
      </c>
      <c r="K662" s="18" t="str">
        <f>HYPERLINK("mailto:ikedan@nibiohn.go.jp", "contact")</f>
        <v>contact</v>
      </c>
    </row>
    <row r="663" spans="1:11" x14ac:dyDescent="0.25">
      <c r="A663" s="13" t="s">
        <v>1739</v>
      </c>
      <c r="B663" s="13" t="s">
        <v>1638</v>
      </c>
      <c r="C663" s="13" t="s">
        <v>896</v>
      </c>
      <c r="D663" s="13" t="s">
        <v>1718</v>
      </c>
      <c r="E663" s="16" t="s">
        <v>41</v>
      </c>
      <c r="F663" s="16" t="s">
        <v>40</v>
      </c>
      <c r="G663" s="16" t="s">
        <v>869</v>
      </c>
      <c r="H663" s="16" t="s">
        <v>869</v>
      </c>
      <c r="I663" s="16">
        <v>28652</v>
      </c>
      <c r="J663" s="16">
        <v>43488</v>
      </c>
      <c r="K663" s="18" t="str">
        <f>HYPERLINK("mailto:suka@jikei.ac.jp", "contact")</f>
        <v>contact</v>
      </c>
    </row>
    <row r="664" spans="1:11" x14ac:dyDescent="0.25">
      <c r="A664" s="13" t="s">
        <v>1740</v>
      </c>
      <c r="B664" s="13" t="s">
        <v>1741</v>
      </c>
      <c r="C664" s="13" t="s">
        <v>400</v>
      </c>
      <c r="D664" s="13" t="s">
        <v>1742</v>
      </c>
      <c r="E664" s="16" t="s">
        <v>13</v>
      </c>
      <c r="F664" s="16" t="s">
        <v>12</v>
      </c>
      <c r="G664" s="16" t="s">
        <v>394</v>
      </c>
      <c r="H664" s="16" t="s">
        <v>394</v>
      </c>
      <c r="I664" s="16">
        <v>539</v>
      </c>
      <c r="J664" s="16">
        <v>399</v>
      </c>
      <c r="K664" s="18" t="str">
        <f>HYPERLINK("mailto:asharman@academypm.org", "contact")</f>
        <v>contact</v>
      </c>
    </row>
    <row r="665" spans="1:11" x14ac:dyDescent="0.25">
      <c r="A665" s="13" t="s">
        <v>1743</v>
      </c>
      <c r="B665" s="13" t="s">
        <v>1741</v>
      </c>
      <c r="C665" s="13" t="s">
        <v>489</v>
      </c>
      <c r="D665" s="13" t="s">
        <v>1744</v>
      </c>
      <c r="E665" s="16" t="s">
        <v>53</v>
      </c>
      <c r="F665" s="16" t="s">
        <v>12</v>
      </c>
      <c r="G665" s="16" t="s">
        <v>381</v>
      </c>
      <c r="H665" s="16" t="s">
        <v>381</v>
      </c>
      <c r="I665" s="16">
        <v>1138</v>
      </c>
      <c r="J665" s="16">
        <v>377</v>
      </c>
      <c r="K665" s="18" t="str">
        <f>HYPERLINK("mailto:davletovkairat@gmail.com", "contact")</f>
        <v>contact</v>
      </c>
    </row>
    <row r="666" spans="1:11" x14ac:dyDescent="0.25">
      <c r="A666" s="13" t="s">
        <v>1745</v>
      </c>
      <c r="B666" s="13" t="s">
        <v>1741</v>
      </c>
      <c r="C666" s="13" t="s">
        <v>489</v>
      </c>
      <c r="D666" s="13" t="s">
        <v>1746</v>
      </c>
      <c r="E666" s="16" t="s">
        <v>53</v>
      </c>
      <c r="F666" s="16" t="s">
        <v>12</v>
      </c>
      <c r="G666" s="16" t="s">
        <v>381</v>
      </c>
      <c r="H666" s="16" t="s">
        <v>381</v>
      </c>
      <c r="I666" s="16">
        <v>925</v>
      </c>
      <c r="J666" s="16">
        <v>428</v>
      </c>
      <c r="K666" s="18" t="str">
        <f>HYPERLINK("mailto:davletovkairat@gmail.com", "contact")</f>
        <v>contact</v>
      </c>
    </row>
    <row r="667" spans="1:11" x14ac:dyDescent="0.25">
      <c r="A667" s="13" t="s">
        <v>1747</v>
      </c>
      <c r="B667" s="13" t="s">
        <v>1741</v>
      </c>
      <c r="C667" s="13" t="s">
        <v>580</v>
      </c>
      <c r="D667" s="13" t="s">
        <v>1748</v>
      </c>
      <c r="E667" s="16" t="s">
        <v>53</v>
      </c>
      <c r="F667" s="16" t="s">
        <v>12</v>
      </c>
      <c r="G667" s="16" t="s">
        <v>381</v>
      </c>
      <c r="H667" s="16" t="s">
        <v>381</v>
      </c>
      <c r="I667" s="16">
        <v>1138</v>
      </c>
      <c r="J667" s="16">
        <v>347</v>
      </c>
      <c r="K667" s="18" t="str">
        <f>HYPERLINK("mailto:davletovkairat@gmail.com", "contact")</f>
        <v>contact</v>
      </c>
    </row>
    <row r="668" spans="1:11" x14ac:dyDescent="0.25">
      <c r="A668" s="13" t="s">
        <v>1749</v>
      </c>
      <c r="B668" s="13" t="s">
        <v>1741</v>
      </c>
      <c r="C668" s="13" t="s">
        <v>511</v>
      </c>
      <c r="D668" s="13" t="s">
        <v>1750</v>
      </c>
      <c r="E668" s="16" t="s">
        <v>41</v>
      </c>
      <c r="F668" s="16" t="s">
        <v>40</v>
      </c>
      <c r="G668" s="16" t="s">
        <v>394</v>
      </c>
      <c r="H668" s="16" t="s">
        <v>394</v>
      </c>
      <c r="I668" s="16">
        <v>664</v>
      </c>
      <c r="J668" s="16">
        <v>315</v>
      </c>
      <c r="K668" s="18" t="str">
        <f>HYPERLINK("mailto:a.dushpanova@gmail.com", "contact")</f>
        <v>contact</v>
      </c>
    </row>
    <row r="669" spans="1:11" x14ac:dyDescent="0.25">
      <c r="A669" s="13" t="s">
        <v>1751</v>
      </c>
      <c r="B669" s="13" t="s">
        <v>1741</v>
      </c>
      <c r="C669" s="13" t="s">
        <v>491</v>
      </c>
      <c r="D669" s="13" t="s">
        <v>1752</v>
      </c>
      <c r="E669" s="16" t="s">
        <v>53</v>
      </c>
      <c r="F669" s="16" t="s">
        <v>12</v>
      </c>
      <c r="G669" s="16" t="s">
        <v>381</v>
      </c>
      <c r="H669" s="16" t="s">
        <v>381</v>
      </c>
      <c r="I669" s="16">
        <v>813</v>
      </c>
      <c r="J669" s="16">
        <v>801</v>
      </c>
      <c r="K669" s="18" t="str">
        <f>HYPERLINK("mailto:Fakhradiyev.i@kaznmu.kz", "contact")</f>
        <v>contact</v>
      </c>
    </row>
    <row r="670" spans="1:11" x14ac:dyDescent="0.25">
      <c r="A670" s="13" t="s">
        <v>1753</v>
      </c>
      <c r="B670" s="13" t="s">
        <v>1741</v>
      </c>
      <c r="C670" s="13" t="s">
        <v>1754</v>
      </c>
      <c r="D670" s="13" t="s">
        <v>1755</v>
      </c>
      <c r="E670" s="16" t="s">
        <v>13</v>
      </c>
      <c r="F670" s="16" t="s">
        <v>12</v>
      </c>
      <c r="G670" s="16" t="s">
        <v>381</v>
      </c>
      <c r="H670" s="16" t="s">
        <v>381</v>
      </c>
      <c r="I670" s="16">
        <v>1997</v>
      </c>
      <c r="J670" s="16">
        <v>1811</v>
      </c>
      <c r="K670" s="18" t="str">
        <f>HYPERLINK("mailto:mshoranov@kaznmu.kz", "contact")</f>
        <v>contact</v>
      </c>
    </row>
    <row r="671" spans="1:11" x14ac:dyDescent="0.25">
      <c r="A671" s="13" t="s">
        <v>161</v>
      </c>
      <c r="B671" s="13" t="s">
        <v>162</v>
      </c>
      <c r="C671" s="13" t="s">
        <v>489</v>
      </c>
      <c r="D671" s="13" t="s">
        <v>380</v>
      </c>
      <c r="E671" s="16" t="s">
        <v>13</v>
      </c>
      <c r="F671" s="16" t="s">
        <v>12</v>
      </c>
      <c r="G671" s="16" t="s">
        <v>381</v>
      </c>
      <c r="H671" s="16" t="s">
        <v>381</v>
      </c>
      <c r="I671" s="16">
        <v>2527</v>
      </c>
      <c r="J671" s="16">
        <v>1763</v>
      </c>
      <c r="K671" s="17" t="s">
        <v>383</v>
      </c>
    </row>
    <row r="672" spans="1:11" x14ac:dyDescent="0.25">
      <c r="A672" s="13" t="s">
        <v>164</v>
      </c>
      <c r="B672" s="13" t="s">
        <v>165</v>
      </c>
      <c r="C672" s="13" t="s">
        <v>490</v>
      </c>
      <c r="D672" s="13" t="s">
        <v>380</v>
      </c>
      <c r="E672" s="16" t="s">
        <v>13</v>
      </c>
      <c r="F672" s="16" t="s">
        <v>12</v>
      </c>
      <c r="G672" s="16" t="s">
        <v>398</v>
      </c>
      <c r="H672" s="16" t="s">
        <v>398</v>
      </c>
      <c r="I672" s="16">
        <v>1605</v>
      </c>
      <c r="J672" s="16">
        <v>946</v>
      </c>
      <c r="K672" s="17" t="s">
        <v>383</v>
      </c>
    </row>
    <row r="673" spans="1:11" x14ac:dyDescent="0.25">
      <c r="A673" s="13" t="s">
        <v>167</v>
      </c>
      <c r="B673" s="13" t="s">
        <v>168</v>
      </c>
      <c r="C673" s="13" t="s">
        <v>554</v>
      </c>
      <c r="D673" s="13" t="s">
        <v>380</v>
      </c>
      <c r="E673" s="16" t="s">
        <v>13</v>
      </c>
      <c r="F673" s="16" t="s">
        <v>12</v>
      </c>
      <c r="G673" s="16" t="s">
        <v>398</v>
      </c>
      <c r="H673" s="16" t="s">
        <v>398</v>
      </c>
      <c r="I673" s="16">
        <v>3410</v>
      </c>
      <c r="J673" s="16">
        <v>1937</v>
      </c>
      <c r="K673" s="17" t="s">
        <v>383</v>
      </c>
    </row>
    <row r="674" spans="1:11" x14ac:dyDescent="0.25">
      <c r="A674" s="13" t="s">
        <v>171</v>
      </c>
      <c r="B674" s="13" t="s">
        <v>168</v>
      </c>
      <c r="C674" s="13" t="s">
        <v>1198</v>
      </c>
      <c r="D674" s="13" t="s">
        <v>380</v>
      </c>
      <c r="E674" s="16" t="s">
        <v>13</v>
      </c>
      <c r="F674" s="16" t="s">
        <v>12</v>
      </c>
      <c r="G674" s="16" t="s">
        <v>381</v>
      </c>
      <c r="H674" s="16" t="s">
        <v>381</v>
      </c>
      <c r="I674" s="16">
        <v>2677</v>
      </c>
      <c r="J674" s="16">
        <v>1513</v>
      </c>
      <c r="K674" s="17" t="s">
        <v>383</v>
      </c>
    </row>
    <row r="675" spans="1:11" x14ac:dyDescent="0.25">
      <c r="A675" s="13" t="s">
        <v>1756</v>
      </c>
      <c r="B675" s="13" t="s">
        <v>174</v>
      </c>
      <c r="C675" s="13" t="s">
        <v>412</v>
      </c>
      <c r="D675" s="13" t="s">
        <v>1757</v>
      </c>
      <c r="E675" s="16" t="s">
        <v>53</v>
      </c>
      <c r="F675" s="16" t="s">
        <v>468</v>
      </c>
      <c r="G675" s="16" t="s">
        <v>434</v>
      </c>
      <c r="H675" s="16" t="s">
        <v>434</v>
      </c>
      <c r="I675" s="16">
        <v>533</v>
      </c>
      <c r="J675" s="16">
        <v>474</v>
      </c>
      <c r="K675" s="18" t="str">
        <f>HYPERLINK("mailto:dmagliano@idi.org.au", "contact")</f>
        <v>contact</v>
      </c>
    </row>
    <row r="676" spans="1:11" x14ac:dyDescent="0.25">
      <c r="A676" s="13" t="s">
        <v>1758</v>
      </c>
      <c r="B676" s="13" t="s">
        <v>174</v>
      </c>
      <c r="C676" s="13" t="s">
        <v>412</v>
      </c>
      <c r="D676" s="13" t="s">
        <v>1757</v>
      </c>
      <c r="E676" s="16" t="s">
        <v>53</v>
      </c>
      <c r="F676" s="16" t="s">
        <v>40</v>
      </c>
      <c r="G676" s="16" t="s">
        <v>434</v>
      </c>
      <c r="H676" s="16" t="s">
        <v>434</v>
      </c>
      <c r="I676" s="16">
        <v>879</v>
      </c>
      <c r="J676" s="16">
        <v>917</v>
      </c>
      <c r="K676" s="18" t="str">
        <f>HYPERLINK("mailto:dmagliano@idi.org.au", "contact")</f>
        <v>contact</v>
      </c>
    </row>
    <row r="677" spans="1:11" x14ac:dyDescent="0.25">
      <c r="A677" s="13" t="s">
        <v>173</v>
      </c>
      <c r="B677" s="13" t="s">
        <v>174</v>
      </c>
      <c r="C677" s="13" t="s">
        <v>409</v>
      </c>
      <c r="D677" s="13" t="s">
        <v>380</v>
      </c>
      <c r="E677" s="16" t="s">
        <v>13</v>
      </c>
      <c r="F677" s="16" t="s">
        <v>12</v>
      </c>
      <c r="G677" s="16" t="s">
        <v>708</v>
      </c>
      <c r="H677" s="16" t="s">
        <v>708</v>
      </c>
      <c r="I677" s="16">
        <v>897</v>
      </c>
      <c r="J677" s="16">
        <v>727</v>
      </c>
      <c r="K677" s="17" t="s">
        <v>383</v>
      </c>
    </row>
    <row r="678" spans="1:11" x14ac:dyDescent="0.25">
      <c r="A678" s="13" t="s">
        <v>175</v>
      </c>
      <c r="B678" s="13" t="s">
        <v>174</v>
      </c>
      <c r="C678" s="13" t="s">
        <v>580</v>
      </c>
      <c r="D678" s="13" t="s">
        <v>380</v>
      </c>
      <c r="E678" s="16" t="s">
        <v>13</v>
      </c>
      <c r="F678" s="16" t="s">
        <v>12</v>
      </c>
      <c r="G678" s="16" t="s">
        <v>381</v>
      </c>
      <c r="H678" s="16" t="s">
        <v>381</v>
      </c>
      <c r="I678" s="16">
        <v>1141</v>
      </c>
      <c r="J678" s="16">
        <v>963</v>
      </c>
      <c r="K678" s="17" t="s">
        <v>383</v>
      </c>
    </row>
    <row r="679" spans="1:11" x14ac:dyDescent="0.25">
      <c r="A679" s="13" t="s">
        <v>1759</v>
      </c>
      <c r="B679" s="13" t="s">
        <v>1760</v>
      </c>
      <c r="C679" s="13" t="s">
        <v>776</v>
      </c>
      <c r="D679" s="13" t="s">
        <v>1761</v>
      </c>
      <c r="E679" s="16" t="s">
        <v>41</v>
      </c>
      <c r="F679" s="16" t="s">
        <v>12</v>
      </c>
      <c r="G679" s="16" t="s">
        <v>531</v>
      </c>
      <c r="H679" s="16" t="s">
        <v>531</v>
      </c>
      <c r="I679" s="16">
        <v>432</v>
      </c>
      <c r="J679" s="16">
        <v>300</v>
      </c>
      <c r="K679" s="18" t="str">
        <f>HYPERLINK("mailto:ncdrisc@imperial.ac.uk", "contact")</f>
        <v>contact</v>
      </c>
    </row>
    <row r="680" spans="1:11" x14ac:dyDescent="0.25">
      <c r="A680" s="13" t="s">
        <v>1762</v>
      </c>
      <c r="B680" s="13" t="s">
        <v>1760</v>
      </c>
      <c r="C680" s="13" t="s">
        <v>776</v>
      </c>
      <c r="D680" s="13" t="s">
        <v>1763</v>
      </c>
      <c r="E680" s="16" t="s">
        <v>13</v>
      </c>
      <c r="F680" s="16" t="s">
        <v>12</v>
      </c>
      <c r="G680" s="16" t="s">
        <v>394</v>
      </c>
      <c r="H680" s="16" t="s">
        <v>394</v>
      </c>
      <c r="I680" s="16">
        <v>3366</v>
      </c>
      <c r="J680" s="16">
        <v>2647</v>
      </c>
      <c r="K680" s="18" t="str">
        <f>HYPERLINK("mailto:kwoh27@korea.kr", "contact")</f>
        <v>contact</v>
      </c>
    </row>
    <row r="681" spans="1:11" x14ac:dyDescent="0.25">
      <c r="A681" s="13" t="s">
        <v>1764</v>
      </c>
      <c r="B681" s="13" t="s">
        <v>1760</v>
      </c>
      <c r="C681" s="13" t="s">
        <v>628</v>
      </c>
      <c r="D681" s="13" t="s">
        <v>1763</v>
      </c>
      <c r="E681" s="16" t="s">
        <v>13</v>
      </c>
      <c r="F681" s="16" t="s">
        <v>12</v>
      </c>
      <c r="G681" s="16" t="s">
        <v>394</v>
      </c>
      <c r="H681" s="16" t="s">
        <v>394</v>
      </c>
      <c r="I681" s="16">
        <v>3101</v>
      </c>
      <c r="J681" s="16">
        <v>2313</v>
      </c>
      <c r="K681" s="18" t="str">
        <f>HYPERLINK("mailto:kwoh27@korea.kr", "contact")</f>
        <v>contact</v>
      </c>
    </row>
    <row r="682" spans="1:11" x14ac:dyDescent="0.25">
      <c r="A682" s="13" t="s">
        <v>1765</v>
      </c>
      <c r="B682" s="13" t="s">
        <v>1760</v>
      </c>
      <c r="C682" s="13" t="s">
        <v>488</v>
      </c>
      <c r="D682" s="13" t="s">
        <v>1763</v>
      </c>
      <c r="E682" s="16" t="s">
        <v>13</v>
      </c>
      <c r="F682" s="16" t="s">
        <v>12</v>
      </c>
      <c r="G682" s="16" t="s">
        <v>394</v>
      </c>
      <c r="H682" s="16" t="s">
        <v>394</v>
      </c>
      <c r="I682" s="16">
        <v>1734</v>
      </c>
      <c r="J682" s="16">
        <v>1257</v>
      </c>
      <c r="K682" s="18" t="str">
        <f>HYPERLINK("mailto:kwoh27@korea.kr", "contact")</f>
        <v>contact</v>
      </c>
    </row>
    <row r="683" spans="1:11" x14ac:dyDescent="0.25">
      <c r="A683" s="13" t="s">
        <v>1766</v>
      </c>
      <c r="B683" s="13" t="s">
        <v>1760</v>
      </c>
      <c r="C683" s="13" t="s">
        <v>479</v>
      </c>
      <c r="D683" s="13" t="s">
        <v>1763</v>
      </c>
      <c r="E683" s="16" t="s">
        <v>13</v>
      </c>
      <c r="F683" s="16" t="s">
        <v>12</v>
      </c>
      <c r="G683" s="16" t="s">
        <v>394</v>
      </c>
      <c r="H683" s="16" t="s">
        <v>394</v>
      </c>
      <c r="I683" s="16">
        <v>3967</v>
      </c>
      <c r="J683" s="16">
        <v>2895</v>
      </c>
      <c r="K683" s="18" t="str">
        <f>HYPERLINK("mailto:kwoh27@korea.kr", "contact")</f>
        <v>contact</v>
      </c>
    </row>
    <row r="684" spans="1:11" x14ac:dyDescent="0.25">
      <c r="A684" s="13" t="s">
        <v>1767</v>
      </c>
      <c r="B684" s="13" t="s">
        <v>1760</v>
      </c>
      <c r="C684" s="13" t="s">
        <v>639</v>
      </c>
      <c r="D684" s="13" t="s">
        <v>1763</v>
      </c>
      <c r="E684" s="16" t="s">
        <v>13</v>
      </c>
      <c r="F684" s="16" t="s">
        <v>12</v>
      </c>
      <c r="G684" s="16" t="s">
        <v>394</v>
      </c>
      <c r="H684" s="16" t="s">
        <v>394</v>
      </c>
      <c r="I684" s="16">
        <v>4264</v>
      </c>
      <c r="J684" s="16">
        <v>3314</v>
      </c>
      <c r="K684" s="18" t="str">
        <f>HYPERLINK("mailto:kwoh27@korea.kr", "contact")</f>
        <v>contact</v>
      </c>
    </row>
    <row r="685" spans="1:11" x14ac:dyDescent="0.25">
      <c r="A685" s="13" t="s">
        <v>1768</v>
      </c>
      <c r="B685" s="13" t="s">
        <v>1760</v>
      </c>
      <c r="C685" s="13" t="s">
        <v>712</v>
      </c>
      <c r="D685" s="13" t="s">
        <v>1769</v>
      </c>
      <c r="E685" s="16" t="s">
        <v>13</v>
      </c>
      <c r="F685" s="16" t="s">
        <v>12</v>
      </c>
      <c r="G685" s="16" t="s">
        <v>473</v>
      </c>
      <c r="H685" s="16" t="s">
        <v>473</v>
      </c>
      <c r="I685" s="16">
        <v>6087857</v>
      </c>
      <c r="J685" s="16">
        <v>5763109</v>
      </c>
      <c r="K685" s="18" t="str">
        <f>HYPERLINK("mailto:yeunrho@nhis.or.kr; yeunrho@gmail.com", "contact")</f>
        <v>contact</v>
      </c>
    </row>
    <row r="686" spans="1:11" x14ac:dyDescent="0.25">
      <c r="A686" s="13" t="s">
        <v>1770</v>
      </c>
      <c r="B686" s="13" t="s">
        <v>1760</v>
      </c>
      <c r="C686" s="13" t="s">
        <v>554</v>
      </c>
      <c r="D686" s="13" t="s">
        <v>1763</v>
      </c>
      <c r="E686" s="16" t="s">
        <v>13</v>
      </c>
      <c r="F686" s="16" t="s">
        <v>12</v>
      </c>
      <c r="G686" s="16" t="s">
        <v>394</v>
      </c>
      <c r="H686" s="16" t="s">
        <v>394</v>
      </c>
      <c r="I686" s="16">
        <v>3543</v>
      </c>
      <c r="J686" s="16">
        <v>2740</v>
      </c>
      <c r="K686" s="18" t="str">
        <f>HYPERLINK("mailto:kwoh27@korea.kr", "contact")</f>
        <v>contact</v>
      </c>
    </row>
    <row r="687" spans="1:11" x14ac:dyDescent="0.25">
      <c r="A687" s="13" t="s">
        <v>1771</v>
      </c>
      <c r="B687" s="13" t="s">
        <v>1760</v>
      </c>
      <c r="C687" s="13" t="s">
        <v>499</v>
      </c>
      <c r="D687" s="13" t="s">
        <v>1763</v>
      </c>
      <c r="E687" s="16" t="s">
        <v>13</v>
      </c>
      <c r="F687" s="16" t="s">
        <v>12</v>
      </c>
      <c r="G687" s="16" t="s">
        <v>394</v>
      </c>
      <c r="H687" s="16" t="s">
        <v>394</v>
      </c>
      <c r="I687" s="16">
        <v>3479</v>
      </c>
      <c r="J687" s="16">
        <v>2598</v>
      </c>
      <c r="K687" s="18" t="str">
        <f>HYPERLINK("mailto:kwoh27@korea.kr", "contact")</f>
        <v>contact</v>
      </c>
    </row>
    <row r="688" spans="1:11" x14ac:dyDescent="0.25">
      <c r="A688" s="13" t="s">
        <v>1772</v>
      </c>
      <c r="B688" s="13" t="s">
        <v>1760</v>
      </c>
      <c r="C688" s="13" t="s">
        <v>594</v>
      </c>
      <c r="D688" s="13" t="s">
        <v>1769</v>
      </c>
      <c r="E688" s="16" t="s">
        <v>13</v>
      </c>
      <c r="F688" s="16" t="s">
        <v>12</v>
      </c>
      <c r="G688" s="16" t="s">
        <v>473</v>
      </c>
      <c r="H688" s="16" t="s">
        <v>473</v>
      </c>
      <c r="I688" s="16">
        <v>7126632</v>
      </c>
      <c r="J688" s="16">
        <v>6670305</v>
      </c>
      <c r="K688" s="18" t="str">
        <f>HYPERLINK("mailto:yeunrho@nhis.or.kr; yeunrho@gmail.com", "contact")</f>
        <v>contact</v>
      </c>
    </row>
    <row r="689" spans="1:11" x14ac:dyDescent="0.25">
      <c r="A689" s="13" t="s">
        <v>1773</v>
      </c>
      <c r="B689" s="13" t="s">
        <v>1760</v>
      </c>
      <c r="C689" s="13" t="s">
        <v>439</v>
      </c>
      <c r="D689" s="13" t="s">
        <v>1763</v>
      </c>
      <c r="E689" s="16" t="s">
        <v>13</v>
      </c>
      <c r="F689" s="16" t="s">
        <v>12</v>
      </c>
      <c r="G689" s="16" t="s">
        <v>394</v>
      </c>
      <c r="H689" s="16" t="s">
        <v>394</v>
      </c>
      <c r="I689" s="16">
        <v>3300</v>
      </c>
      <c r="J689" s="16">
        <v>2344</v>
      </c>
      <c r="K689" s="18" t="str">
        <f>HYPERLINK("mailto:kwoh27@korea.kr", "contact")</f>
        <v>contact</v>
      </c>
    </row>
    <row r="690" spans="1:11" x14ac:dyDescent="0.25">
      <c r="A690" s="13" t="s">
        <v>1774</v>
      </c>
      <c r="B690" s="13" t="s">
        <v>1760</v>
      </c>
      <c r="C690" s="13" t="s">
        <v>490</v>
      </c>
      <c r="D690" s="13" t="s">
        <v>1763</v>
      </c>
      <c r="E690" s="16" t="s">
        <v>13</v>
      </c>
      <c r="F690" s="16" t="s">
        <v>12</v>
      </c>
      <c r="G690" s="16" t="s">
        <v>394</v>
      </c>
      <c r="H690" s="16" t="s">
        <v>394</v>
      </c>
      <c r="I690" s="16">
        <v>3115</v>
      </c>
      <c r="J690" s="16">
        <v>2303</v>
      </c>
      <c r="K690" s="18" t="str">
        <f>HYPERLINK("mailto:kwoh27@korea.kr", "contact")</f>
        <v>contact</v>
      </c>
    </row>
    <row r="691" spans="1:11" x14ac:dyDescent="0.25">
      <c r="A691" s="13" t="s">
        <v>1775</v>
      </c>
      <c r="B691" s="13" t="s">
        <v>1760</v>
      </c>
      <c r="C691" s="13" t="s">
        <v>562</v>
      </c>
      <c r="D691" s="13" t="s">
        <v>1769</v>
      </c>
      <c r="E691" s="16" t="s">
        <v>13</v>
      </c>
      <c r="F691" s="16" t="s">
        <v>12</v>
      </c>
      <c r="G691" s="16" t="s">
        <v>473</v>
      </c>
      <c r="H691" s="16" t="s">
        <v>473</v>
      </c>
      <c r="I691" s="16">
        <v>7782567</v>
      </c>
      <c r="J691" s="16">
        <v>7256160</v>
      </c>
      <c r="K691" s="18" t="str">
        <f>HYPERLINK("mailto:yeunrho@nhis.or.kr; yeunrho@gmail.com", "contact")</f>
        <v>contact</v>
      </c>
    </row>
    <row r="692" spans="1:11" x14ac:dyDescent="0.25">
      <c r="A692" s="13" t="s">
        <v>1776</v>
      </c>
      <c r="B692" s="13" t="s">
        <v>1760</v>
      </c>
      <c r="C692" s="13" t="s">
        <v>600</v>
      </c>
      <c r="D692" s="13" t="s">
        <v>1763</v>
      </c>
      <c r="E692" s="16" t="s">
        <v>13</v>
      </c>
      <c r="F692" s="16" t="s">
        <v>12</v>
      </c>
      <c r="G692" s="16" t="s">
        <v>394</v>
      </c>
      <c r="H692" s="16" t="s">
        <v>394</v>
      </c>
      <c r="I692" s="16">
        <v>2943</v>
      </c>
      <c r="J692" s="16">
        <v>2115</v>
      </c>
      <c r="K692" s="18" t="str">
        <f>HYPERLINK("mailto:kwoh27@korea.kr", "contact")</f>
        <v>contact</v>
      </c>
    </row>
    <row r="693" spans="1:11" x14ac:dyDescent="0.25">
      <c r="A693" s="13" t="s">
        <v>1777</v>
      </c>
      <c r="B693" s="13" t="s">
        <v>1760</v>
      </c>
      <c r="C693" s="13" t="s">
        <v>489</v>
      </c>
      <c r="D693" s="13" t="s">
        <v>1763</v>
      </c>
      <c r="E693" s="16" t="s">
        <v>13</v>
      </c>
      <c r="F693" s="16" t="s">
        <v>12</v>
      </c>
      <c r="G693" s="16" t="s">
        <v>394</v>
      </c>
      <c r="H693" s="16" t="s">
        <v>394</v>
      </c>
      <c r="I693" s="16">
        <v>2963</v>
      </c>
      <c r="J693" s="16">
        <v>2308</v>
      </c>
      <c r="K693" s="18" t="str">
        <f>HYPERLINK("mailto:kwoh27@korea.kr", "contact")</f>
        <v>contact</v>
      </c>
    </row>
    <row r="694" spans="1:11" x14ac:dyDescent="0.25">
      <c r="A694" s="13" t="s">
        <v>1778</v>
      </c>
      <c r="B694" s="13" t="s">
        <v>1760</v>
      </c>
      <c r="C694" s="13" t="s">
        <v>570</v>
      </c>
      <c r="D694" s="13" t="s">
        <v>1769</v>
      </c>
      <c r="E694" s="16" t="s">
        <v>13</v>
      </c>
      <c r="F694" s="16" t="s">
        <v>12</v>
      </c>
      <c r="G694" s="16" t="s">
        <v>473</v>
      </c>
      <c r="H694" s="16" t="s">
        <v>473</v>
      </c>
      <c r="I694" s="16">
        <v>8356468</v>
      </c>
      <c r="J694" s="16">
        <v>7869529</v>
      </c>
      <c r="K694" s="18" t="str">
        <f>HYPERLINK("mailto:yeunrho@nhis.or.kr; yeunrho@gmail.com", "contact")</f>
        <v>contact</v>
      </c>
    </row>
    <row r="695" spans="1:11" x14ac:dyDescent="0.25">
      <c r="A695" s="13" t="s">
        <v>1779</v>
      </c>
      <c r="B695" s="13" t="s">
        <v>1760</v>
      </c>
      <c r="C695" s="13" t="s">
        <v>404</v>
      </c>
      <c r="D695" s="13" t="s">
        <v>1763</v>
      </c>
      <c r="E695" s="16" t="s">
        <v>13</v>
      </c>
      <c r="F695" s="16" t="s">
        <v>12</v>
      </c>
      <c r="G695" s="16" t="s">
        <v>394</v>
      </c>
      <c r="H695" s="16" t="s">
        <v>394</v>
      </c>
      <c r="I695" s="16">
        <v>3474</v>
      </c>
      <c r="J695" s="16">
        <v>2682</v>
      </c>
      <c r="K695" s="18" t="str">
        <f>HYPERLINK("mailto:kwoh27@korea.kr", "contact")</f>
        <v>contact</v>
      </c>
    </row>
    <row r="696" spans="1:11" x14ac:dyDescent="0.25">
      <c r="A696" s="13" t="s">
        <v>1780</v>
      </c>
      <c r="B696" s="13" t="s">
        <v>1760</v>
      </c>
      <c r="C696" s="13" t="s">
        <v>463</v>
      </c>
      <c r="D696" s="13" t="s">
        <v>1763</v>
      </c>
      <c r="E696" s="16" t="s">
        <v>13</v>
      </c>
      <c r="F696" s="16" t="s">
        <v>12</v>
      </c>
      <c r="G696" s="16" t="s">
        <v>394</v>
      </c>
      <c r="H696" s="16" t="s">
        <v>394</v>
      </c>
      <c r="I696" s="16">
        <v>3438</v>
      </c>
      <c r="J696" s="16">
        <v>2780</v>
      </c>
      <c r="K696" s="18" t="str">
        <f>HYPERLINK("mailto:kwoh27@korea.kr", "contact")</f>
        <v>contact</v>
      </c>
    </row>
    <row r="697" spans="1:11" x14ac:dyDescent="0.25">
      <c r="A697" s="13" t="s">
        <v>1781</v>
      </c>
      <c r="B697" s="13" t="s">
        <v>1760</v>
      </c>
      <c r="C697" s="13" t="s">
        <v>463</v>
      </c>
      <c r="D697" s="13" t="s">
        <v>1769</v>
      </c>
      <c r="E697" s="16" t="s">
        <v>13</v>
      </c>
      <c r="F697" s="16" t="s">
        <v>12</v>
      </c>
      <c r="G697" s="16" t="s">
        <v>473</v>
      </c>
      <c r="H697" s="16" t="s">
        <v>473</v>
      </c>
      <c r="I697" s="16">
        <v>9074778</v>
      </c>
      <c r="J697" s="16">
        <v>8535547</v>
      </c>
      <c r="K697" s="18" t="str">
        <f>HYPERLINK("mailto:yeunrho@nhis.or.kr; yeunrho@gmail.com", "contact")</f>
        <v>contact</v>
      </c>
    </row>
    <row r="698" spans="1:11" x14ac:dyDescent="0.25">
      <c r="A698" s="13" t="s">
        <v>1782</v>
      </c>
      <c r="B698" s="13" t="s">
        <v>1760</v>
      </c>
      <c r="C698" s="13" t="s">
        <v>379</v>
      </c>
      <c r="D698" s="13" t="s">
        <v>1763</v>
      </c>
      <c r="E698" s="16" t="s">
        <v>13</v>
      </c>
      <c r="F698" s="16" t="s">
        <v>12</v>
      </c>
      <c r="G698" s="16" t="s">
        <v>394</v>
      </c>
      <c r="H698" s="16" t="s">
        <v>394</v>
      </c>
      <c r="I698" s="16">
        <v>3522</v>
      </c>
      <c r="J698" s="16">
        <v>2763</v>
      </c>
      <c r="K698" s="18" t="str">
        <f>HYPERLINK("mailto:kwoh27@korea.kr", "contact")</f>
        <v>contact</v>
      </c>
    </row>
    <row r="699" spans="1:11" x14ac:dyDescent="0.25">
      <c r="A699" s="13" t="s">
        <v>1783</v>
      </c>
      <c r="B699" s="13" t="s">
        <v>1760</v>
      </c>
      <c r="C699" s="13" t="s">
        <v>511</v>
      </c>
      <c r="D699" s="13" t="s">
        <v>1763</v>
      </c>
      <c r="E699" s="16" t="s">
        <v>13</v>
      </c>
      <c r="F699" s="16" t="s">
        <v>12</v>
      </c>
      <c r="G699" s="16" t="s">
        <v>394</v>
      </c>
      <c r="H699" s="16" t="s">
        <v>394</v>
      </c>
      <c r="I699" s="16">
        <v>3504</v>
      </c>
      <c r="J699" s="16">
        <v>2835</v>
      </c>
      <c r="K699" s="18" t="str">
        <f>HYPERLINK("mailto:kwoh27@korea.kr", "contact")</f>
        <v>contact</v>
      </c>
    </row>
    <row r="700" spans="1:11" x14ac:dyDescent="0.25">
      <c r="A700" s="13" t="s">
        <v>1784</v>
      </c>
      <c r="B700" s="13" t="s">
        <v>1760</v>
      </c>
      <c r="C700" s="13" t="s">
        <v>511</v>
      </c>
      <c r="D700" s="13" t="s">
        <v>1769</v>
      </c>
      <c r="E700" s="16" t="s">
        <v>13</v>
      </c>
      <c r="F700" s="16" t="s">
        <v>12</v>
      </c>
      <c r="G700" s="16" t="s">
        <v>473</v>
      </c>
      <c r="H700" s="16" t="s">
        <v>473</v>
      </c>
      <c r="I700" s="16">
        <v>9809734</v>
      </c>
      <c r="J700" s="16">
        <v>9238805</v>
      </c>
      <c r="K700" s="18" t="str">
        <f>HYPERLINK("mailto:yeunrho@nhis.or.kr; yeunrho@gmail.com", "contact")</f>
        <v>contact</v>
      </c>
    </row>
    <row r="701" spans="1:11" x14ac:dyDescent="0.25">
      <c r="A701" s="13" t="s">
        <v>1785</v>
      </c>
      <c r="B701" s="13" t="s">
        <v>1760</v>
      </c>
      <c r="C701" s="13" t="s">
        <v>517</v>
      </c>
      <c r="D701" s="13" t="s">
        <v>1763</v>
      </c>
      <c r="E701" s="16" t="s">
        <v>13</v>
      </c>
      <c r="F701" s="16" t="s">
        <v>12</v>
      </c>
      <c r="G701" s="16" t="s">
        <v>394</v>
      </c>
      <c r="H701" s="16" t="s">
        <v>394</v>
      </c>
      <c r="I701" s="16">
        <v>3283</v>
      </c>
      <c r="J701" s="16">
        <v>2685</v>
      </c>
      <c r="K701" s="18" t="str">
        <f>HYPERLINK("mailto:kwoh27@korea.kr", "contact")</f>
        <v>contact</v>
      </c>
    </row>
    <row r="702" spans="1:11" x14ac:dyDescent="0.25">
      <c r="A702" s="13" t="s">
        <v>1786</v>
      </c>
      <c r="B702" s="13" t="s">
        <v>1760</v>
      </c>
      <c r="C702" s="13" t="s">
        <v>491</v>
      </c>
      <c r="D702" s="13" t="s">
        <v>1763</v>
      </c>
      <c r="E702" s="16" t="s">
        <v>13</v>
      </c>
      <c r="F702" s="16" t="s">
        <v>12</v>
      </c>
      <c r="G702" s="16" t="s">
        <v>394</v>
      </c>
      <c r="H702" s="16" t="s">
        <v>394</v>
      </c>
      <c r="I702" s="16">
        <v>3203</v>
      </c>
      <c r="J702" s="16">
        <v>2510</v>
      </c>
      <c r="K702" s="18" t="str">
        <f>HYPERLINK("mailto:kwoh27@korea.kr", "contact")</f>
        <v>contact</v>
      </c>
    </row>
    <row r="703" spans="1:11" x14ac:dyDescent="0.25">
      <c r="A703" s="13" t="s">
        <v>1787</v>
      </c>
      <c r="B703" s="13" t="s">
        <v>1760</v>
      </c>
      <c r="C703" s="13" t="s">
        <v>491</v>
      </c>
      <c r="D703" s="13" t="s">
        <v>1769</v>
      </c>
      <c r="E703" s="16" t="s">
        <v>13</v>
      </c>
      <c r="F703" s="16" t="s">
        <v>12</v>
      </c>
      <c r="G703" s="16" t="s">
        <v>473</v>
      </c>
      <c r="H703" s="16" t="s">
        <v>473</v>
      </c>
      <c r="I703" s="16">
        <v>9735163</v>
      </c>
      <c r="J703" s="16">
        <v>9234806</v>
      </c>
      <c r="K703" s="18" t="str">
        <f>HYPERLINK("mailto:yeunrho@nhis.or.kr; yeunrho@gmail.com", "contact")</f>
        <v>contact</v>
      </c>
    </row>
    <row r="704" spans="1:11" x14ac:dyDescent="0.25">
      <c r="A704" s="13" t="s">
        <v>1788</v>
      </c>
      <c r="B704" s="13" t="s">
        <v>1760</v>
      </c>
      <c r="C704" s="13" t="s">
        <v>1198</v>
      </c>
      <c r="D704" s="13" t="s">
        <v>1769</v>
      </c>
      <c r="E704" s="16" t="s">
        <v>13</v>
      </c>
      <c r="F704" s="16" t="s">
        <v>12</v>
      </c>
      <c r="G704" s="16" t="s">
        <v>473</v>
      </c>
      <c r="H704" s="16" t="s">
        <v>473</v>
      </c>
      <c r="I704" s="16">
        <v>10590978</v>
      </c>
      <c r="J704" s="16">
        <v>10102790</v>
      </c>
      <c r="K704" s="18" t="str">
        <f>HYPERLINK("mailto:yeunrho@nhis.or.kr; yeunrho@gmail.com", "contact")</f>
        <v>contact</v>
      </c>
    </row>
    <row r="705" spans="1:11" x14ac:dyDescent="0.25">
      <c r="A705" s="13" t="s">
        <v>177</v>
      </c>
      <c r="B705" s="13" t="s">
        <v>178</v>
      </c>
      <c r="C705" s="13" t="s">
        <v>496</v>
      </c>
      <c r="D705" s="13" t="s">
        <v>380</v>
      </c>
      <c r="E705" s="16" t="s">
        <v>13</v>
      </c>
      <c r="F705" s="16" t="s">
        <v>12</v>
      </c>
      <c r="G705" s="16" t="s">
        <v>510</v>
      </c>
      <c r="H705" s="16" t="s">
        <v>510</v>
      </c>
      <c r="I705" s="16">
        <v>1298</v>
      </c>
      <c r="J705" s="16">
        <v>918</v>
      </c>
      <c r="K705" s="17" t="s">
        <v>383</v>
      </c>
    </row>
    <row r="706" spans="1:11" x14ac:dyDescent="0.25">
      <c r="A706" s="13" t="s">
        <v>1789</v>
      </c>
      <c r="B706" s="13" t="s">
        <v>178</v>
      </c>
      <c r="C706" s="13" t="s">
        <v>712</v>
      </c>
      <c r="D706" s="13" t="s">
        <v>1790</v>
      </c>
      <c r="E706" s="16" t="s">
        <v>13</v>
      </c>
      <c r="F706" s="16" t="s">
        <v>12</v>
      </c>
      <c r="G706" s="16" t="s">
        <v>1791</v>
      </c>
      <c r="H706" s="16" t="s">
        <v>1791</v>
      </c>
      <c r="I706" s="16">
        <v>530</v>
      </c>
      <c r="J706" s="16">
        <v>459</v>
      </c>
      <c r="K706" s="18" t="str">
        <f>HYPERLINK("mailto:shamli@kisr.edu.kw", "contact")</f>
        <v>contact</v>
      </c>
    </row>
    <row r="707" spans="1:11" x14ac:dyDescent="0.25">
      <c r="A707" s="13" t="s">
        <v>1792</v>
      </c>
      <c r="B707" s="13" t="s">
        <v>178</v>
      </c>
      <c r="C707" s="13" t="s">
        <v>567</v>
      </c>
      <c r="D707" s="13" t="s">
        <v>1793</v>
      </c>
      <c r="E707" s="16" t="s">
        <v>13</v>
      </c>
      <c r="F707" s="16" t="s">
        <v>12</v>
      </c>
      <c r="G707" s="16" t="s">
        <v>1794</v>
      </c>
      <c r="H707" s="16" t="s">
        <v>1794</v>
      </c>
      <c r="I707" s="16">
        <v>2144</v>
      </c>
      <c r="J707" s="16">
        <v>2781</v>
      </c>
      <c r="K707" s="18" t="str">
        <f>HYPERLINK("mailto:abdullah.alkandari@dasmaninstitute.org", "contact")</f>
        <v>contact</v>
      </c>
    </row>
    <row r="708" spans="1:11" x14ac:dyDescent="0.25">
      <c r="A708" s="13" t="s">
        <v>179</v>
      </c>
      <c r="B708" s="13" t="s">
        <v>178</v>
      </c>
      <c r="C708" s="13" t="s">
        <v>600</v>
      </c>
      <c r="D708" s="13" t="s">
        <v>380</v>
      </c>
      <c r="E708" s="16" t="s">
        <v>13</v>
      </c>
      <c r="F708" s="16" t="s">
        <v>12</v>
      </c>
      <c r="G708" s="16" t="s">
        <v>381</v>
      </c>
      <c r="H708" s="16" t="s">
        <v>381</v>
      </c>
      <c r="I708" s="16">
        <v>2406</v>
      </c>
      <c r="J708" s="16">
        <v>1458</v>
      </c>
      <c r="K708" s="17" t="s">
        <v>383</v>
      </c>
    </row>
    <row r="709" spans="1:11" x14ac:dyDescent="0.25">
      <c r="A709" s="13" t="s">
        <v>181</v>
      </c>
      <c r="B709" s="13" t="s">
        <v>182</v>
      </c>
      <c r="C709" s="13" t="s">
        <v>490</v>
      </c>
      <c r="D709" s="13" t="s">
        <v>380</v>
      </c>
      <c r="E709" s="16" t="s">
        <v>13</v>
      </c>
      <c r="F709" s="16" t="s">
        <v>12</v>
      </c>
      <c r="G709" s="16" t="s">
        <v>708</v>
      </c>
      <c r="H709" s="16" t="s">
        <v>708</v>
      </c>
      <c r="I709" s="16">
        <v>1471</v>
      </c>
      <c r="J709" s="16">
        <v>989</v>
      </c>
      <c r="K709" s="17" t="s">
        <v>383</v>
      </c>
    </row>
    <row r="710" spans="1:11" x14ac:dyDescent="0.25">
      <c r="A710" s="13" t="s">
        <v>184</v>
      </c>
      <c r="B710" s="13" t="s">
        <v>185</v>
      </c>
      <c r="C710" s="13" t="s">
        <v>463</v>
      </c>
      <c r="D710" s="13" t="s">
        <v>380</v>
      </c>
      <c r="E710" s="16" t="s">
        <v>13</v>
      </c>
      <c r="F710" s="16" t="s">
        <v>12</v>
      </c>
      <c r="G710" s="16" t="s">
        <v>381</v>
      </c>
      <c r="H710" s="16" t="s">
        <v>381</v>
      </c>
      <c r="I710" s="16">
        <v>1086</v>
      </c>
      <c r="J710" s="16">
        <v>790</v>
      </c>
      <c r="K710" s="17" t="s">
        <v>383</v>
      </c>
    </row>
    <row r="711" spans="1:11" x14ac:dyDescent="0.25">
      <c r="A711" s="13" t="s">
        <v>1795</v>
      </c>
      <c r="B711" s="13" t="s">
        <v>185</v>
      </c>
      <c r="C711" s="13" t="s">
        <v>1796</v>
      </c>
      <c r="D711" s="13" t="s">
        <v>380</v>
      </c>
      <c r="E711" s="16" t="s">
        <v>13</v>
      </c>
      <c r="F711" s="16" t="s">
        <v>12</v>
      </c>
      <c r="G711" s="16" t="s">
        <v>381</v>
      </c>
      <c r="H711" s="16" t="s">
        <v>381</v>
      </c>
      <c r="I711" s="16">
        <v>1820</v>
      </c>
      <c r="J711" s="16">
        <v>1053</v>
      </c>
      <c r="K711" s="17" t="s">
        <v>383</v>
      </c>
    </row>
    <row r="712" spans="1:11" x14ac:dyDescent="0.25">
      <c r="A712" s="13" t="s">
        <v>187</v>
      </c>
      <c r="B712" s="13" t="s">
        <v>188</v>
      </c>
      <c r="C712" s="13" t="s">
        <v>499</v>
      </c>
      <c r="D712" s="13" t="s">
        <v>380</v>
      </c>
      <c r="E712" s="16" t="s">
        <v>53</v>
      </c>
      <c r="F712" s="16" t="s">
        <v>12</v>
      </c>
      <c r="G712" s="16" t="s">
        <v>398</v>
      </c>
      <c r="H712" s="16" t="s">
        <v>398</v>
      </c>
      <c r="I712" s="16">
        <v>1316</v>
      </c>
      <c r="J712" s="16">
        <v>1060</v>
      </c>
      <c r="K712" s="17" t="s">
        <v>383</v>
      </c>
    </row>
    <row r="713" spans="1:11" x14ac:dyDescent="0.25">
      <c r="A713" s="13" t="s">
        <v>189</v>
      </c>
      <c r="B713" s="13" t="s">
        <v>188</v>
      </c>
      <c r="C713" s="13" t="s">
        <v>773</v>
      </c>
      <c r="D713" s="13" t="s">
        <v>380</v>
      </c>
      <c r="E713" s="16" t="s">
        <v>13</v>
      </c>
      <c r="F713" s="16" t="s">
        <v>12</v>
      </c>
      <c r="G713" s="16" t="s">
        <v>381</v>
      </c>
      <c r="H713" s="16" t="s">
        <v>381</v>
      </c>
      <c r="I713" s="16">
        <v>2367</v>
      </c>
      <c r="J713" s="16">
        <v>1532</v>
      </c>
      <c r="K713" s="17" t="s">
        <v>383</v>
      </c>
    </row>
    <row r="714" spans="1:11" x14ac:dyDescent="0.25">
      <c r="A714" s="13" t="s">
        <v>1797</v>
      </c>
      <c r="B714" s="13" t="s">
        <v>192</v>
      </c>
      <c r="C714" s="13" t="s">
        <v>934</v>
      </c>
      <c r="D714" s="13" t="s">
        <v>1798</v>
      </c>
      <c r="E714" s="16" t="s">
        <v>41</v>
      </c>
      <c r="F714" s="16" t="s">
        <v>12</v>
      </c>
      <c r="G714" s="16" t="s">
        <v>1799</v>
      </c>
      <c r="H714" s="16" t="s">
        <v>1799</v>
      </c>
      <c r="I714" s="16">
        <v>388</v>
      </c>
      <c r="J714" s="16">
        <v>211</v>
      </c>
      <c r="K714" s="18" t="str">
        <f>HYPERLINK("mailto:ncdrisc@imperial.ac.uk", "contact")</f>
        <v>contact</v>
      </c>
    </row>
    <row r="715" spans="1:11" x14ac:dyDescent="0.25">
      <c r="A715" s="13" t="s">
        <v>191</v>
      </c>
      <c r="B715" s="13" t="s">
        <v>192</v>
      </c>
      <c r="C715" s="13" t="s">
        <v>639</v>
      </c>
      <c r="D715" s="13" t="s">
        <v>380</v>
      </c>
      <c r="E715" s="16" t="s">
        <v>13</v>
      </c>
      <c r="F715" s="16" t="s">
        <v>12</v>
      </c>
      <c r="G715" s="16" t="s">
        <v>398</v>
      </c>
      <c r="H715" s="16" t="s">
        <v>398</v>
      </c>
      <c r="I715" s="16">
        <v>1622</v>
      </c>
      <c r="J715" s="16">
        <v>1712</v>
      </c>
      <c r="K715" s="17" t="s">
        <v>383</v>
      </c>
    </row>
    <row r="716" spans="1:11" x14ac:dyDescent="0.25">
      <c r="A716" s="13" t="s">
        <v>1800</v>
      </c>
      <c r="B716" s="13" t="s">
        <v>192</v>
      </c>
      <c r="C716" s="13" t="s">
        <v>896</v>
      </c>
      <c r="D716" s="13" t="s">
        <v>380</v>
      </c>
      <c r="E716" s="16" t="s">
        <v>13</v>
      </c>
      <c r="F716" s="16" t="s">
        <v>12</v>
      </c>
      <c r="G716" s="16" t="s">
        <v>381</v>
      </c>
      <c r="H716" s="16" t="s">
        <v>381</v>
      </c>
      <c r="I716" s="16">
        <v>2599</v>
      </c>
      <c r="J716" s="16">
        <v>2271</v>
      </c>
      <c r="K716" s="17" t="s">
        <v>383</v>
      </c>
    </row>
    <row r="717" spans="1:11" x14ac:dyDescent="0.25">
      <c r="A717" s="13" t="s">
        <v>194</v>
      </c>
      <c r="B717" s="13" t="s">
        <v>195</v>
      </c>
      <c r="C717" s="13" t="s">
        <v>439</v>
      </c>
      <c r="D717" s="13" t="s">
        <v>380</v>
      </c>
      <c r="E717" s="16" t="s">
        <v>13</v>
      </c>
      <c r="F717" s="16" t="s">
        <v>12</v>
      </c>
      <c r="G717" s="16" t="s">
        <v>398</v>
      </c>
      <c r="H717" s="16" t="s">
        <v>398</v>
      </c>
      <c r="I717" s="16">
        <v>1126</v>
      </c>
      <c r="J717" s="16">
        <v>693</v>
      </c>
      <c r="K717" s="17" t="s">
        <v>383</v>
      </c>
    </row>
    <row r="718" spans="1:11" x14ac:dyDescent="0.25">
      <c r="A718" s="13" t="s">
        <v>196</v>
      </c>
      <c r="B718" s="13" t="s">
        <v>195</v>
      </c>
      <c r="C718" s="13" t="s">
        <v>836</v>
      </c>
      <c r="D718" s="13" t="s">
        <v>380</v>
      </c>
      <c r="E718" s="16" t="s">
        <v>13</v>
      </c>
      <c r="F718" s="16" t="s">
        <v>12</v>
      </c>
      <c r="G718" s="16" t="s">
        <v>381</v>
      </c>
      <c r="H718" s="16" t="s">
        <v>381</v>
      </c>
      <c r="I718" s="16">
        <v>1651</v>
      </c>
      <c r="J718" s="16">
        <v>1296</v>
      </c>
      <c r="K718" s="17" t="s">
        <v>383</v>
      </c>
    </row>
    <row r="719" spans="1:11" x14ac:dyDescent="0.25">
      <c r="A719" s="13" t="s">
        <v>1801</v>
      </c>
      <c r="B719" s="13" t="s">
        <v>199</v>
      </c>
      <c r="C719" s="13" t="s">
        <v>666</v>
      </c>
      <c r="D719" s="13" t="s">
        <v>1802</v>
      </c>
      <c r="E719" s="16" t="s">
        <v>41</v>
      </c>
      <c r="F719" s="16" t="s">
        <v>40</v>
      </c>
      <c r="G719" s="16" t="s">
        <v>911</v>
      </c>
      <c r="H719" s="16" t="s">
        <v>911</v>
      </c>
      <c r="I719" s="16">
        <v>621</v>
      </c>
      <c r="J719" s="16">
        <v>421</v>
      </c>
      <c r="K719" s="18" t="str">
        <f>HYPERLINK("mailto:ncdrisc@imperial.ac.uk", "contact")</f>
        <v>contact</v>
      </c>
    </row>
    <row r="720" spans="1:11" x14ac:dyDescent="0.25">
      <c r="A720" s="13" t="s">
        <v>1803</v>
      </c>
      <c r="B720" s="13" t="s">
        <v>199</v>
      </c>
      <c r="C720" s="13" t="s">
        <v>520</v>
      </c>
      <c r="D720" s="13" t="s">
        <v>1804</v>
      </c>
      <c r="E720" s="16" t="s">
        <v>13</v>
      </c>
      <c r="F720" s="16" t="s">
        <v>12</v>
      </c>
      <c r="G720" s="16" t="s">
        <v>394</v>
      </c>
      <c r="H720" s="16" t="s">
        <v>394</v>
      </c>
      <c r="I720" s="16">
        <v>2717</v>
      </c>
      <c r="J720" s="16">
        <v>1777</v>
      </c>
      <c r="K720" s="18" t="str">
        <f>HYPERLINK("mailto:prasad.katulanda@yahoo.com", "contact")</f>
        <v>contact</v>
      </c>
    </row>
    <row r="721" spans="1:11" x14ac:dyDescent="0.25">
      <c r="A721" s="13" t="s">
        <v>1805</v>
      </c>
      <c r="B721" s="13" t="s">
        <v>199</v>
      </c>
      <c r="C721" s="13" t="s">
        <v>488</v>
      </c>
      <c r="D721" s="13" t="s">
        <v>1806</v>
      </c>
      <c r="E721" s="16" t="s">
        <v>41</v>
      </c>
      <c r="F721" s="16" t="s">
        <v>40</v>
      </c>
      <c r="G721" s="16" t="s">
        <v>1557</v>
      </c>
      <c r="H721" s="16" t="s">
        <v>1557</v>
      </c>
      <c r="I721" s="16">
        <v>1636</v>
      </c>
      <c r="J721" s="16">
        <v>1349</v>
      </c>
      <c r="K721" s="18" t="str">
        <f>HYPERLINK("mailto:ncdrisc@imperial.ac.uk", "contact")</f>
        <v>contact</v>
      </c>
    </row>
    <row r="722" spans="1:11" x14ac:dyDescent="0.25">
      <c r="A722" s="13" t="s">
        <v>1807</v>
      </c>
      <c r="B722" s="13" t="s">
        <v>199</v>
      </c>
      <c r="C722" s="13" t="s">
        <v>554</v>
      </c>
      <c r="D722" s="13" t="s">
        <v>1808</v>
      </c>
      <c r="E722" s="16" t="s">
        <v>53</v>
      </c>
      <c r="F722" s="16" t="s">
        <v>12</v>
      </c>
      <c r="G722" s="16" t="s">
        <v>1557</v>
      </c>
      <c r="H722" s="16" t="s">
        <v>1557</v>
      </c>
      <c r="I722" s="16">
        <v>606</v>
      </c>
      <c r="J722" s="16">
        <v>628</v>
      </c>
      <c r="K722" s="18" t="str">
        <f>HYPERLINK("mailto:ncdrisc@imperial.ac.uk", "contact")</f>
        <v>contact</v>
      </c>
    </row>
    <row r="723" spans="1:11" x14ac:dyDescent="0.25">
      <c r="A723" s="13" t="s">
        <v>198</v>
      </c>
      <c r="B723" s="13" t="s">
        <v>199</v>
      </c>
      <c r="C723" s="13" t="s">
        <v>600</v>
      </c>
      <c r="D723" s="13" t="s">
        <v>380</v>
      </c>
      <c r="E723" s="16" t="s">
        <v>13</v>
      </c>
      <c r="F723" s="16" t="s">
        <v>12</v>
      </c>
      <c r="G723" s="16" t="s">
        <v>381</v>
      </c>
      <c r="H723" s="16" t="s">
        <v>381</v>
      </c>
      <c r="I723" s="16">
        <v>3082</v>
      </c>
      <c r="J723" s="16">
        <v>2017</v>
      </c>
      <c r="K723" s="17" t="s">
        <v>383</v>
      </c>
    </row>
    <row r="724" spans="1:11" x14ac:dyDescent="0.25">
      <c r="A724" s="13" t="s">
        <v>1809</v>
      </c>
      <c r="B724" s="13" t="s">
        <v>199</v>
      </c>
      <c r="C724" s="13" t="s">
        <v>486</v>
      </c>
      <c r="D724" s="13" t="s">
        <v>1810</v>
      </c>
      <c r="E724" s="16" t="s">
        <v>13</v>
      </c>
      <c r="F724" s="16" t="s">
        <v>12</v>
      </c>
      <c r="G724" s="16" t="s">
        <v>394</v>
      </c>
      <c r="H724" s="16" t="s">
        <v>394</v>
      </c>
      <c r="I724" s="16">
        <v>3239</v>
      </c>
      <c r="J724" s="16">
        <v>3109</v>
      </c>
      <c r="K724" s="18" t="str">
        <f>HYPERLINK("mailto:ravi@ihp.lk", "contact")</f>
        <v>contact</v>
      </c>
    </row>
    <row r="725" spans="1:11" x14ac:dyDescent="0.25">
      <c r="A725" s="13" t="s">
        <v>200</v>
      </c>
      <c r="B725" s="13" t="s">
        <v>199</v>
      </c>
      <c r="C725" s="13" t="s">
        <v>491</v>
      </c>
      <c r="D725" s="13" t="s">
        <v>380</v>
      </c>
      <c r="E725" s="16" t="s">
        <v>13</v>
      </c>
      <c r="F725" s="16" t="s">
        <v>12</v>
      </c>
      <c r="G725" s="16" t="s">
        <v>381</v>
      </c>
      <c r="H725" s="16" t="s">
        <v>381</v>
      </c>
      <c r="I725" s="16">
        <v>3767</v>
      </c>
      <c r="J725" s="16">
        <v>2447</v>
      </c>
      <c r="K725" s="17" t="s">
        <v>383</v>
      </c>
    </row>
    <row r="726" spans="1:11" x14ac:dyDescent="0.25">
      <c r="A726" s="13" t="s">
        <v>202</v>
      </c>
      <c r="B726" s="13" t="s">
        <v>203</v>
      </c>
      <c r="C726" s="13" t="s">
        <v>439</v>
      </c>
      <c r="D726" s="13" t="s">
        <v>380</v>
      </c>
      <c r="E726" s="16" t="s">
        <v>13</v>
      </c>
      <c r="F726" s="16" t="s">
        <v>12</v>
      </c>
      <c r="G726" s="16" t="s">
        <v>398</v>
      </c>
      <c r="H726" s="16" t="s">
        <v>398</v>
      </c>
      <c r="I726" s="16">
        <v>1492</v>
      </c>
      <c r="J726" s="16">
        <v>774</v>
      </c>
      <c r="K726" s="17" t="s">
        <v>383</v>
      </c>
    </row>
    <row r="727" spans="1:11" x14ac:dyDescent="0.25">
      <c r="A727" s="13" t="s">
        <v>1811</v>
      </c>
      <c r="B727" s="13" t="s">
        <v>1812</v>
      </c>
      <c r="C727" s="13" t="s">
        <v>940</v>
      </c>
      <c r="D727" s="13" t="s">
        <v>1813</v>
      </c>
      <c r="E727" s="16" t="s">
        <v>41</v>
      </c>
      <c r="F727" s="16" t="s">
        <v>40</v>
      </c>
      <c r="G727" s="16" t="s">
        <v>1557</v>
      </c>
      <c r="H727" s="16" t="s">
        <v>1557</v>
      </c>
      <c r="I727" s="16">
        <v>760</v>
      </c>
      <c r="J727" s="16">
        <v>609</v>
      </c>
      <c r="K727" s="18" t="str">
        <f>HYPERLINK("mailto:abdonas.tamosiunas@lsmuni.lt", "contact")</f>
        <v>contact</v>
      </c>
    </row>
    <row r="728" spans="1:11" x14ac:dyDescent="0.25">
      <c r="A728" s="13" t="s">
        <v>1814</v>
      </c>
      <c r="B728" s="13" t="s">
        <v>1812</v>
      </c>
      <c r="C728" s="13" t="s">
        <v>477</v>
      </c>
      <c r="D728" s="13" t="s">
        <v>827</v>
      </c>
      <c r="E728" s="16" t="s">
        <v>41</v>
      </c>
      <c r="F728" s="16" t="s">
        <v>40</v>
      </c>
      <c r="G728" s="16" t="s">
        <v>828</v>
      </c>
      <c r="H728" s="16" t="s">
        <v>828</v>
      </c>
      <c r="I728" s="16">
        <v>3497</v>
      </c>
      <c r="J728" s="16">
        <v>2906</v>
      </c>
      <c r="K728" s="18" t="str">
        <f>HYPERLINK("mailto:h.pikhart@ucl.ac.uk", "contact")</f>
        <v>contact</v>
      </c>
    </row>
    <row r="729" spans="1:11" x14ac:dyDescent="0.25">
      <c r="A729" s="13" t="s">
        <v>1815</v>
      </c>
      <c r="B729" s="13" t="s">
        <v>1816</v>
      </c>
      <c r="C729" s="13" t="s">
        <v>612</v>
      </c>
      <c r="D729" s="13" t="s">
        <v>1817</v>
      </c>
      <c r="E729" s="16" t="s">
        <v>13</v>
      </c>
      <c r="F729" s="16" t="s">
        <v>12</v>
      </c>
      <c r="G729" s="16" t="s">
        <v>381</v>
      </c>
      <c r="H729" s="16" t="s">
        <v>381</v>
      </c>
      <c r="I729" s="16">
        <v>735</v>
      </c>
      <c r="J729" s="16">
        <v>697</v>
      </c>
      <c r="K729" s="18" t="str">
        <f>HYPERLINK("mailto:alaa.alkerwi@crp-sante.lu; alaa.alkerwi@lih.lu; Alaa.AlKerwi@ms.etat.lu", "contact")</f>
        <v>contact</v>
      </c>
    </row>
    <row r="730" spans="1:11" x14ac:dyDescent="0.25">
      <c r="A730" s="13" t="s">
        <v>1818</v>
      </c>
      <c r="B730" s="13" t="s">
        <v>1816</v>
      </c>
      <c r="C730" s="13" t="s">
        <v>771</v>
      </c>
      <c r="D730" s="13" t="s">
        <v>1819</v>
      </c>
      <c r="E730" s="16" t="s">
        <v>13</v>
      </c>
      <c r="F730" s="16" t="s">
        <v>12</v>
      </c>
      <c r="G730" s="16" t="s">
        <v>398</v>
      </c>
      <c r="H730" s="16" t="s">
        <v>398</v>
      </c>
      <c r="I730" s="16">
        <v>781</v>
      </c>
      <c r="J730" s="16">
        <v>721</v>
      </c>
      <c r="K730" s="18" t="str">
        <f>HYPERLINK("mailto:Laetitia.HUIART@santepubliquefrance.fr", "contact")</f>
        <v>contact</v>
      </c>
    </row>
    <row r="731" spans="1:11" x14ac:dyDescent="0.25">
      <c r="A731" s="13" t="s">
        <v>1820</v>
      </c>
      <c r="B731" s="13" t="s">
        <v>1816</v>
      </c>
      <c r="C731" s="13" t="s">
        <v>745</v>
      </c>
      <c r="D731" s="13" t="s">
        <v>1821</v>
      </c>
      <c r="E731" s="16" t="s">
        <v>41</v>
      </c>
      <c r="F731" s="16" t="s">
        <v>12</v>
      </c>
      <c r="G731" s="16" t="s">
        <v>963</v>
      </c>
      <c r="H731" s="16" t="s">
        <v>963</v>
      </c>
      <c r="I731" s="16">
        <v>825</v>
      </c>
      <c r="J731" s="16">
        <v>731</v>
      </c>
      <c r="K731" s="18" t="str">
        <f>HYPERLINK("mailto:Laetitia.HUIART@santepubliquefrance.fr", "contact")</f>
        <v>contact</v>
      </c>
    </row>
    <row r="732" spans="1:11" x14ac:dyDescent="0.25">
      <c r="A732" s="13" t="s">
        <v>1822</v>
      </c>
      <c r="B732" s="13" t="s">
        <v>1823</v>
      </c>
      <c r="C732" s="13" t="s">
        <v>712</v>
      </c>
      <c r="D732" s="13" t="s">
        <v>1824</v>
      </c>
      <c r="E732" s="16" t="s">
        <v>13</v>
      </c>
      <c r="F732" s="16" t="s">
        <v>12</v>
      </c>
      <c r="G732" s="16" t="s">
        <v>599</v>
      </c>
      <c r="H732" s="16" t="s">
        <v>599</v>
      </c>
      <c r="I732" s="16">
        <v>2394</v>
      </c>
      <c r="J732" s="16">
        <v>1359</v>
      </c>
      <c r="K732" s="18" t="str">
        <f>HYPERLINK("mailto:vilnisdzerve@inbox.lv", "contact")</f>
        <v>contact</v>
      </c>
    </row>
    <row r="733" spans="1:11" x14ac:dyDescent="0.25">
      <c r="A733" s="13" t="s">
        <v>1825</v>
      </c>
      <c r="B733" s="13" t="s">
        <v>206</v>
      </c>
      <c r="C733" s="13" t="s">
        <v>666</v>
      </c>
      <c r="D733" s="13" t="s">
        <v>1826</v>
      </c>
      <c r="E733" s="16" t="s">
        <v>13</v>
      </c>
      <c r="F733" s="16" t="s">
        <v>12</v>
      </c>
      <c r="G733" s="16" t="s">
        <v>1827</v>
      </c>
      <c r="H733" s="16" t="s">
        <v>1827</v>
      </c>
      <c r="I733" s="16">
        <v>973</v>
      </c>
      <c r="J733" s="16">
        <v>689</v>
      </c>
      <c r="K733" s="18" t="str">
        <f>HYPERLINK("mailto:ncdrisc@imperial.ac.uk", "contact")</f>
        <v>contact</v>
      </c>
    </row>
    <row r="734" spans="1:11" x14ac:dyDescent="0.25">
      <c r="A734" s="13" t="s">
        <v>205</v>
      </c>
      <c r="B734" s="13" t="s">
        <v>206</v>
      </c>
      <c r="C734" s="13" t="s">
        <v>463</v>
      </c>
      <c r="D734" s="13" t="s">
        <v>380</v>
      </c>
      <c r="E734" s="16" t="s">
        <v>13</v>
      </c>
      <c r="F734" s="16" t="s">
        <v>12</v>
      </c>
      <c r="G734" s="16" t="s">
        <v>394</v>
      </c>
      <c r="H734" s="16" t="s">
        <v>394</v>
      </c>
      <c r="I734" s="16">
        <v>3417</v>
      </c>
      <c r="J734" s="16">
        <v>1891</v>
      </c>
      <c r="K734" s="17" t="s">
        <v>383</v>
      </c>
    </row>
    <row r="735" spans="1:11" x14ac:dyDescent="0.25">
      <c r="A735" s="13" t="s">
        <v>208</v>
      </c>
      <c r="B735" s="13" t="s">
        <v>209</v>
      </c>
      <c r="C735" s="13" t="s">
        <v>490</v>
      </c>
      <c r="D735" s="13" t="s">
        <v>380</v>
      </c>
      <c r="E735" s="16" t="s">
        <v>13</v>
      </c>
      <c r="F735" s="16" t="s">
        <v>12</v>
      </c>
      <c r="G735" s="16" t="s">
        <v>381</v>
      </c>
      <c r="H735" s="16" t="s">
        <v>381</v>
      </c>
      <c r="I735" s="16">
        <v>2893</v>
      </c>
      <c r="J735" s="16">
        <v>1806</v>
      </c>
      <c r="K735" s="17" t="s">
        <v>383</v>
      </c>
    </row>
    <row r="736" spans="1:11" x14ac:dyDescent="0.25">
      <c r="A736" s="13" t="s">
        <v>210</v>
      </c>
      <c r="B736" s="13" t="s">
        <v>209</v>
      </c>
      <c r="C736" s="13" t="s">
        <v>491</v>
      </c>
      <c r="D736" s="13" t="s">
        <v>380</v>
      </c>
      <c r="E736" s="16" t="s">
        <v>13</v>
      </c>
      <c r="F736" s="16" t="s">
        <v>12</v>
      </c>
      <c r="G736" s="16" t="s">
        <v>381</v>
      </c>
      <c r="H736" s="16" t="s">
        <v>381</v>
      </c>
      <c r="I736" s="16">
        <v>2289</v>
      </c>
      <c r="J736" s="16">
        <v>1774</v>
      </c>
      <c r="K736" s="17" t="s">
        <v>383</v>
      </c>
    </row>
    <row r="737" spans="1:11" x14ac:dyDescent="0.25">
      <c r="A737" s="13" t="s">
        <v>1828</v>
      </c>
      <c r="B737" s="13" t="s">
        <v>213</v>
      </c>
      <c r="C737" s="13" t="s">
        <v>409</v>
      </c>
      <c r="D737" s="13" t="s">
        <v>380</v>
      </c>
      <c r="E737" s="16" t="s">
        <v>53</v>
      </c>
      <c r="F737" s="16" t="s">
        <v>40</v>
      </c>
      <c r="G737" s="16" t="s">
        <v>398</v>
      </c>
      <c r="H737" s="16" t="s">
        <v>398</v>
      </c>
      <c r="I737" s="16">
        <v>839</v>
      </c>
      <c r="J737" s="16">
        <v>716</v>
      </c>
      <c r="K737" s="18" t="str">
        <f>HYPERLINK("mailto:ncdrisc@imperial.ac.uk", "contact")</f>
        <v>contact</v>
      </c>
    </row>
    <row r="738" spans="1:11" x14ac:dyDescent="0.25">
      <c r="A738" s="13" t="s">
        <v>212</v>
      </c>
      <c r="B738" s="13" t="s">
        <v>213</v>
      </c>
      <c r="C738" s="13" t="s">
        <v>894</v>
      </c>
      <c r="D738" s="13" t="s">
        <v>380</v>
      </c>
      <c r="E738" s="16" t="s">
        <v>13</v>
      </c>
      <c r="F738" s="16" t="s">
        <v>12</v>
      </c>
      <c r="G738" s="16" t="s">
        <v>381</v>
      </c>
      <c r="H738" s="16" t="s">
        <v>381</v>
      </c>
      <c r="I738" s="16">
        <v>1994</v>
      </c>
      <c r="J738" s="16">
        <v>886</v>
      </c>
      <c r="K738" s="17" t="s">
        <v>383</v>
      </c>
    </row>
    <row r="739" spans="1:11" x14ac:dyDescent="0.25">
      <c r="A739" s="13" t="s">
        <v>1829</v>
      </c>
      <c r="B739" s="13" t="s">
        <v>216</v>
      </c>
      <c r="C739" s="13" t="s">
        <v>396</v>
      </c>
      <c r="D739" s="13" t="s">
        <v>397</v>
      </c>
      <c r="E739" s="16" t="s">
        <v>41</v>
      </c>
      <c r="F739" s="16" t="s">
        <v>40</v>
      </c>
      <c r="G739" s="16" t="s">
        <v>398</v>
      </c>
      <c r="H739" s="16" t="s">
        <v>398</v>
      </c>
      <c r="I739" s="16">
        <v>889</v>
      </c>
      <c r="J739" s="16">
        <v>833</v>
      </c>
      <c r="K739" s="18" t="str">
        <f>HYPERLINK("mailto:pboisson@intramed.net", "contact")</f>
        <v>contact</v>
      </c>
    </row>
    <row r="740" spans="1:11" x14ac:dyDescent="0.25">
      <c r="A740" s="13" t="s">
        <v>1830</v>
      </c>
      <c r="B740" s="13" t="s">
        <v>216</v>
      </c>
      <c r="C740" s="13" t="s">
        <v>496</v>
      </c>
      <c r="D740" s="13" t="s">
        <v>1831</v>
      </c>
      <c r="E740" s="16" t="s">
        <v>13</v>
      </c>
      <c r="F740" s="16" t="s">
        <v>12</v>
      </c>
      <c r="G740" s="16" t="s">
        <v>434</v>
      </c>
      <c r="H740" s="16" t="s">
        <v>434</v>
      </c>
      <c r="I740" s="16">
        <v>24881</v>
      </c>
      <c r="J740" s="16">
        <v>19673</v>
      </c>
      <c r="K740" s="18" t="str">
        <f>HYPERLINK("mailto:caguilarsalinas@yahoo.com", "contact")</f>
        <v>contact</v>
      </c>
    </row>
    <row r="741" spans="1:11" x14ac:dyDescent="0.25">
      <c r="A741" s="13" t="s">
        <v>215</v>
      </c>
      <c r="B741" s="13" t="s">
        <v>216</v>
      </c>
      <c r="C741" s="13" t="s">
        <v>643</v>
      </c>
      <c r="D741" s="13" t="s">
        <v>1832</v>
      </c>
      <c r="E741" s="16" t="s">
        <v>13</v>
      </c>
      <c r="F741" s="16" t="s">
        <v>12</v>
      </c>
      <c r="G741" s="16" t="s">
        <v>394</v>
      </c>
      <c r="H741" s="16" t="s">
        <v>394</v>
      </c>
      <c r="I741" s="16">
        <v>10495</v>
      </c>
      <c r="J741" s="16">
        <v>8215</v>
      </c>
      <c r="K741" s="17" t="s">
        <v>383</v>
      </c>
    </row>
    <row r="742" spans="1:11" x14ac:dyDescent="0.25">
      <c r="A742" s="13" t="s">
        <v>217</v>
      </c>
      <c r="B742" s="13" t="s">
        <v>216</v>
      </c>
      <c r="C742" s="13" t="s">
        <v>439</v>
      </c>
      <c r="D742" s="13" t="s">
        <v>1833</v>
      </c>
      <c r="E742" s="16" t="s">
        <v>13</v>
      </c>
      <c r="F742" s="16" t="s">
        <v>12</v>
      </c>
      <c r="G742" s="16" t="s">
        <v>724</v>
      </c>
      <c r="H742" s="16" t="s">
        <v>724</v>
      </c>
      <c r="I742" s="16">
        <v>8399</v>
      </c>
      <c r="J742" s="16">
        <v>6441</v>
      </c>
      <c r="K742" s="17" t="s">
        <v>383</v>
      </c>
    </row>
    <row r="743" spans="1:11" x14ac:dyDescent="0.25">
      <c r="A743" s="13" t="s">
        <v>218</v>
      </c>
      <c r="B743" s="13" t="s">
        <v>216</v>
      </c>
      <c r="C743" s="13" t="s">
        <v>404</v>
      </c>
      <c r="D743" s="13" t="s">
        <v>1831</v>
      </c>
      <c r="E743" s="16" t="s">
        <v>13</v>
      </c>
      <c r="F743" s="16" t="s">
        <v>12</v>
      </c>
      <c r="G743" s="16" t="s">
        <v>434</v>
      </c>
      <c r="H743" s="16" t="s">
        <v>434</v>
      </c>
      <c r="I743" s="16">
        <v>5477</v>
      </c>
      <c r="J743" s="16">
        <v>2865</v>
      </c>
      <c r="K743" s="17" t="s">
        <v>383</v>
      </c>
    </row>
    <row r="744" spans="1:11" x14ac:dyDescent="0.25">
      <c r="A744" s="13" t="s">
        <v>1834</v>
      </c>
      <c r="B744" s="13" t="s">
        <v>216</v>
      </c>
      <c r="C744" s="13" t="s">
        <v>404</v>
      </c>
      <c r="D744" s="13" t="s">
        <v>1835</v>
      </c>
      <c r="E744" s="16" t="s">
        <v>13</v>
      </c>
      <c r="F744" s="16" t="s">
        <v>12</v>
      </c>
      <c r="G744" s="16" t="s">
        <v>1836</v>
      </c>
      <c r="H744" s="16" t="s">
        <v>1836</v>
      </c>
      <c r="I744" s="16">
        <v>1191</v>
      </c>
      <c r="J744" s="16">
        <v>833</v>
      </c>
      <c r="K744" s="18" t="str">
        <f>HYPERLINK("mailto:ncdrisc@imperial.ac.uk", "contact")</f>
        <v>contact</v>
      </c>
    </row>
    <row r="745" spans="1:11" x14ac:dyDescent="0.25">
      <c r="A745" s="13" t="s">
        <v>1837</v>
      </c>
      <c r="B745" s="13" t="s">
        <v>216</v>
      </c>
      <c r="C745" s="13" t="s">
        <v>486</v>
      </c>
      <c r="D745" s="13" t="s">
        <v>1831</v>
      </c>
      <c r="E745" s="16" t="s">
        <v>13</v>
      </c>
      <c r="F745" s="16" t="s">
        <v>12</v>
      </c>
      <c r="G745" s="16" t="s">
        <v>434</v>
      </c>
      <c r="H745" s="16" t="s">
        <v>434</v>
      </c>
      <c r="I745" s="16">
        <v>9798</v>
      </c>
      <c r="J745" s="16">
        <v>7584</v>
      </c>
      <c r="K745" s="18" t="str">
        <f>HYPERLINK("mailto:ncdrisc@imperial.ac.uk", "contact")</f>
        <v>contact</v>
      </c>
    </row>
    <row r="746" spans="1:11" x14ac:dyDescent="0.25">
      <c r="A746" s="13" t="s">
        <v>1838</v>
      </c>
      <c r="B746" s="13" t="s">
        <v>216</v>
      </c>
      <c r="C746" s="13" t="s">
        <v>517</v>
      </c>
      <c r="D746" s="13" t="s">
        <v>1831</v>
      </c>
      <c r="E746" s="16" t="s">
        <v>13</v>
      </c>
      <c r="F746" s="16" t="s">
        <v>12</v>
      </c>
      <c r="G746" s="16" t="s">
        <v>434</v>
      </c>
      <c r="H746" s="16" t="s">
        <v>434</v>
      </c>
      <c r="I746" s="16">
        <v>1359</v>
      </c>
      <c r="J746" s="16">
        <v>932</v>
      </c>
      <c r="K746" s="18" t="str">
        <f>HYPERLINK("mailto:caguilarsalinas@yahoo.com", "contact")</f>
        <v>contact</v>
      </c>
    </row>
    <row r="747" spans="1:11" x14ac:dyDescent="0.25">
      <c r="A747" s="13" t="s">
        <v>1839</v>
      </c>
      <c r="B747" s="13" t="s">
        <v>216</v>
      </c>
      <c r="C747" s="13" t="s">
        <v>491</v>
      </c>
      <c r="D747" s="13" t="s">
        <v>1831</v>
      </c>
      <c r="E747" s="16" t="s">
        <v>13</v>
      </c>
      <c r="F747" s="16" t="s">
        <v>12</v>
      </c>
      <c r="G747" s="16" t="s">
        <v>434</v>
      </c>
      <c r="H747" s="16" t="s">
        <v>434</v>
      </c>
      <c r="I747" s="16">
        <v>5243</v>
      </c>
      <c r="J747" s="16">
        <v>2947</v>
      </c>
      <c r="K747" s="18" t="str">
        <f>HYPERLINK("mailto:caguilarsalinas@yahoo.com", "contact")</f>
        <v>contact</v>
      </c>
    </row>
    <row r="748" spans="1:11" x14ac:dyDescent="0.25">
      <c r="A748" s="13" t="s">
        <v>1840</v>
      </c>
      <c r="B748" s="13" t="s">
        <v>216</v>
      </c>
      <c r="C748" s="13" t="s">
        <v>773</v>
      </c>
      <c r="D748" s="13" t="s">
        <v>1831</v>
      </c>
      <c r="E748" s="16" t="s">
        <v>13</v>
      </c>
      <c r="F748" s="16" t="s">
        <v>12</v>
      </c>
      <c r="G748" s="16" t="s">
        <v>434</v>
      </c>
      <c r="H748" s="16" t="s">
        <v>434</v>
      </c>
      <c r="I748" s="16">
        <v>6627</v>
      </c>
      <c r="J748" s="16">
        <v>4338</v>
      </c>
      <c r="K748" s="18" t="str">
        <f>HYPERLINK("mailto:caguilarsalinas@yahoo.com", "contact")</f>
        <v>contact</v>
      </c>
    </row>
    <row r="749" spans="1:11" x14ac:dyDescent="0.25">
      <c r="A749" s="13" t="s">
        <v>220</v>
      </c>
      <c r="B749" s="13" t="s">
        <v>221</v>
      </c>
      <c r="C749" s="13" t="s">
        <v>493</v>
      </c>
      <c r="D749" s="13" t="s">
        <v>380</v>
      </c>
      <c r="E749" s="16" t="s">
        <v>13</v>
      </c>
      <c r="F749" s="16" t="s">
        <v>12</v>
      </c>
      <c r="G749" s="16" t="s">
        <v>708</v>
      </c>
      <c r="H749" s="16" t="s">
        <v>708</v>
      </c>
      <c r="I749" s="16">
        <v>1532</v>
      </c>
      <c r="J749" s="16">
        <v>1081</v>
      </c>
      <c r="K749" s="17" t="s">
        <v>383</v>
      </c>
    </row>
    <row r="750" spans="1:11" x14ac:dyDescent="0.25">
      <c r="A750" s="13" t="s">
        <v>222</v>
      </c>
      <c r="B750" s="13" t="s">
        <v>221</v>
      </c>
      <c r="C750" s="13" t="s">
        <v>393</v>
      </c>
      <c r="D750" s="13" t="s">
        <v>380</v>
      </c>
      <c r="E750" s="16" t="s">
        <v>13</v>
      </c>
      <c r="F750" s="16" t="s">
        <v>12</v>
      </c>
      <c r="G750" s="16" t="s">
        <v>394</v>
      </c>
      <c r="H750" s="16" t="s">
        <v>394</v>
      </c>
      <c r="I750" s="16">
        <v>1556</v>
      </c>
      <c r="J750" s="16">
        <v>1406</v>
      </c>
      <c r="K750" s="17" t="s">
        <v>383</v>
      </c>
    </row>
    <row r="751" spans="1:11" x14ac:dyDescent="0.25">
      <c r="A751" s="13" t="s">
        <v>224</v>
      </c>
      <c r="B751" s="13" t="s">
        <v>225</v>
      </c>
      <c r="C751" s="13" t="s">
        <v>490</v>
      </c>
      <c r="D751" s="13" t="s">
        <v>380</v>
      </c>
      <c r="E751" s="16" t="s">
        <v>53</v>
      </c>
      <c r="F751" s="16" t="s">
        <v>12</v>
      </c>
      <c r="G751" s="16" t="s">
        <v>388</v>
      </c>
      <c r="H751" s="16" t="s">
        <v>388</v>
      </c>
      <c r="I751" s="16">
        <v>805</v>
      </c>
      <c r="J751" s="16">
        <v>446</v>
      </c>
      <c r="K751" s="17" t="s">
        <v>383</v>
      </c>
    </row>
    <row r="752" spans="1:11" x14ac:dyDescent="0.25">
      <c r="A752" s="13" t="s">
        <v>1841</v>
      </c>
      <c r="B752" s="13" t="s">
        <v>1842</v>
      </c>
      <c r="C752" s="13" t="s">
        <v>412</v>
      </c>
      <c r="D752" s="13" t="s">
        <v>929</v>
      </c>
      <c r="E752" s="16" t="s">
        <v>41</v>
      </c>
      <c r="F752" s="16" t="s">
        <v>12</v>
      </c>
      <c r="G752" s="16" t="s">
        <v>686</v>
      </c>
      <c r="H752" s="16" t="s">
        <v>686</v>
      </c>
      <c r="I752" s="16">
        <v>1173</v>
      </c>
      <c r="J752" s="16">
        <v>870</v>
      </c>
      <c r="K752" s="18" t="str">
        <f>HYPERLINK("mailto:ncdrisc@imperial.ac.uk", "contact")</f>
        <v>contact</v>
      </c>
    </row>
    <row r="753" spans="1:11" x14ac:dyDescent="0.25">
      <c r="A753" s="13" t="s">
        <v>1843</v>
      </c>
      <c r="B753" s="13" t="s">
        <v>1842</v>
      </c>
      <c r="C753" s="13" t="s">
        <v>873</v>
      </c>
      <c r="D753" s="13" t="s">
        <v>1844</v>
      </c>
      <c r="E753" s="16" t="s">
        <v>13</v>
      </c>
      <c r="F753" s="16" t="s">
        <v>12</v>
      </c>
      <c r="G753" s="16" t="s">
        <v>1845</v>
      </c>
      <c r="H753" s="16" t="s">
        <v>1845</v>
      </c>
      <c r="I753" s="16">
        <v>1022</v>
      </c>
      <c r="J753" s="16">
        <v>834</v>
      </c>
      <c r="K753" s="18" t="str">
        <f>HYPERLINK("mailto:sarah.cuschieri@um.edu.mt", "contact")</f>
        <v>contact</v>
      </c>
    </row>
    <row r="754" spans="1:11" x14ac:dyDescent="0.25">
      <c r="A754" s="13" t="s">
        <v>1846</v>
      </c>
      <c r="B754" s="13" t="s">
        <v>1847</v>
      </c>
      <c r="C754" s="13" t="s">
        <v>920</v>
      </c>
      <c r="D754" s="13" t="s">
        <v>380</v>
      </c>
      <c r="E754" s="16" t="s">
        <v>53</v>
      </c>
      <c r="F754" s="16" t="s">
        <v>12</v>
      </c>
      <c r="G754" s="16" t="s">
        <v>599</v>
      </c>
      <c r="H754" s="16" t="s">
        <v>599</v>
      </c>
      <c r="I754" s="16">
        <v>2453</v>
      </c>
      <c r="J754" s="16">
        <v>1991</v>
      </c>
      <c r="K754" s="18" t="str">
        <f>HYPERLINK("mailto:espen.bjertness@medisin.uio.no", "contact")</f>
        <v>contact</v>
      </c>
    </row>
    <row r="755" spans="1:11" x14ac:dyDescent="0.25">
      <c r="A755" s="13" t="s">
        <v>1848</v>
      </c>
      <c r="B755" s="13" t="s">
        <v>1847</v>
      </c>
      <c r="C755" s="13" t="s">
        <v>600</v>
      </c>
      <c r="D755" s="13" t="s">
        <v>1849</v>
      </c>
      <c r="E755" s="16" t="s">
        <v>13</v>
      </c>
      <c r="F755" s="16" t="s">
        <v>12</v>
      </c>
      <c r="G755" s="16" t="s">
        <v>398</v>
      </c>
      <c r="H755" s="16" t="s">
        <v>398</v>
      </c>
      <c r="I755" s="16">
        <v>5592</v>
      </c>
      <c r="J755" s="16">
        <v>3079</v>
      </c>
      <c r="K755" s="18" t="str">
        <f>HYPERLINK("mailto:zawkzaw@gmail.com", "contact")</f>
        <v>contact</v>
      </c>
    </row>
    <row r="756" spans="1:11" x14ac:dyDescent="0.25">
      <c r="A756" s="13" t="s">
        <v>1850</v>
      </c>
      <c r="B756" s="13" t="s">
        <v>1847</v>
      </c>
      <c r="C756" s="13" t="s">
        <v>386</v>
      </c>
      <c r="D756" s="13" t="s">
        <v>1851</v>
      </c>
      <c r="E756" s="16" t="s">
        <v>53</v>
      </c>
      <c r="F756" s="16" t="s">
        <v>12</v>
      </c>
      <c r="G756" s="16" t="s">
        <v>599</v>
      </c>
      <c r="H756" s="16" t="s">
        <v>599</v>
      </c>
      <c r="I756" s="16">
        <v>740</v>
      </c>
      <c r="J756" s="16">
        <v>745</v>
      </c>
      <c r="K756" s="18" t="str">
        <f>HYPERLINK("mailto:espen.bjertness@medisin.uio.no", "contact")</f>
        <v>contact</v>
      </c>
    </row>
    <row r="757" spans="1:11" x14ac:dyDescent="0.25">
      <c r="A757" s="13" t="s">
        <v>227</v>
      </c>
      <c r="B757" s="13" t="s">
        <v>228</v>
      </c>
      <c r="C757" s="13" t="s">
        <v>628</v>
      </c>
      <c r="D757" s="13" t="s">
        <v>380</v>
      </c>
      <c r="E757" s="16" t="s">
        <v>13</v>
      </c>
      <c r="F757" s="16" t="s">
        <v>12</v>
      </c>
      <c r="G757" s="16" t="s">
        <v>398</v>
      </c>
      <c r="H757" s="16" t="s">
        <v>398</v>
      </c>
      <c r="I757" s="16">
        <v>1374</v>
      </c>
      <c r="J757" s="16">
        <v>1323</v>
      </c>
      <c r="K757" s="17" t="s">
        <v>383</v>
      </c>
    </row>
    <row r="758" spans="1:11" x14ac:dyDescent="0.25">
      <c r="A758" s="13" t="s">
        <v>229</v>
      </c>
      <c r="B758" s="13" t="s">
        <v>228</v>
      </c>
      <c r="C758" s="13" t="s">
        <v>639</v>
      </c>
      <c r="D758" s="13" t="s">
        <v>380</v>
      </c>
      <c r="E758" s="16" t="s">
        <v>13</v>
      </c>
      <c r="F758" s="16" t="s">
        <v>12</v>
      </c>
      <c r="G758" s="16" t="s">
        <v>398</v>
      </c>
      <c r="H758" s="16" t="s">
        <v>398</v>
      </c>
      <c r="I758" s="16">
        <v>2658</v>
      </c>
      <c r="J758" s="16">
        <v>1814</v>
      </c>
      <c r="K758" s="17" t="s">
        <v>383</v>
      </c>
    </row>
    <row r="759" spans="1:11" x14ac:dyDescent="0.25">
      <c r="A759" s="13" t="s">
        <v>230</v>
      </c>
      <c r="B759" s="13" t="s">
        <v>228</v>
      </c>
      <c r="C759" s="13" t="s">
        <v>490</v>
      </c>
      <c r="D759" s="13" t="s">
        <v>380</v>
      </c>
      <c r="E759" s="16" t="s">
        <v>13</v>
      </c>
      <c r="F759" s="16" t="s">
        <v>12</v>
      </c>
      <c r="G759" s="16" t="s">
        <v>398</v>
      </c>
      <c r="H759" s="16" t="s">
        <v>398</v>
      </c>
      <c r="I759" s="16">
        <v>2366</v>
      </c>
      <c r="J759" s="16">
        <v>1921</v>
      </c>
      <c r="K759" s="17" t="s">
        <v>383</v>
      </c>
    </row>
    <row r="760" spans="1:11" x14ac:dyDescent="0.25">
      <c r="A760" s="13" t="s">
        <v>231</v>
      </c>
      <c r="B760" s="13" t="s">
        <v>228</v>
      </c>
      <c r="C760" s="13" t="s">
        <v>511</v>
      </c>
      <c r="D760" s="13" t="s">
        <v>380</v>
      </c>
      <c r="E760" s="16" t="s">
        <v>13</v>
      </c>
      <c r="F760" s="16" t="s">
        <v>12</v>
      </c>
      <c r="G760" s="16" t="s">
        <v>381</v>
      </c>
      <c r="H760" s="16" t="s">
        <v>381</v>
      </c>
      <c r="I760" s="16">
        <v>3481</v>
      </c>
      <c r="J760" s="16">
        <v>2885</v>
      </c>
      <c r="K760" s="17" t="s">
        <v>383</v>
      </c>
    </row>
    <row r="761" spans="1:11" x14ac:dyDescent="0.25">
      <c r="A761" s="13" t="s">
        <v>1852</v>
      </c>
      <c r="B761" s="13" t="s">
        <v>1853</v>
      </c>
      <c r="C761" s="13" t="s">
        <v>570</v>
      </c>
      <c r="D761" s="13" t="s">
        <v>380</v>
      </c>
      <c r="E761" s="16" t="s">
        <v>13</v>
      </c>
      <c r="F761" s="16" t="s">
        <v>12</v>
      </c>
      <c r="G761" s="16" t="s">
        <v>708</v>
      </c>
      <c r="H761" s="16" t="s">
        <v>708</v>
      </c>
      <c r="I761" s="16">
        <v>1644</v>
      </c>
      <c r="J761" s="16">
        <v>1111</v>
      </c>
      <c r="K761" s="18" t="str">
        <f>HYPERLINK("mailto:tino_7117@hotmail.com", "contact")</f>
        <v>contact</v>
      </c>
    </row>
    <row r="762" spans="1:11" x14ac:dyDescent="0.25">
      <c r="A762" s="13" t="s">
        <v>233</v>
      </c>
      <c r="B762" s="13" t="s">
        <v>234</v>
      </c>
      <c r="C762" s="13" t="s">
        <v>496</v>
      </c>
      <c r="D762" s="13" t="s">
        <v>380</v>
      </c>
      <c r="E762" s="16" t="s">
        <v>41</v>
      </c>
      <c r="F762" s="16" t="s">
        <v>40</v>
      </c>
      <c r="G762" s="16" t="s">
        <v>708</v>
      </c>
      <c r="H762" s="16" t="s">
        <v>708</v>
      </c>
      <c r="I762" s="16">
        <v>1126</v>
      </c>
      <c r="J762" s="16">
        <v>1023</v>
      </c>
      <c r="K762" s="17" t="s">
        <v>383</v>
      </c>
    </row>
    <row r="763" spans="1:11" x14ac:dyDescent="0.25">
      <c r="A763" s="13" t="s">
        <v>1854</v>
      </c>
      <c r="B763" s="13" t="s">
        <v>1855</v>
      </c>
      <c r="C763" s="13" t="s">
        <v>1643</v>
      </c>
      <c r="D763" s="13" t="s">
        <v>1856</v>
      </c>
      <c r="E763" s="16" t="s">
        <v>13</v>
      </c>
      <c r="F763" s="16" t="s">
        <v>12</v>
      </c>
      <c r="G763" s="16" t="s">
        <v>599</v>
      </c>
      <c r="H763" s="16" t="s">
        <v>599</v>
      </c>
      <c r="I763" s="16">
        <v>2662</v>
      </c>
      <c r="J763" s="16">
        <v>2355</v>
      </c>
      <c r="K763" s="18" t="str">
        <f t="shared" ref="K763:K768" si="3">HYPERLINK("mailto:dianna.magliano@bakeridi.edu.au", "contact")</f>
        <v>contact</v>
      </c>
    </row>
    <row r="764" spans="1:11" x14ac:dyDescent="0.25">
      <c r="A764" s="13" t="s">
        <v>1857</v>
      </c>
      <c r="B764" s="13" t="s">
        <v>1855</v>
      </c>
      <c r="C764" s="13" t="s">
        <v>452</v>
      </c>
      <c r="D764" s="13" t="s">
        <v>1856</v>
      </c>
      <c r="E764" s="16" t="s">
        <v>13</v>
      </c>
      <c r="F764" s="16" t="s">
        <v>12</v>
      </c>
      <c r="G764" s="16" t="s">
        <v>599</v>
      </c>
      <c r="H764" s="16" t="s">
        <v>599</v>
      </c>
      <c r="I764" s="16">
        <v>3481</v>
      </c>
      <c r="J764" s="16">
        <v>2994</v>
      </c>
      <c r="K764" s="18" t="str">
        <f t="shared" si="3"/>
        <v>contact</v>
      </c>
    </row>
    <row r="765" spans="1:11" x14ac:dyDescent="0.25">
      <c r="A765" s="13" t="s">
        <v>1858</v>
      </c>
      <c r="B765" s="13" t="s">
        <v>1855</v>
      </c>
      <c r="C765" s="13" t="s">
        <v>452</v>
      </c>
      <c r="D765" s="13" t="s">
        <v>1859</v>
      </c>
      <c r="E765" s="16" t="s">
        <v>41</v>
      </c>
      <c r="F765" s="16" t="s">
        <v>468</v>
      </c>
      <c r="G765" s="16" t="s">
        <v>398</v>
      </c>
      <c r="H765" s="16" t="s">
        <v>398</v>
      </c>
      <c r="I765" s="16">
        <v>774</v>
      </c>
      <c r="J765" s="16">
        <v>737</v>
      </c>
      <c r="K765" s="18" t="str">
        <f t="shared" si="3"/>
        <v>contact</v>
      </c>
    </row>
    <row r="766" spans="1:11" x14ac:dyDescent="0.25">
      <c r="A766" s="13" t="s">
        <v>1860</v>
      </c>
      <c r="B766" s="13" t="s">
        <v>1855</v>
      </c>
      <c r="C766" s="13" t="s">
        <v>455</v>
      </c>
      <c r="D766" s="13" t="s">
        <v>1856</v>
      </c>
      <c r="E766" s="16" t="s">
        <v>13</v>
      </c>
      <c r="F766" s="16" t="s">
        <v>12</v>
      </c>
      <c r="G766" s="16" t="s">
        <v>599</v>
      </c>
      <c r="H766" s="16" t="s">
        <v>599</v>
      </c>
      <c r="I766" s="16">
        <v>3248</v>
      </c>
      <c r="J766" s="16">
        <v>2567</v>
      </c>
      <c r="K766" s="18" t="str">
        <f t="shared" si="3"/>
        <v>contact</v>
      </c>
    </row>
    <row r="767" spans="1:11" x14ac:dyDescent="0.25">
      <c r="A767" s="13" t="s">
        <v>1861</v>
      </c>
      <c r="B767" s="13" t="s">
        <v>1855</v>
      </c>
      <c r="C767" s="13" t="s">
        <v>934</v>
      </c>
      <c r="D767" s="13" t="s">
        <v>1862</v>
      </c>
      <c r="E767" s="16" t="s">
        <v>41</v>
      </c>
      <c r="F767" s="16" t="s">
        <v>468</v>
      </c>
      <c r="G767" s="16" t="s">
        <v>434</v>
      </c>
      <c r="H767" s="16" t="s">
        <v>434</v>
      </c>
      <c r="I767" s="16">
        <v>1295</v>
      </c>
      <c r="J767" s="16">
        <v>977</v>
      </c>
      <c r="K767" s="18" t="str">
        <f t="shared" si="3"/>
        <v>contact</v>
      </c>
    </row>
    <row r="768" spans="1:11" x14ac:dyDescent="0.25">
      <c r="A768" s="13" t="s">
        <v>1863</v>
      </c>
      <c r="B768" s="13" t="s">
        <v>1855</v>
      </c>
      <c r="C768" s="13" t="s">
        <v>639</v>
      </c>
      <c r="D768" s="13" t="s">
        <v>1856</v>
      </c>
      <c r="E768" s="16" t="s">
        <v>13</v>
      </c>
      <c r="F768" s="16" t="s">
        <v>12</v>
      </c>
      <c r="G768" s="16" t="s">
        <v>1864</v>
      </c>
      <c r="H768" s="16" t="s">
        <v>1864</v>
      </c>
      <c r="I768" s="16">
        <v>3432</v>
      </c>
      <c r="J768" s="16">
        <v>2903</v>
      </c>
      <c r="K768" s="18" t="str">
        <f t="shared" si="3"/>
        <v>contact</v>
      </c>
    </row>
    <row r="769" spans="1:11" x14ac:dyDescent="0.25">
      <c r="A769" s="13" t="s">
        <v>1865</v>
      </c>
      <c r="B769" s="13" t="s">
        <v>1855</v>
      </c>
      <c r="C769" s="13" t="s">
        <v>489</v>
      </c>
      <c r="D769" s="13" t="s">
        <v>1856</v>
      </c>
      <c r="E769" s="16" t="s">
        <v>13</v>
      </c>
      <c r="F769" s="16" t="s">
        <v>12</v>
      </c>
      <c r="G769" s="16" t="s">
        <v>1266</v>
      </c>
      <c r="H769" s="16" t="s">
        <v>1266</v>
      </c>
      <c r="I769" s="16">
        <v>1948</v>
      </c>
      <c r="J769" s="16">
        <v>1626</v>
      </c>
      <c r="K769" s="18" t="str">
        <f>HYPERLINK("mailto:sukowlessur@govmu.org", "contact")</f>
        <v>contact</v>
      </c>
    </row>
    <row r="770" spans="1:11" x14ac:dyDescent="0.25">
      <c r="A770" s="13" t="s">
        <v>1866</v>
      </c>
      <c r="B770" s="13" t="s">
        <v>1855</v>
      </c>
      <c r="C770" s="13" t="s">
        <v>489</v>
      </c>
      <c r="D770" s="13" t="s">
        <v>1867</v>
      </c>
      <c r="E770" s="16" t="s">
        <v>13</v>
      </c>
      <c r="F770" s="16" t="s">
        <v>12</v>
      </c>
      <c r="G770" s="16" t="s">
        <v>434</v>
      </c>
      <c r="H770" s="16" t="s">
        <v>434</v>
      </c>
      <c r="I770" s="16">
        <v>1171</v>
      </c>
      <c r="J770" s="16">
        <v>886</v>
      </c>
      <c r="K770" s="18" t="str">
        <f>HYPERLINK("mailto:sukowlessur@govmu.org", "contact")</f>
        <v>contact</v>
      </c>
    </row>
    <row r="771" spans="1:11" x14ac:dyDescent="0.25">
      <c r="A771" s="13" t="s">
        <v>236</v>
      </c>
      <c r="B771" s="13" t="s">
        <v>237</v>
      </c>
      <c r="C771" s="13" t="s">
        <v>639</v>
      </c>
      <c r="D771" s="13" t="s">
        <v>380</v>
      </c>
      <c r="E771" s="16" t="s">
        <v>13</v>
      </c>
      <c r="F771" s="16" t="s">
        <v>12</v>
      </c>
      <c r="G771" s="16" t="s">
        <v>398</v>
      </c>
      <c r="H771" s="16" t="s">
        <v>398</v>
      </c>
      <c r="I771" s="16">
        <v>3252</v>
      </c>
      <c r="J771" s="16">
        <v>1690</v>
      </c>
      <c r="K771" s="17" t="s">
        <v>383</v>
      </c>
    </row>
    <row r="772" spans="1:11" x14ac:dyDescent="0.25">
      <c r="A772" s="13" t="s">
        <v>1868</v>
      </c>
      <c r="B772" s="13" t="s">
        <v>237</v>
      </c>
      <c r="C772" s="13" t="s">
        <v>735</v>
      </c>
      <c r="D772" s="13" t="s">
        <v>1869</v>
      </c>
      <c r="E772" s="16" t="s">
        <v>41</v>
      </c>
      <c r="F772" s="16" t="s">
        <v>468</v>
      </c>
      <c r="G772" s="16" t="s">
        <v>394</v>
      </c>
      <c r="H772" s="16" t="s">
        <v>394</v>
      </c>
      <c r="I772" s="16">
        <v>7497</v>
      </c>
      <c r="J772" s="16">
        <v>5830</v>
      </c>
      <c r="K772" s="18" t="str">
        <f>HYPERLINK("mailto:mia.crampin@lshtm.ac.uk", "contact")</f>
        <v>contact</v>
      </c>
    </row>
    <row r="773" spans="1:11" x14ac:dyDescent="0.25">
      <c r="A773" s="13" t="s">
        <v>1870</v>
      </c>
      <c r="B773" s="13" t="s">
        <v>237</v>
      </c>
      <c r="C773" s="13" t="s">
        <v>735</v>
      </c>
      <c r="D773" s="13" t="s">
        <v>1869</v>
      </c>
      <c r="E773" s="16" t="s">
        <v>41</v>
      </c>
      <c r="F773" s="16" t="s">
        <v>40</v>
      </c>
      <c r="G773" s="16" t="s">
        <v>394</v>
      </c>
      <c r="H773" s="16" t="s">
        <v>394</v>
      </c>
      <c r="I773" s="16">
        <v>10291</v>
      </c>
      <c r="J773" s="16">
        <v>5799</v>
      </c>
      <c r="K773" s="18" t="str">
        <f>HYPERLINK("mailto:mia.crampin@lshtm.ac.uk", "contact")</f>
        <v>contact</v>
      </c>
    </row>
    <row r="774" spans="1:11" x14ac:dyDescent="0.25">
      <c r="A774" s="13" t="s">
        <v>238</v>
      </c>
      <c r="B774" s="13" t="s">
        <v>237</v>
      </c>
      <c r="C774" s="13" t="s">
        <v>463</v>
      </c>
      <c r="D774" s="13" t="s">
        <v>380</v>
      </c>
      <c r="E774" s="16" t="s">
        <v>13</v>
      </c>
      <c r="F774" s="16" t="s">
        <v>12</v>
      </c>
      <c r="G774" s="16" t="s">
        <v>381</v>
      </c>
      <c r="H774" s="16" t="s">
        <v>381</v>
      </c>
      <c r="I774" s="16">
        <v>2560</v>
      </c>
      <c r="J774" s="16">
        <v>1485</v>
      </c>
      <c r="K774" s="17" t="s">
        <v>383</v>
      </c>
    </row>
    <row r="775" spans="1:11" x14ac:dyDescent="0.25">
      <c r="A775" s="13" t="s">
        <v>1871</v>
      </c>
      <c r="B775" s="13" t="s">
        <v>1872</v>
      </c>
      <c r="C775" s="13" t="s">
        <v>409</v>
      </c>
      <c r="D775" s="13" t="s">
        <v>1873</v>
      </c>
      <c r="E775" s="16" t="s">
        <v>13</v>
      </c>
      <c r="F775" s="16" t="s">
        <v>12</v>
      </c>
      <c r="G775" s="16" t="s">
        <v>394</v>
      </c>
      <c r="H775" s="16" t="s">
        <v>394</v>
      </c>
      <c r="I775" s="16">
        <v>9840</v>
      </c>
      <c r="J775" s="16">
        <v>7362</v>
      </c>
      <c r="K775" s="18" t="str">
        <f>HYPERLINK("mailto:lekhraj@upm.edu.my; dr_rampal1@hotmail.com", "contact")</f>
        <v>contact</v>
      </c>
    </row>
    <row r="776" spans="1:11" x14ac:dyDescent="0.25">
      <c r="A776" s="13" t="s">
        <v>1874</v>
      </c>
      <c r="B776" s="13" t="s">
        <v>1872</v>
      </c>
      <c r="C776" s="13" t="s">
        <v>496</v>
      </c>
      <c r="D776" s="13" t="s">
        <v>1875</v>
      </c>
      <c r="E776" s="16" t="s">
        <v>13</v>
      </c>
      <c r="F776" s="16" t="s">
        <v>12</v>
      </c>
      <c r="G776" s="16" t="s">
        <v>394</v>
      </c>
      <c r="H776" s="16" t="s">
        <v>394</v>
      </c>
      <c r="I776" s="16">
        <v>18176</v>
      </c>
      <c r="J776" s="16">
        <v>15274</v>
      </c>
      <c r="K776" s="18" t="str">
        <f>HYPERLINK("mailto:drazahadi@moh.gov.my", "contact")</f>
        <v>contact</v>
      </c>
    </row>
    <row r="777" spans="1:11" x14ac:dyDescent="0.25">
      <c r="A777" s="13" t="s">
        <v>1876</v>
      </c>
      <c r="B777" s="13" t="s">
        <v>1872</v>
      </c>
      <c r="C777" s="13" t="s">
        <v>479</v>
      </c>
      <c r="D777" s="13" t="s">
        <v>1877</v>
      </c>
      <c r="E777" s="16" t="s">
        <v>13</v>
      </c>
      <c r="F777" s="16" t="s">
        <v>468</v>
      </c>
      <c r="G777" s="16" t="s">
        <v>394</v>
      </c>
      <c r="H777" s="16" t="s">
        <v>394</v>
      </c>
      <c r="I777" s="16">
        <v>1360</v>
      </c>
      <c r="J777" s="16">
        <v>749</v>
      </c>
      <c r="K777" s="18" t="str">
        <f>HYPERLINK("mailto:azwany@usm.my", "contact")</f>
        <v>contact</v>
      </c>
    </row>
    <row r="778" spans="1:11" x14ac:dyDescent="0.25">
      <c r="A778" s="13" t="s">
        <v>1878</v>
      </c>
      <c r="B778" s="13" t="s">
        <v>1872</v>
      </c>
      <c r="C778" s="13" t="s">
        <v>479</v>
      </c>
      <c r="D778" s="13" t="s">
        <v>1877</v>
      </c>
      <c r="E778" s="16" t="s">
        <v>13</v>
      </c>
      <c r="F778" s="16" t="s">
        <v>40</v>
      </c>
      <c r="G778" s="16" t="s">
        <v>394</v>
      </c>
      <c r="H778" s="16" t="s">
        <v>394</v>
      </c>
      <c r="I778" s="16">
        <v>1435</v>
      </c>
      <c r="J778" s="16">
        <v>765</v>
      </c>
      <c r="K778" s="18" t="str">
        <f>HYPERLINK("mailto:azwany@usm.my", "contact")</f>
        <v>contact</v>
      </c>
    </row>
    <row r="779" spans="1:11" x14ac:dyDescent="0.25">
      <c r="A779" s="13" t="s">
        <v>1879</v>
      </c>
      <c r="B779" s="13" t="s">
        <v>1872</v>
      </c>
      <c r="C779" s="13" t="s">
        <v>499</v>
      </c>
      <c r="D779" s="13" t="s">
        <v>1875</v>
      </c>
      <c r="E779" s="16" t="s">
        <v>13</v>
      </c>
      <c r="F779" s="16" t="s">
        <v>12</v>
      </c>
      <c r="G779" s="16" t="s">
        <v>394</v>
      </c>
      <c r="H779" s="16" t="s">
        <v>394</v>
      </c>
      <c r="I779" s="16">
        <v>8844</v>
      </c>
      <c r="J779" s="16">
        <v>8090</v>
      </c>
      <c r="K779" s="18" t="str">
        <f>HYPERLINK("mailto:fadhli_my@moh.gov.my", "contact")</f>
        <v>contact</v>
      </c>
    </row>
    <row r="780" spans="1:11" x14ac:dyDescent="0.25">
      <c r="A780" s="13" t="s">
        <v>1880</v>
      </c>
      <c r="B780" s="13" t="s">
        <v>1872</v>
      </c>
      <c r="C780" s="13" t="s">
        <v>489</v>
      </c>
      <c r="D780" s="13" t="s">
        <v>1875</v>
      </c>
      <c r="E780" s="16" t="s">
        <v>13</v>
      </c>
      <c r="F780" s="16" t="s">
        <v>12</v>
      </c>
      <c r="G780" s="16" t="s">
        <v>394</v>
      </c>
      <c r="H780" s="16" t="s">
        <v>394</v>
      </c>
      <c r="I780" s="16">
        <v>10411</v>
      </c>
      <c r="J780" s="16">
        <v>9439</v>
      </c>
      <c r="K780" s="18" t="str">
        <f>HYPERLINK("mailto:tahir.a@moh.gov.my", "contact")</f>
        <v>contact</v>
      </c>
    </row>
    <row r="781" spans="1:11" x14ac:dyDescent="0.25">
      <c r="A781" s="13" t="s">
        <v>1881</v>
      </c>
      <c r="B781" s="13" t="s">
        <v>1872</v>
      </c>
      <c r="C781" s="13" t="s">
        <v>511</v>
      </c>
      <c r="D781" s="13" t="s">
        <v>1875</v>
      </c>
      <c r="E781" s="16" t="s">
        <v>13</v>
      </c>
      <c r="F781" s="16" t="s">
        <v>12</v>
      </c>
      <c r="G781" s="16" t="s">
        <v>394</v>
      </c>
      <c r="H781" s="16" t="s">
        <v>394</v>
      </c>
      <c r="I781" s="16">
        <v>5555</v>
      </c>
      <c r="J781" s="16">
        <v>4783</v>
      </c>
      <c r="K781" s="18" t="str">
        <f>HYPERLINK("mailto:ncdrisc@imperial.ac.uk", "contact")</f>
        <v>contact</v>
      </c>
    </row>
    <row r="782" spans="1:11" x14ac:dyDescent="0.25">
      <c r="A782" s="13" t="s">
        <v>240</v>
      </c>
      <c r="B782" s="13" t="s">
        <v>241</v>
      </c>
      <c r="C782" s="13" t="s">
        <v>490</v>
      </c>
      <c r="D782" s="13" t="s">
        <v>1882</v>
      </c>
      <c r="E782" s="16" t="s">
        <v>13</v>
      </c>
      <c r="F782" s="16" t="s">
        <v>12</v>
      </c>
      <c r="G782" s="16" t="s">
        <v>1557</v>
      </c>
      <c r="H782" s="16" t="s">
        <v>1557</v>
      </c>
      <c r="I782" s="16">
        <v>2054</v>
      </c>
      <c r="J782" s="16">
        <v>1551</v>
      </c>
      <c r="K782" s="17" t="s">
        <v>383</v>
      </c>
    </row>
    <row r="783" spans="1:11" x14ac:dyDescent="0.25">
      <c r="A783" s="13" t="s">
        <v>243</v>
      </c>
      <c r="B783" s="13" t="s">
        <v>244</v>
      </c>
      <c r="C783" s="13" t="s">
        <v>491</v>
      </c>
      <c r="D783" s="13" t="s">
        <v>380</v>
      </c>
      <c r="E783" s="16" t="s">
        <v>13</v>
      </c>
      <c r="F783" s="16" t="s">
        <v>12</v>
      </c>
      <c r="G783" s="16" t="s">
        <v>381</v>
      </c>
      <c r="H783" s="16" t="s">
        <v>381</v>
      </c>
      <c r="I783" s="16">
        <v>3076</v>
      </c>
      <c r="J783" s="16">
        <v>2283</v>
      </c>
      <c r="K783" s="17" t="s">
        <v>383</v>
      </c>
    </row>
    <row r="784" spans="1:11" x14ac:dyDescent="0.25">
      <c r="A784" s="13" t="s">
        <v>1883</v>
      </c>
      <c r="B784" s="13" t="s">
        <v>1884</v>
      </c>
      <c r="C784" s="13" t="s">
        <v>455</v>
      </c>
      <c r="D784" s="13" t="s">
        <v>1885</v>
      </c>
      <c r="E784" s="16" t="s">
        <v>41</v>
      </c>
      <c r="F784" s="16" t="s">
        <v>468</v>
      </c>
      <c r="G784" s="16" t="s">
        <v>1456</v>
      </c>
      <c r="H784" s="16" t="s">
        <v>1456</v>
      </c>
      <c r="I784" s="16">
        <v>120</v>
      </c>
      <c r="J784" s="16">
        <v>222</v>
      </c>
      <c r="K784" s="18" t="str">
        <f>HYPERLINK("mailto:ncdrisc@imperial.ac.uk", "contact")</f>
        <v>contact</v>
      </c>
    </row>
    <row r="785" spans="1:11" x14ac:dyDescent="0.25">
      <c r="A785" s="13" t="s">
        <v>1886</v>
      </c>
      <c r="B785" s="13" t="s">
        <v>1884</v>
      </c>
      <c r="C785" s="13" t="s">
        <v>1887</v>
      </c>
      <c r="D785" s="13" t="s">
        <v>1888</v>
      </c>
      <c r="E785" s="16" t="s">
        <v>53</v>
      </c>
      <c r="F785" s="16" t="s">
        <v>12</v>
      </c>
      <c r="G785" s="16"/>
      <c r="H785" s="16" t="s">
        <v>501</v>
      </c>
      <c r="I785" s="16"/>
      <c r="J785" s="16">
        <v>447</v>
      </c>
      <c r="K785" s="18" t="str">
        <f>HYPERLINK("mailto:fukoli@mmc.edu", "contact")</f>
        <v>contact</v>
      </c>
    </row>
    <row r="786" spans="1:11" x14ac:dyDescent="0.25">
      <c r="A786" s="13" t="s">
        <v>1889</v>
      </c>
      <c r="B786" s="13" t="s">
        <v>1884</v>
      </c>
      <c r="C786" s="13" t="s">
        <v>496</v>
      </c>
      <c r="D786" s="13" t="s">
        <v>1890</v>
      </c>
      <c r="E786" s="16" t="s">
        <v>41</v>
      </c>
      <c r="F786" s="16" t="s">
        <v>40</v>
      </c>
      <c r="G786" s="16" t="s">
        <v>394</v>
      </c>
      <c r="H786" s="16" t="s">
        <v>394</v>
      </c>
      <c r="I786" s="16">
        <v>106</v>
      </c>
      <c r="J786" s="16">
        <v>87</v>
      </c>
      <c r="K786" s="18" t="str">
        <f>HYPERLINK("mailto:abjibo@ub.sa.edu", "contact")</f>
        <v>contact</v>
      </c>
    </row>
    <row r="787" spans="1:11" x14ac:dyDescent="0.25">
      <c r="A787" s="13" t="s">
        <v>1891</v>
      </c>
      <c r="B787" s="13" t="s">
        <v>1884</v>
      </c>
      <c r="C787" s="13" t="s">
        <v>488</v>
      </c>
      <c r="D787" s="13" t="s">
        <v>1892</v>
      </c>
      <c r="E787" s="16" t="s">
        <v>41</v>
      </c>
      <c r="F787" s="16" t="s">
        <v>468</v>
      </c>
      <c r="G787" s="16" t="s">
        <v>398</v>
      </c>
      <c r="H787" s="16" t="s">
        <v>398</v>
      </c>
      <c r="I787" s="16">
        <v>442</v>
      </c>
      <c r="J787" s="16">
        <v>169</v>
      </c>
      <c r="K787" s="18" t="str">
        <f>HYPERLINK("mailto:chinwuba.ijoma@unn.edu.ng", "contact")</f>
        <v>contact</v>
      </c>
    </row>
    <row r="788" spans="1:11" x14ac:dyDescent="0.25">
      <c r="A788" s="13" t="s">
        <v>1893</v>
      </c>
      <c r="B788" s="13" t="s">
        <v>1884</v>
      </c>
      <c r="C788" s="13" t="s">
        <v>616</v>
      </c>
      <c r="D788" s="13" t="s">
        <v>1894</v>
      </c>
      <c r="E788" s="16" t="s">
        <v>41</v>
      </c>
      <c r="F788" s="16" t="s">
        <v>40</v>
      </c>
      <c r="G788" s="16" t="s">
        <v>614</v>
      </c>
      <c r="H788" s="16" t="s">
        <v>614</v>
      </c>
      <c r="I788" s="16">
        <v>331</v>
      </c>
      <c r="J788" s="16">
        <v>381</v>
      </c>
      <c r="K788" s="18" t="str">
        <f>HYPERLINK("mailto:ofemenang07@gmail.com", "contact")</f>
        <v>contact</v>
      </c>
    </row>
    <row r="789" spans="1:11" x14ac:dyDescent="0.25">
      <c r="A789" s="13" t="s">
        <v>1895</v>
      </c>
      <c r="B789" s="13" t="s">
        <v>1896</v>
      </c>
      <c r="C789" s="13" t="s">
        <v>920</v>
      </c>
      <c r="D789" s="13" t="s">
        <v>521</v>
      </c>
      <c r="E789" s="16" t="s">
        <v>41</v>
      </c>
      <c r="F789" s="16" t="s">
        <v>40</v>
      </c>
      <c r="G789" s="16" t="s">
        <v>434</v>
      </c>
      <c r="H789" s="16" t="s">
        <v>434</v>
      </c>
      <c r="I789" s="16">
        <v>919</v>
      </c>
      <c r="J789" s="16">
        <v>781</v>
      </c>
      <c r="K789" s="18" t="str">
        <f>HYPERLINK("mailto:abarcelo@med.miami.edu", "contact")</f>
        <v>contact</v>
      </c>
    </row>
    <row r="790" spans="1:11" x14ac:dyDescent="0.25">
      <c r="A790" s="13" t="s">
        <v>1897</v>
      </c>
      <c r="B790" s="13" t="s">
        <v>1898</v>
      </c>
      <c r="C790" s="13" t="s">
        <v>1537</v>
      </c>
      <c r="D790" s="13" t="s">
        <v>929</v>
      </c>
      <c r="E790" s="16" t="s">
        <v>41</v>
      </c>
      <c r="F790" s="16" t="s">
        <v>40</v>
      </c>
      <c r="G790" s="16" t="s">
        <v>1899</v>
      </c>
      <c r="H790" s="16" t="s">
        <v>1899</v>
      </c>
      <c r="I790" s="16">
        <v>1322</v>
      </c>
      <c r="J790" s="16">
        <v>1131</v>
      </c>
      <c r="K790" s="18" t="str">
        <f>HYPERLINK("mailto:ncdrisc@imperial.ac.uk", "contact")</f>
        <v>contact</v>
      </c>
    </row>
    <row r="791" spans="1:11" x14ac:dyDescent="0.25">
      <c r="A791" s="13" t="s">
        <v>1900</v>
      </c>
      <c r="B791" s="13" t="s">
        <v>1898</v>
      </c>
      <c r="C791" s="13" t="s">
        <v>1537</v>
      </c>
      <c r="D791" s="13" t="s">
        <v>1901</v>
      </c>
      <c r="E791" s="16" t="s">
        <v>41</v>
      </c>
      <c r="F791" s="16" t="s">
        <v>40</v>
      </c>
      <c r="G791" s="16"/>
      <c r="H791" s="16" t="s">
        <v>1902</v>
      </c>
      <c r="I791" s="16"/>
      <c r="J791" s="16">
        <v>555</v>
      </c>
      <c r="K791" s="18" t="str">
        <f>HYPERLINK("mailto:d.kromhout@umcg.nl", "contact")</f>
        <v>contact</v>
      </c>
    </row>
    <row r="792" spans="1:11" x14ac:dyDescent="0.25">
      <c r="A792" s="13" t="s">
        <v>1903</v>
      </c>
      <c r="B792" s="13" t="s">
        <v>1898</v>
      </c>
      <c r="C792" s="13" t="s">
        <v>681</v>
      </c>
      <c r="D792" s="13" t="s">
        <v>1904</v>
      </c>
      <c r="E792" s="16" t="s">
        <v>53</v>
      </c>
      <c r="F792" s="16" t="s">
        <v>12</v>
      </c>
      <c r="G792" s="16" t="s">
        <v>1905</v>
      </c>
      <c r="H792" s="16" t="s">
        <v>1905</v>
      </c>
      <c r="I792" s="16">
        <v>780</v>
      </c>
      <c r="J792" s="16">
        <v>725</v>
      </c>
      <c r="K792" s="18" t="str">
        <f>HYPERLINK("mailto:ma.huisman@vumc.nl", "contact")</f>
        <v>contact</v>
      </c>
    </row>
    <row r="793" spans="1:11" x14ac:dyDescent="0.25">
      <c r="A793" s="13" t="s">
        <v>1906</v>
      </c>
      <c r="B793" s="13" t="s">
        <v>1898</v>
      </c>
      <c r="C793" s="13" t="s">
        <v>1014</v>
      </c>
      <c r="D793" s="13" t="s">
        <v>1907</v>
      </c>
      <c r="E793" s="16" t="s">
        <v>13</v>
      </c>
      <c r="F793" s="16" t="s">
        <v>12</v>
      </c>
      <c r="G793" s="16" t="s">
        <v>1908</v>
      </c>
      <c r="H793" s="16" t="s">
        <v>1908</v>
      </c>
      <c r="I793" s="16">
        <v>2305</v>
      </c>
      <c r="J793" s="16">
        <v>2323</v>
      </c>
      <c r="K793" s="18" t="str">
        <f>HYPERLINK("mailto:Lucie.Viet@rivm.nl", "contact")</f>
        <v>contact</v>
      </c>
    </row>
    <row r="794" spans="1:11" x14ac:dyDescent="0.25">
      <c r="A794" s="13" t="s">
        <v>1909</v>
      </c>
      <c r="B794" s="13" t="s">
        <v>1898</v>
      </c>
      <c r="C794" s="13" t="s">
        <v>943</v>
      </c>
      <c r="D794" s="13" t="s">
        <v>1910</v>
      </c>
      <c r="E794" s="16" t="s">
        <v>41</v>
      </c>
      <c r="F794" s="16" t="s">
        <v>40</v>
      </c>
      <c r="G794" s="16" t="s">
        <v>1911</v>
      </c>
      <c r="H794" s="16" t="s">
        <v>1911</v>
      </c>
      <c r="I794" s="16">
        <v>257</v>
      </c>
      <c r="J794" s="16">
        <v>251</v>
      </c>
      <c r="K794" s="18" t="str">
        <f>HYPERLINK("mailto:i.g.vanvalkengoed@amc.uva.nl", "contact")</f>
        <v>contact</v>
      </c>
    </row>
    <row r="795" spans="1:11" x14ac:dyDescent="0.25">
      <c r="A795" s="13" t="s">
        <v>1912</v>
      </c>
      <c r="B795" s="13" t="s">
        <v>1898</v>
      </c>
      <c r="C795" s="13" t="s">
        <v>712</v>
      </c>
      <c r="D795" s="13" t="s">
        <v>1904</v>
      </c>
      <c r="E795" s="16" t="s">
        <v>53</v>
      </c>
      <c r="F795" s="16" t="s">
        <v>12</v>
      </c>
      <c r="G795" s="16" t="s">
        <v>1913</v>
      </c>
      <c r="H795" s="16" t="s">
        <v>1913</v>
      </c>
      <c r="I795" s="16">
        <v>827</v>
      </c>
      <c r="J795" s="16">
        <v>665</v>
      </c>
      <c r="K795" s="18" t="str">
        <f>HYPERLINK("mailto:ma.huisman@vumc.nl", "contact")</f>
        <v>contact</v>
      </c>
    </row>
    <row r="796" spans="1:11" x14ac:dyDescent="0.25">
      <c r="A796" s="13" t="s">
        <v>1914</v>
      </c>
      <c r="B796" s="13" t="s">
        <v>1898</v>
      </c>
      <c r="C796" s="13" t="s">
        <v>562</v>
      </c>
      <c r="D796" s="13" t="s">
        <v>1904</v>
      </c>
      <c r="E796" s="16" t="s">
        <v>53</v>
      </c>
      <c r="F796" s="16" t="s">
        <v>12</v>
      </c>
      <c r="G796" s="16" t="s">
        <v>1915</v>
      </c>
      <c r="H796" s="16" t="s">
        <v>1915</v>
      </c>
      <c r="I796" s="16">
        <v>454</v>
      </c>
      <c r="J796" s="16">
        <v>433</v>
      </c>
      <c r="K796" s="18" t="str">
        <f>HYPERLINK("mailto:ma.huisman@vumc.nl", "contact")</f>
        <v>contact</v>
      </c>
    </row>
    <row r="797" spans="1:11" x14ac:dyDescent="0.25">
      <c r="A797" s="13" t="s">
        <v>1916</v>
      </c>
      <c r="B797" s="13" t="s">
        <v>1917</v>
      </c>
      <c r="C797" s="13" t="s">
        <v>940</v>
      </c>
      <c r="D797" s="13" t="s">
        <v>1918</v>
      </c>
      <c r="E797" s="16" t="s">
        <v>41</v>
      </c>
      <c r="F797" s="16" t="s">
        <v>12</v>
      </c>
      <c r="G797" s="16" t="s">
        <v>686</v>
      </c>
      <c r="H797" s="16" t="s">
        <v>686</v>
      </c>
      <c r="I797" s="16">
        <v>3576</v>
      </c>
      <c r="J797" s="16">
        <v>2536</v>
      </c>
      <c r="K797" s="18" t="str">
        <f>HYPERLINK("mailto:tom.wilsgaard@uit.no", "contact")</f>
        <v>contact</v>
      </c>
    </row>
    <row r="798" spans="1:11" x14ac:dyDescent="0.25">
      <c r="A798" s="13" t="s">
        <v>1919</v>
      </c>
      <c r="B798" s="13" t="s">
        <v>1917</v>
      </c>
      <c r="C798" s="13" t="s">
        <v>880</v>
      </c>
      <c r="D798" s="13" t="s">
        <v>1920</v>
      </c>
      <c r="E798" s="16" t="s">
        <v>41</v>
      </c>
      <c r="F798" s="16" t="s">
        <v>12</v>
      </c>
      <c r="G798" s="16" t="s">
        <v>1921</v>
      </c>
      <c r="H798" s="16" t="s">
        <v>1921</v>
      </c>
      <c r="I798" s="16">
        <v>6709</v>
      </c>
      <c r="J798" s="16">
        <v>5927</v>
      </c>
      <c r="K798" s="18" t="str">
        <f>HYPERLINK("mailto:tom.wilsgaard@uit.no", "contact")</f>
        <v>contact</v>
      </c>
    </row>
    <row r="799" spans="1:11" x14ac:dyDescent="0.25">
      <c r="A799" s="13" t="s">
        <v>1922</v>
      </c>
      <c r="B799" s="13" t="s">
        <v>1917</v>
      </c>
      <c r="C799" s="13" t="s">
        <v>1095</v>
      </c>
      <c r="D799" s="13" t="s">
        <v>1923</v>
      </c>
      <c r="E799" s="16" t="s">
        <v>41</v>
      </c>
      <c r="F799" s="16" t="s">
        <v>468</v>
      </c>
      <c r="G799" s="16" t="s">
        <v>770</v>
      </c>
      <c r="H799" s="16" t="s">
        <v>770</v>
      </c>
      <c r="I799" s="16">
        <v>29556</v>
      </c>
      <c r="J799" s="16">
        <v>24585</v>
      </c>
      <c r="K799" s="18" t="str">
        <f>HYPERLINK("mailto:abhijit.sen@ntnu.no; abhse@tkmidt.no", "contact")</f>
        <v>contact</v>
      </c>
    </row>
    <row r="800" spans="1:11" x14ac:dyDescent="0.25">
      <c r="A800" s="13" t="s">
        <v>1924</v>
      </c>
      <c r="B800" s="13" t="s">
        <v>247</v>
      </c>
      <c r="C800" s="13" t="s">
        <v>1537</v>
      </c>
      <c r="D800" s="13" t="s">
        <v>1925</v>
      </c>
      <c r="E800" s="16" t="s">
        <v>41</v>
      </c>
      <c r="F800" s="16" t="s">
        <v>468</v>
      </c>
      <c r="G800" s="16"/>
      <c r="H800" s="16" t="s">
        <v>434</v>
      </c>
      <c r="I800" s="16"/>
      <c r="J800" s="16">
        <v>85</v>
      </c>
      <c r="K800" s="18" t="str">
        <f>HYPERLINK("mailto:ncdrisc@imperial.ac.uk", "contact")</f>
        <v>contact</v>
      </c>
    </row>
    <row r="801" spans="1:11" x14ac:dyDescent="0.25">
      <c r="A801" s="13" t="s">
        <v>1926</v>
      </c>
      <c r="B801" s="13" t="s">
        <v>247</v>
      </c>
      <c r="C801" s="13" t="s">
        <v>666</v>
      </c>
      <c r="D801" s="13" t="s">
        <v>1927</v>
      </c>
      <c r="E801" s="16" t="s">
        <v>53</v>
      </c>
      <c r="F801" s="16" t="s">
        <v>468</v>
      </c>
      <c r="G801" s="16" t="s">
        <v>434</v>
      </c>
      <c r="H801" s="16" t="s">
        <v>434</v>
      </c>
      <c r="I801" s="16">
        <v>235</v>
      </c>
      <c r="J801" s="16">
        <v>105</v>
      </c>
      <c r="K801" s="18" t="str">
        <f>HYPERLINK("mailto:ncdrisc@imperial.ac.uk", "contact")</f>
        <v>contact</v>
      </c>
    </row>
    <row r="802" spans="1:11" x14ac:dyDescent="0.25">
      <c r="A802" s="13" t="s">
        <v>1928</v>
      </c>
      <c r="B802" s="13" t="s">
        <v>247</v>
      </c>
      <c r="C802" s="13" t="s">
        <v>666</v>
      </c>
      <c r="D802" s="13" t="s">
        <v>1927</v>
      </c>
      <c r="E802" s="16" t="s">
        <v>53</v>
      </c>
      <c r="F802" s="16" t="s">
        <v>40</v>
      </c>
      <c r="G802" s="16" t="s">
        <v>434</v>
      </c>
      <c r="H802" s="16" t="s">
        <v>434</v>
      </c>
      <c r="I802" s="16">
        <v>456</v>
      </c>
      <c r="J802" s="16">
        <v>442</v>
      </c>
      <c r="K802" s="18" t="str">
        <f>HYPERLINK("mailto:ncdrisc@imperial.ac.uk", "contact")</f>
        <v>contact</v>
      </c>
    </row>
    <row r="803" spans="1:11" x14ac:dyDescent="0.25">
      <c r="A803" s="13" t="s">
        <v>1929</v>
      </c>
      <c r="B803" s="13" t="s">
        <v>247</v>
      </c>
      <c r="C803" s="13" t="s">
        <v>1930</v>
      </c>
      <c r="D803" s="13" t="s">
        <v>1931</v>
      </c>
      <c r="E803" s="16" t="s">
        <v>41</v>
      </c>
      <c r="F803" s="16" t="s">
        <v>468</v>
      </c>
      <c r="G803" s="16" t="s">
        <v>394</v>
      </c>
      <c r="H803" s="16" t="s">
        <v>394</v>
      </c>
      <c r="I803" s="16">
        <v>2351</v>
      </c>
      <c r="J803" s="16">
        <v>1176</v>
      </c>
      <c r="K803" s="18" t="str">
        <f>HYPERLINK("mailto:drsanjib@yahoo.com", "contact")</f>
        <v>contact</v>
      </c>
    </row>
    <row r="804" spans="1:11" x14ac:dyDescent="0.25">
      <c r="A804" s="13" t="s">
        <v>1932</v>
      </c>
      <c r="B804" s="13" t="s">
        <v>247</v>
      </c>
      <c r="C804" s="13" t="s">
        <v>1930</v>
      </c>
      <c r="D804" s="13" t="s">
        <v>1933</v>
      </c>
      <c r="E804" s="16" t="s">
        <v>41</v>
      </c>
      <c r="F804" s="16" t="s">
        <v>40</v>
      </c>
      <c r="G804" s="16" t="s">
        <v>394</v>
      </c>
      <c r="H804" s="16" t="s">
        <v>394</v>
      </c>
      <c r="I804" s="16">
        <v>1577</v>
      </c>
      <c r="J804" s="16">
        <v>1095</v>
      </c>
      <c r="K804" s="18" t="str">
        <f>HYPERLINK("mailto:drsanjib@yahoo.com", "contact")</f>
        <v>contact</v>
      </c>
    </row>
    <row r="805" spans="1:11" x14ac:dyDescent="0.25">
      <c r="A805" s="13" t="s">
        <v>1934</v>
      </c>
      <c r="B805" s="13" t="s">
        <v>247</v>
      </c>
      <c r="C805" s="13" t="s">
        <v>1930</v>
      </c>
      <c r="D805" s="13" t="s">
        <v>1935</v>
      </c>
      <c r="E805" s="16" t="s">
        <v>41</v>
      </c>
      <c r="F805" s="16" t="s">
        <v>40</v>
      </c>
      <c r="G805" s="16" t="s">
        <v>394</v>
      </c>
      <c r="H805" s="16" t="s">
        <v>394</v>
      </c>
      <c r="I805" s="16">
        <v>6130</v>
      </c>
      <c r="J805" s="16">
        <v>4130</v>
      </c>
      <c r="K805" s="18" t="str">
        <f>HYPERLINK("mailto:drsanjib@yahoo.com", "contact")</f>
        <v>contact</v>
      </c>
    </row>
    <row r="806" spans="1:11" x14ac:dyDescent="0.25">
      <c r="A806" s="13" t="s">
        <v>246</v>
      </c>
      <c r="B806" s="13" t="s">
        <v>247</v>
      </c>
      <c r="C806" s="13" t="s">
        <v>562</v>
      </c>
      <c r="D806" s="13" t="s">
        <v>380</v>
      </c>
      <c r="E806" s="16" t="s">
        <v>13</v>
      </c>
      <c r="F806" s="16" t="s">
        <v>12</v>
      </c>
      <c r="G806" s="16" t="s">
        <v>381</v>
      </c>
      <c r="H806" s="16" t="s">
        <v>381</v>
      </c>
      <c r="I806" s="16">
        <v>2702</v>
      </c>
      <c r="J806" s="16">
        <v>1276</v>
      </c>
      <c r="K806" s="17" t="s">
        <v>383</v>
      </c>
    </row>
    <row r="807" spans="1:11" x14ac:dyDescent="0.25">
      <c r="A807" s="13" t="s">
        <v>1936</v>
      </c>
      <c r="B807" s="13" t="s">
        <v>247</v>
      </c>
      <c r="C807" s="13" t="s">
        <v>489</v>
      </c>
      <c r="D807" s="13" t="s">
        <v>1937</v>
      </c>
      <c r="E807" s="16" t="s">
        <v>53</v>
      </c>
      <c r="F807" s="16" t="s">
        <v>468</v>
      </c>
      <c r="G807" s="16" t="s">
        <v>381</v>
      </c>
      <c r="H807" s="16" t="s">
        <v>381</v>
      </c>
      <c r="I807" s="16">
        <v>779</v>
      </c>
      <c r="J807" s="16">
        <v>555</v>
      </c>
      <c r="K807" s="18" t="str">
        <f>HYPERLINK("https://extranet.who.int/ncdsmicrodata/index.php/catalog/", "website")</f>
        <v>website</v>
      </c>
    </row>
    <row r="808" spans="1:11" x14ac:dyDescent="0.25">
      <c r="A808" s="13" t="s">
        <v>1938</v>
      </c>
      <c r="B808" s="13" t="s">
        <v>247</v>
      </c>
      <c r="C808" s="13" t="s">
        <v>489</v>
      </c>
      <c r="D808" s="13" t="s">
        <v>1939</v>
      </c>
      <c r="E808" s="16" t="s">
        <v>53</v>
      </c>
      <c r="F808" s="16" t="s">
        <v>468</v>
      </c>
      <c r="G808" s="16" t="s">
        <v>381</v>
      </c>
      <c r="H808" s="16" t="s">
        <v>381</v>
      </c>
      <c r="I808" s="16">
        <v>717</v>
      </c>
      <c r="J808" s="16">
        <v>553</v>
      </c>
      <c r="K808" s="18" t="str">
        <f>HYPERLINK("https://extranet.who.int/ncdsmicrodata/index.php/catalog/", "website")</f>
        <v>website</v>
      </c>
    </row>
    <row r="809" spans="1:11" x14ac:dyDescent="0.25">
      <c r="A809" s="13" t="s">
        <v>1940</v>
      </c>
      <c r="B809" s="13" t="s">
        <v>247</v>
      </c>
      <c r="C809" s="13" t="s">
        <v>745</v>
      </c>
      <c r="D809" s="13" t="s">
        <v>1941</v>
      </c>
      <c r="E809" s="16" t="s">
        <v>13</v>
      </c>
      <c r="F809" s="16" t="s">
        <v>12</v>
      </c>
      <c r="G809" s="16" t="s">
        <v>434</v>
      </c>
      <c r="H809" s="16" t="s">
        <v>434</v>
      </c>
      <c r="I809" s="16">
        <v>7423</v>
      </c>
      <c r="J809" s="16">
        <v>4834</v>
      </c>
      <c r="K809" s="18" t="str">
        <f>HYPERLINK("mailto:namunashrestha12@gmail.com", "contact")</f>
        <v>contact</v>
      </c>
    </row>
    <row r="810" spans="1:11" x14ac:dyDescent="0.25">
      <c r="A810" s="13" t="s">
        <v>248</v>
      </c>
      <c r="B810" s="13" t="s">
        <v>247</v>
      </c>
      <c r="C810" s="13" t="s">
        <v>511</v>
      </c>
      <c r="D810" s="13" t="s">
        <v>380</v>
      </c>
      <c r="E810" s="16" t="s">
        <v>13</v>
      </c>
      <c r="F810" s="16" t="s">
        <v>12</v>
      </c>
      <c r="G810" s="16" t="s">
        <v>381</v>
      </c>
      <c r="H810" s="16" t="s">
        <v>381</v>
      </c>
      <c r="I810" s="16">
        <v>3400</v>
      </c>
      <c r="J810" s="16">
        <v>1910</v>
      </c>
      <c r="K810" s="17" t="s">
        <v>383</v>
      </c>
    </row>
    <row r="811" spans="1:11" x14ac:dyDescent="0.25">
      <c r="A811" s="13" t="s">
        <v>1942</v>
      </c>
      <c r="B811" s="13" t="s">
        <v>251</v>
      </c>
      <c r="C811" s="13" t="s">
        <v>1520</v>
      </c>
      <c r="D811" s="13" t="s">
        <v>1943</v>
      </c>
      <c r="E811" s="16" t="s">
        <v>13</v>
      </c>
      <c r="F811" s="16" t="s">
        <v>12</v>
      </c>
      <c r="G811" s="16" t="s">
        <v>434</v>
      </c>
      <c r="H811" s="16" t="s">
        <v>434</v>
      </c>
      <c r="I811" s="16">
        <v>775</v>
      </c>
      <c r="J811" s="16">
        <v>706</v>
      </c>
      <c r="K811" s="18" t="str">
        <f>HYPERLINK("mailto:dianna.magliano@bakeridi.edu.au", "contact")</f>
        <v>contact</v>
      </c>
    </row>
    <row r="812" spans="1:11" x14ac:dyDescent="0.25">
      <c r="A812" s="13" t="s">
        <v>1944</v>
      </c>
      <c r="B812" s="13" t="s">
        <v>251</v>
      </c>
      <c r="C812" s="13" t="s">
        <v>1643</v>
      </c>
      <c r="D812" s="13" t="s">
        <v>1943</v>
      </c>
      <c r="E812" s="16" t="s">
        <v>13</v>
      </c>
      <c r="F812" s="16" t="s">
        <v>12</v>
      </c>
      <c r="G812" s="16" t="s">
        <v>434</v>
      </c>
      <c r="H812" s="16" t="s">
        <v>434</v>
      </c>
      <c r="I812" s="16">
        <v>662</v>
      </c>
      <c r="J812" s="16">
        <v>554</v>
      </c>
      <c r="K812" s="18" t="str">
        <f>HYPERLINK("mailto:dianna.magliano@bakeridi.edu.au", "contact")</f>
        <v>contact</v>
      </c>
    </row>
    <row r="813" spans="1:11" x14ac:dyDescent="0.25">
      <c r="A813" s="13" t="s">
        <v>1945</v>
      </c>
      <c r="B813" s="13" t="s">
        <v>251</v>
      </c>
      <c r="C813" s="13" t="s">
        <v>406</v>
      </c>
      <c r="D813" s="13" t="s">
        <v>1943</v>
      </c>
      <c r="E813" s="16" t="s">
        <v>13</v>
      </c>
      <c r="F813" s="16" t="s">
        <v>12</v>
      </c>
      <c r="G813" s="16" t="s">
        <v>414</v>
      </c>
      <c r="H813" s="16" t="s">
        <v>414</v>
      </c>
      <c r="I813" s="16">
        <v>735</v>
      </c>
      <c r="J813" s="16">
        <v>652</v>
      </c>
      <c r="K813" s="18" t="str">
        <f>HYPERLINK("mailto:dianna.magliano@bakeridi.edu.au", "contact")</f>
        <v>contact</v>
      </c>
    </row>
    <row r="814" spans="1:11" x14ac:dyDescent="0.25">
      <c r="A814" s="13" t="s">
        <v>1946</v>
      </c>
      <c r="B814" s="13" t="s">
        <v>251</v>
      </c>
      <c r="C814" s="13" t="s">
        <v>496</v>
      </c>
      <c r="D814" s="13" t="s">
        <v>380</v>
      </c>
      <c r="E814" s="16" t="s">
        <v>13</v>
      </c>
      <c r="F814" s="16" t="s">
        <v>12</v>
      </c>
      <c r="G814" s="16" t="s">
        <v>388</v>
      </c>
      <c r="H814" s="16" t="s">
        <v>388</v>
      </c>
      <c r="I814" s="16">
        <v>231</v>
      </c>
      <c r="J814" s="16">
        <v>245</v>
      </c>
      <c r="K814" s="18" t="str">
        <f>HYPERLINK("https://extranet.who.int/ncdsmicrodata/index.php/catalog/", "website")</f>
        <v>website</v>
      </c>
    </row>
    <row r="815" spans="1:11" x14ac:dyDescent="0.25">
      <c r="A815" s="13" t="s">
        <v>250</v>
      </c>
      <c r="B815" s="13" t="s">
        <v>251</v>
      </c>
      <c r="C815" s="13" t="s">
        <v>489</v>
      </c>
      <c r="D815" s="13" t="s">
        <v>380</v>
      </c>
      <c r="E815" s="16" t="s">
        <v>13</v>
      </c>
      <c r="F815" s="16" t="s">
        <v>12</v>
      </c>
      <c r="G815" s="16" t="s">
        <v>381</v>
      </c>
      <c r="H815" s="16" t="s">
        <v>381</v>
      </c>
      <c r="I815" s="16">
        <v>704</v>
      </c>
      <c r="J815" s="16">
        <v>649</v>
      </c>
      <c r="K815" s="17" t="s">
        <v>383</v>
      </c>
    </row>
    <row r="816" spans="1:11" x14ac:dyDescent="0.25">
      <c r="A816" s="13" t="s">
        <v>1947</v>
      </c>
      <c r="B816" s="13" t="s">
        <v>1948</v>
      </c>
      <c r="C816" s="13" t="s">
        <v>712</v>
      </c>
      <c r="D816" s="13" t="s">
        <v>1949</v>
      </c>
      <c r="E816" s="16" t="s">
        <v>13</v>
      </c>
      <c r="F816" s="16" t="s">
        <v>12</v>
      </c>
      <c r="G816" s="16" t="s">
        <v>394</v>
      </c>
      <c r="H816" s="16" t="s">
        <v>394</v>
      </c>
      <c r="I816" s="16">
        <v>2284</v>
      </c>
      <c r="J816" s="16">
        <v>1806</v>
      </c>
      <c r="K816" s="18" t="str">
        <f>HYPERLINK("mailto:maria_turley@moh.govt.nz", "contact")</f>
        <v>contact</v>
      </c>
    </row>
    <row r="817" spans="1:11" x14ac:dyDescent="0.25">
      <c r="A817" s="13" t="s">
        <v>1950</v>
      </c>
      <c r="B817" s="13" t="s">
        <v>254</v>
      </c>
      <c r="C817" s="13" t="s">
        <v>449</v>
      </c>
      <c r="D817" s="13" t="s">
        <v>1951</v>
      </c>
      <c r="E817" s="16" t="s">
        <v>13</v>
      </c>
      <c r="F817" s="16" t="s">
        <v>12</v>
      </c>
      <c r="G817" s="16" t="s">
        <v>434</v>
      </c>
      <c r="H817" s="16" t="s">
        <v>434</v>
      </c>
      <c r="I817" s="16">
        <v>2809</v>
      </c>
      <c r="J817" s="16">
        <v>1989</v>
      </c>
      <c r="K817" s="18" t="str">
        <f>HYPERLINK("mailto:Dhalasfoor@gmail.com", "contact")</f>
        <v>contact</v>
      </c>
    </row>
    <row r="818" spans="1:11" x14ac:dyDescent="0.25">
      <c r="A818" s="13" t="s">
        <v>1952</v>
      </c>
      <c r="B818" s="13" t="s">
        <v>254</v>
      </c>
      <c r="C818" s="13" t="s">
        <v>666</v>
      </c>
      <c r="D818" s="13" t="s">
        <v>1953</v>
      </c>
      <c r="E818" s="16" t="s">
        <v>13</v>
      </c>
      <c r="F818" s="16" t="s">
        <v>12</v>
      </c>
      <c r="G818" s="16" t="s">
        <v>434</v>
      </c>
      <c r="H818" s="16" t="s">
        <v>434</v>
      </c>
      <c r="I818" s="16">
        <v>2933</v>
      </c>
      <c r="J818" s="16">
        <v>2905</v>
      </c>
      <c r="K818" s="18" t="str">
        <f>HYPERLINK("mailto:ncdrisc@imperial.ac.uk", "contact")</f>
        <v>contact</v>
      </c>
    </row>
    <row r="819" spans="1:11" x14ac:dyDescent="0.25">
      <c r="A819" s="13" t="s">
        <v>1954</v>
      </c>
      <c r="B819" s="13" t="s">
        <v>254</v>
      </c>
      <c r="C819" s="13" t="s">
        <v>776</v>
      </c>
      <c r="D819" s="13" t="s">
        <v>1955</v>
      </c>
      <c r="E819" s="16" t="s">
        <v>41</v>
      </c>
      <c r="F819" s="16" t="s">
        <v>40</v>
      </c>
      <c r="G819" s="16" t="s">
        <v>434</v>
      </c>
      <c r="H819" s="16" t="s">
        <v>434</v>
      </c>
      <c r="I819" s="16">
        <v>692</v>
      </c>
      <c r="J819" s="16">
        <v>600</v>
      </c>
      <c r="K819" s="18" t="str">
        <f>HYPERLINK("mailto:Jallawati@gmail.com ", "contact")</f>
        <v>contact</v>
      </c>
    </row>
    <row r="820" spans="1:11" x14ac:dyDescent="0.25">
      <c r="A820" s="13" t="s">
        <v>1956</v>
      </c>
      <c r="B820" s="13" t="s">
        <v>254</v>
      </c>
      <c r="C820" s="13" t="s">
        <v>479</v>
      </c>
      <c r="D820" s="13" t="s">
        <v>1957</v>
      </c>
      <c r="E820" s="16" t="s">
        <v>13</v>
      </c>
      <c r="F820" s="16" t="s">
        <v>12</v>
      </c>
      <c r="G820" s="16" t="s">
        <v>394</v>
      </c>
      <c r="H820" s="16" t="s">
        <v>394</v>
      </c>
      <c r="I820" s="16">
        <v>2264</v>
      </c>
      <c r="J820" s="16">
        <v>2446</v>
      </c>
      <c r="K820" s="18" t="str">
        <f>HYPERLINK("mailto:alim@who.int", "contact")</f>
        <v>contact</v>
      </c>
    </row>
    <row r="821" spans="1:11" x14ac:dyDescent="0.25">
      <c r="A821" s="13" t="s">
        <v>253</v>
      </c>
      <c r="B821" s="13" t="s">
        <v>254</v>
      </c>
      <c r="C821" s="13" t="s">
        <v>463</v>
      </c>
      <c r="D821" s="13" t="s">
        <v>380</v>
      </c>
      <c r="E821" s="16" t="s">
        <v>13</v>
      </c>
      <c r="F821" s="16" t="s">
        <v>12</v>
      </c>
      <c r="G821" s="16" t="s">
        <v>394</v>
      </c>
      <c r="H821" s="16" t="s">
        <v>394</v>
      </c>
      <c r="I821" s="16">
        <v>2997</v>
      </c>
      <c r="J821" s="16">
        <v>3365</v>
      </c>
      <c r="K821" s="17" t="s">
        <v>383</v>
      </c>
    </row>
    <row r="822" spans="1:11" x14ac:dyDescent="0.25">
      <c r="A822" s="13" t="s">
        <v>1958</v>
      </c>
      <c r="B822" s="13" t="s">
        <v>1959</v>
      </c>
      <c r="C822" s="13" t="s">
        <v>406</v>
      </c>
      <c r="D822" s="13" t="s">
        <v>1960</v>
      </c>
      <c r="E822" s="16" t="s">
        <v>53</v>
      </c>
      <c r="F822" s="16" t="s">
        <v>468</v>
      </c>
      <c r="G822" s="16" t="s">
        <v>414</v>
      </c>
      <c r="H822" s="16" t="s">
        <v>414</v>
      </c>
      <c r="I822" s="16">
        <v>1362</v>
      </c>
      <c r="J822" s="16">
        <v>761</v>
      </c>
      <c r="K822" s="18" t="str">
        <f>HYPERLINK("mailto:ncdrisc@imperial.ac.uk", "contact")</f>
        <v>contact</v>
      </c>
    </row>
    <row r="823" spans="1:11" x14ac:dyDescent="0.25">
      <c r="A823" s="13" t="s">
        <v>1961</v>
      </c>
      <c r="B823" s="13" t="s">
        <v>1959</v>
      </c>
      <c r="C823" s="13" t="s">
        <v>493</v>
      </c>
      <c r="D823" s="13" t="s">
        <v>1962</v>
      </c>
      <c r="E823" s="16" t="s">
        <v>53</v>
      </c>
      <c r="F823" s="16" t="s">
        <v>468</v>
      </c>
      <c r="G823" s="16" t="s">
        <v>414</v>
      </c>
      <c r="H823" s="16" t="s">
        <v>414</v>
      </c>
      <c r="I823" s="16">
        <v>1362</v>
      </c>
      <c r="J823" s="16">
        <v>670</v>
      </c>
      <c r="K823" s="18" t="str">
        <f>HYPERLINK("mailto:ncdrisc@imperial.ac.uk", "contact")</f>
        <v>contact</v>
      </c>
    </row>
    <row r="824" spans="1:11" x14ac:dyDescent="0.25">
      <c r="A824" s="13" t="s">
        <v>1963</v>
      </c>
      <c r="B824" s="13" t="s">
        <v>1959</v>
      </c>
      <c r="C824" s="13" t="s">
        <v>628</v>
      </c>
      <c r="D824" s="13" t="s">
        <v>1964</v>
      </c>
      <c r="E824" s="16" t="s">
        <v>41</v>
      </c>
      <c r="F824" s="16" t="s">
        <v>40</v>
      </c>
      <c r="G824" s="16" t="s">
        <v>473</v>
      </c>
      <c r="H824" s="16" t="s">
        <v>473</v>
      </c>
      <c r="I824" s="16">
        <v>1506</v>
      </c>
      <c r="J824" s="16">
        <v>1376</v>
      </c>
      <c r="K824" s="18" t="str">
        <f>HYPERLINK("mailto:ncdrisc@imperial.ac.uk", "contact")</f>
        <v>contact</v>
      </c>
    </row>
    <row r="825" spans="1:11" x14ac:dyDescent="0.25">
      <c r="A825" s="13" t="s">
        <v>1965</v>
      </c>
      <c r="B825" s="13" t="s">
        <v>1959</v>
      </c>
      <c r="C825" s="13" t="s">
        <v>670</v>
      </c>
      <c r="D825" s="13" t="s">
        <v>1966</v>
      </c>
      <c r="E825" s="16" t="s">
        <v>53</v>
      </c>
      <c r="F825" s="16" t="s">
        <v>468</v>
      </c>
      <c r="G825" s="16" t="s">
        <v>414</v>
      </c>
      <c r="H825" s="16" t="s">
        <v>414</v>
      </c>
      <c r="I825" s="16">
        <v>840</v>
      </c>
      <c r="J825" s="16">
        <v>272</v>
      </c>
      <c r="K825" s="18" t="str">
        <f>HYPERLINK("mailto:ncdrisc@imperial.ac.uk", "contact")</f>
        <v>contact</v>
      </c>
    </row>
    <row r="826" spans="1:11" x14ac:dyDescent="0.25">
      <c r="A826" s="13" t="s">
        <v>1967</v>
      </c>
      <c r="B826" s="13" t="s">
        <v>1959</v>
      </c>
      <c r="C826" s="13" t="s">
        <v>516</v>
      </c>
      <c r="D826" s="13" t="s">
        <v>1968</v>
      </c>
      <c r="E826" s="16" t="s">
        <v>13</v>
      </c>
      <c r="F826" s="16" t="s">
        <v>12</v>
      </c>
      <c r="G826" s="16" t="s">
        <v>434</v>
      </c>
      <c r="H826" s="16" t="s">
        <v>434</v>
      </c>
      <c r="I826" s="16">
        <v>4261</v>
      </c>
      <c r="J826" s="16">
        <v>3273</v>
      </c>
      <c r="K826" s="18" t="str">
        <f>HYPERLINK("mailto:abdulbasit@healthpromotionfoundation.org", "contact")</f>
        <v>contact</v>
      </c>
    </row>
    <row r="827" spans="1:11" x14ac:dyDescent="0.25">
      <c r="A827" s="13" t="s">
        <v>1969</v>
      </c>
      <c r="B827" s="13" t="s">
        <v>1970</v>
      </c>
      <c r="C827" s="13" t="s">
        <v>594</v>
      </c>
      <c r="D827" s="13" t="s">
        <v>1971</v>
      </c>
      <c r="E827" s="16" t="s">
        <v>53</v>
      </c>
      <c r="F827" s="16" t="s">
        <v>12</v>
      </c>
      <c r="G827" s="16" t="s">
        <v>394</v>
      </c>
      <c r="H827" s="16" t="s">
        <v>394</v>
      </c>
      <c r="I827" s="16">
        <v>2472</v>
      </c>
      <c r="J827" s="16">
        <v>1072</v>
      </c>
      <c r="K827" s="18" t="str">
        <f>HYPERLINK("mailto:drjmotta@gmail.com", "contact")</f>
        <v>contact</v>
      </c>
    </row>
    <row r="828" spans="1:11" x14ac:dyDescent="0.25">
      <c r="A828" s="13" t="s">
        <v>1972</v>
      </c>
      <c r="B828" s="13" t="s">
        <v>1970</v>
      </c>
      <c r="C828" s="13" t="s">
        <v>511</v>
      </c>
      <c r="D828" s="13" t="s">
        <v>1973</v>
      </c>
      <c r="E828" s="16" t="s">
        <v>13</v>
      </c>
      <c r="F828" s="16" t="s">
        <v>12</v>
      </c>
      <c r="G828" s="16" t="s">
        <v>394</v>
      </c>
      <c r="H828" s="16" t="s">
        <v>394</v>
      </c>
      <c r="I828" s="16">
        <v>12013</v>
      </c>
      <c r="J828" s="16">
        <v>4846</v>
      </c>
      <c r="K828" s="18" t="str">
        <f>HYPERLINK("mailto:hquintana@gorgas.gob.pa", "contact")</f>
        <v>contact</v>
      </c>
    </row>
    <row r="829" spans="1:11" x14ac:dyDescent="0.25">
      <c r="A829" s="13" t="s">
        <v>1974</v>
      </c>
      <c r="B829" s="13" t="s">
        <v>1975</v>
      </c>
      <c r="C829" s="13" t="s">
        <v>409</v>
      </c>
      <c r="D829" s="13" t="s">
        <v>1976</v>
      </c>
      <c r="E829" s="16" t="s">
        <v>41</v>
      </c>
      <c r="F829" s="16" t="s">
        <v>40</v>
      </c>
      <c r="G829" s="16" t="s">
        <v>394</v>
      </c>
      <c r="H829" s="16" t="s">
        <v>394</v>
      </c>
      <c r="I829" s="16">
        <v>430</v>
      </c>
      <c r="J829" s="16">
        <v>209</v>
      </c>
      <c r="K829" s="18" t="str">
        <f>HYPERLINK("mailto:lrevilla2@yahoo.es", "contact")</f>
        <v>contact</v>
      </c>
    </row>
    <row r="830" spans="1:11" x14ac:dyDescent="0.25">
      <c r="A830" s="13" t="s">
        <v>1977</v>
      </c>
      <c r="B830" s="13" t="s">
        <v>1975</v>
      </c>
      <c r="C830" s="13" t="s">
        <v>628</v>
      </c>
      <c r="D830" s="13" t="s">
        <v>1978</v>
      </c>
      <c r="E830" s="16" t="s">
        <v>41</v>
      </c>
      <c r="F830" s="16" t="s">
        <v>40</v>
      </c>
      <c r="G830" s="16" t="s">
        <v>392</v>
      </c>
      <c r="H830" s="16" t="s">
        <v>392</v>
      </c>
      <c r="I830" s="16">
        <v>1011</v>
      </c>
      <c r="J830" s="16">
        <v>867</v>
      </c>
      <c r="K830" s="18" t="str">
        <f>HYPERLINK("mailto:ncdrisc@imperial.ac.uk", "contact")</f>
        <v>contact</v>
      </c>
    </row>
    <row r="831" spans="1:11" x14ac:dyDescent="0.25">
      <c r="A831" s="13" t="s">
        <v>1979</v>
      </c>
      <c r="B831" s="13" t="s">
        <v>1975</v>
      </c>
      <c r="C831" s="13" t="s">
        <v>396</v>
      </c>
      <c r="D831" s="13" t="s">
        <v>397</v>
      </c>
      <c r="E831" s="16" t="s">
        <v>41</v>
      </c>
      <c r="F831" s="16" t="s">
        <v>40</v>
      </c>
      <c r="G831" s="16" t="s">
        <v>398</v>
      </c>
      <c r="H831" s="16" t="s">
        <v>398</v>
      </c>
      <c r="I831" s="16">
        <v>883</v>
      </c>
      <c r="J831" s="16">
        <v>769</v>
      </c>
      <c r="K831" s="18" t="str">
        <f>HYPERLINK("mailto:pboisson@intramed.net", "contact")</f>
        <v>contact</v>
      </c>
    </row>
    <row r="832" spans="1:11" x14ac:dyDescent="0.25">
      <c r="A832" s="13" t="s">
        <v>1980</v>
      </c>
      <c r="B832" s="13" t="s">
        <v>1975</v>
      </c>
      <c r="C832" s="13" t="s">
        <v>396</v>
      </c>
      <c r="D832" s="13" t="s">
        <v>1981</v>
      </c>
      <c r="E832" s="16" t="s">
        <v>13</v>
      </c>
      <c r="F832" s="16" t="s">
        <v>12</v>
      </c>
      <c r="G832" s="16" t="s">
        <v>434</v>
      </c>
      <c r="H832" s="16" t="s">
        <v>434</v>
      </c>
      <c r="I832" s="16">
        <v>2095</v>
      </c>
      <c r="J832" s="16">
        <v>2095</v>
      </c>
      <c r="K832" s="18" t="str">
        <f>HYPERLINK("mailto:jrsancheza@yahoo.com", "contact")</f>
        <v>contact</v>
      </c>
    </row>
    <row r="833" spans="1:11" x14ac:dyDescent="0.25">
      <c r="A833" s="13" t="s">
        <v>1982</v>
      </c>
      <c r="B833" s="13" t="s">
        <v>1975</v>
      </c>
      <c r="C833" s="13" t="s">
        <v>628</v>
      </c>
      <c r="D833" s="13" t="s">
        <v>1976</v>
      </c>
      <c r="E833" s="16" t="s">
        <v>41</v>
      </c>
      <c r="F833" s="16" t="s">
        <v>40</v>
      </c>
      <c r="G833" s="16" t="s">
        <v>394</v>
      </c>
      <c r="H833" s="16" t="s">
        <v>394</v>
      </c>
      <c r="I833" s="16">
        <v>532</v>
      </c>
      <c r="J833" s="16">
        <v>199</v>
      </c>
      <c r="K833" s="18" t="str">
        <f>HYPERLINK("mailto:lrevilla2@yahoo.es", "contact")</f>
        <v>contact</v>
      </c>
    </row>
    <row r="834" spans="1:11" x14ac:dyDescent="0.25">
      <c r="A834" s="13" t="s">
        <v>1983</v>
      </c>
      <c r="B834" s="13" t="s">
        <v>1975</v>
      </c>
      <c r="C834" s="13" t="s">
        <v>496</v>
      </c>
      <c r="D834" s="13" t="s">
        <v>1976</v>
      </c>
      <c r="E834" s="16" t="s">
        <v>41</v>
      </c>
      <c r="F834" s="16" t="s">
        <v>40</v>
      </c>
      <c r="G834" s="16" t="s">
        <v>394</v>
      </c>
      <c r="H834" s="16" t="s">
        <v>394</v>
      </c>
      <c r="I834" s="16">
        <v>1030</v>
      </c>
      <c r="J834" s="16">
        <v>608</v>
      </c>
      <c r="K834" s="18" t="str">
        <f>HYPERLINK("mailto:lrevilla2@yahoo.es", "contact")</f>
        <v>contact</v>
      </c>
    </row>
    <row r="835" spans="1:11" x14ac:dyDescent="0.25">
      <c r="A835" s="13" t="s">
        <v>1984</v>
      </c>
      <c r="B835" s="13" t="s">
        <v>1975</v>
      </c>
      <c r="C835" s="13" t="s">
        <v>880</v>
      </c>
      <c r="D835" s="13" t="s">
        <v>1985</v>
      </c>
      <c r="E835" s="16" t="s">
        <v>41</v>
      </c>
      <c r="F835" s="16" t="s">
        <v>12</v>
      </c>
      <c r="G835" s="16" t="s">
        <v>431</v>
      </c>
      <c r="H835" s="16" t="s">
        <v>431</v>
      </c>
      <c r="I835" s="16">
        <v>521</v>
      </c>
      <c r="J835" s="16">
        <v>466</v>
      </c>
      <c r="K835" s="18" t="str">
        <f>HYPERLINK("mailto:Jaime.Miranda@upch.pe; mirandajj@gmail.com", "contact")</f>
        <v>contact</v>
      </c>
    </row>
    <row r="836" spans="1:11" x14ac:dyDescent="0.25">
      <c r="A836" s="13" t="s">
        <v>1986</v>
      </c>
      <c r="B836" s="13" t="s">
        <v>1975</v>
      </c>
      <c r="C836" s="13" t="s">
        <v>643</v>
      </c>
      <c r="D836" s="13" t="s">
        <v>1987</v>
      </c>
      <c r="E836" s="16" t="s">
        <v>53</v>
      </c>
      <c r="F836" s="16" t="s">
        <v>12</v>
      </c>
      <c r="G836" s="16" t="s">
        <v>501</v>
      </c>
      <c r="H836" s="16" t="s">
        <v>501</v>
      </c>
      <c r="I836" s="16">
        <v>1849</v>
      </c>
      <c r="J836" s="16">
        <v>1737</v>
      </c>
      <c r="K836" s="18" t="str">
        <f>HYPERLINK("mailto:Jaime.Miranda@upch.pe; mirandajj@gmail.com", "contact")</f>
        <v>contact</v>
      </c>
    </row>
    <row r="837" spans="1:11" x14ac:dyDescent="0.25">
      <c r="A837" s="13" t="s">
        <v>1988</v>
      </c>
      <c r="B837" s="13" t="s">
        <v>1975</v>
      </c>
      <c r="C837" s="13" t="s">
        <v>490</v>
      </c>
      <c r="D837" s="13" t="s">
        <v>1989</v>
      </c>
      <c r="E837" s="16" t="s">
        <v>41</v>
      </c>
      <c r="F837" s="16" t="s">
        <v>40</v>
      </c>
      <c r="G837" s="16" t="s">
        <v>784</v>
      </c>
      <c r="H837" s="16" t="s">
        <v>784</v>
      </c>
      <c r="I837" s="16">
        <v>200</v>
      </c>
      <c r="J837" s="16">
        <v>114</v>
      </c>
      <c r="K837" s="18" t="str">
        <f>HYPERLINK("mailto:pedro.ortiz@upch.pe", "contact")</f>
        <v>contact</v>
      </c>
    </row>
    <row r="838" spans="1:11" x14ac:dyDescent="0.25">
      <c r="A838" s="13" t="s">
        <v>1990</v>
      </c>
      <c r="B838" s="13" t="s">
        <v>1975</v>
      </c>
      <c r="C838" s="13" t="s">
        <v>386</v>
      </c>
      <c r="D838" s="13" t="s">
        <v>1987</v>
      </c>
      <c r="E838" s="16" t="s">
        <v>53</v>
      </c>
      <c r="F838" s="16" t="s">
        <v>12</v>
      </c>
      <c r="G838" s="16" t="s">
        <v>1991</v>
      </c>
      <c r="H838" s="16" t="s">
        <v>1991</v>
      </c>
      <c r="I838" s="16">
        <v>1387</v>
      </c>
      <c r="J838" s="16">
        <v>1309</v>
      </c>
      <c r="K838" s="18" t="str">
        <f>HYPERLINK("mailto:Jaime.Miranda@upch.pe; mirandajj@gmail.com", "contact")</f>
        <v>contact</v>
      </c>
    </row>
    <row r="839" spans="1:11" x14ac:dyDescent="0.25">
      <c r="A839" s="13" t="s">
        <v>1992</v>
      </c>
      <c r="B839" s="13" t="s">
        <v>1975</v>
      </c>
      <c r="C839" s="13" t="s">
        <v>580</v>
      </c>
      <c r="D839" s="13" t="s">
        <v>1985</v>
      </c>
      <c r="E839" s="16" t="s">
        <v>41</v>
      </c>
      <c r="F839" s="16" t="s">
        <v>12</v>
      </c>
      <c r="G839" s="16" t="s">
        <v>1993</v>
      </c>
      <c r="H839" s="16" t="s">
        <v>1993</v>
      </c>
      <c r="I839" s="16">
        <v>437</v>
      </c>
      <c r="J839" s="16">
        <v>344</v>
      </c>
      <c r="K839" s="18" t="str">
        <f>HYPERLINK("mailto:Jaime.Miranda@upch.pe; mirandajj@gmail.com", "contact")</f>
        <v>contact</v>
      </c>
    </row>
    <row r="840" spans="1:11" x14ac:dyDescent="0.25">
      <c r="A840" s="13" t="s">
        <v>1994</v>
      </c>
      <c r="B840" s="13" t="s">
        <v>1975</v>
      </c>
      <c r="C840" s="13" t="s">
        <v>516</v>
      </c>
      <c r="D840" s="13" t="s">
        <v>1995</v>
      </c>
      <c r="E840" s="16" t="s">
        <v>41</v>
      </c>
      <c r="F840" s="16" t="s">
        <v>40</v>
      </c>
      <c r="G840" s="16" t="s">
        <v>1447</v>
      </c>
      <c r="H840" s="16" t="s">
        <v>1447</v>
      </c>
      <c r="I840" s="16">
        <v>804</v>
      </c>
      <c r="J840" s="16">
        <v>792</v>
      </c>
      <c r="K840" s="18" t="str">
        <f>HYPERLINK("mailto:antonio.bernabe@upch.pe", "contact")</f>
        <v>contact</v>
      </c>
    </row>
    <row r="841" spans="1:11" x14ac:dyDescent="0.25">
      <c r="A841" s="13" t="s">
        <v>1996</v>
      </c>
      <c r="B841" s="13" t="s">
        <v>1975</v>
      </c>
      <c r="C841" s="13" t="s">
        <v>393</v>
      </c>
      <c r="D841" s="13" t="s">
        <v>1997</v>
      </c>
      <c r="E841" s="16" t="s">
        <v>13</v>
      </c>
      <c r="F841" s="16" t="s">
        <v>12</v>
      </c>
      <c r="G841" s="16" t="s">
        <v>915</v>
      </c>
      <c r="H841" s="16" t="s">
        <v>915</v>
      </c>
      <c r="I841" s="16">
        <v>618</v>
      </c>
      <c r="J841" s="16">
        <v>463</v>
      </c>
      <c r="K841" s="18" t="str">
        <f>HYPERLINK("mailto:ncdrisc@imperial.ac.uk", "contact")</f>
        <v>contact</v>
      </c>
    </row>
    <row r="842" spans="1:11" x14ac:dyDescent="0.25">
      <c r="A842" s="13" t="s">
        <v>1998</v>
      </c>
      <c r="B842" s="13" t="s">
        <v>257</v>
      </c>
      <c r="C842" s="13" t="s">
        <v>455</v>
      </c>
      <c r="D842" s="13" t="s">
        <v>1999</v>
      </c>
      <c r="E842" s="16" t="s">
        <v>13</v>
      </c>
      <c r="F842" s="16" t="s">
        <v>12</v>
      </c>
      <c r="G842" s="16" t="s">
        <v>434</v>
      </c>
      <c r="H842" s="16" t="s">
        <v>434</v>
      </c>
      <c r="I842" s="16">
        <v>927</v>
      </c>
      <c r="J842" s="16">
        <v>1030</v>
      </c>
      <c r="K842" s="18" t="str">
        <f>HYPERLINK("mailto:ncdrisc@imperial.ac.uk", "contact")</f>
        <v>contact</v>
      </c>
    </row>
    <row r="843" spans="1:11" x14ac:dyDescent="0.25">
      <c r="A843" s="13" t="s">
        <v>2000</v>
      </c>
      <c r="B843" s="13" t="s">
        <v>257</v>
      </c>
      <c r="C843" s="13" t="s">
        <v>471</v>
      </c>
      <c r="D843" s="13" t="s">
        <v>2001</v>
      </c>
      <c r="E843" s="16" t="s">
        <v>13</v>
      </c>
      <c r="F843" s="16" t="s">
        <v>12</v>
      </c>
      <c r="G843" s="16" t="s">
        <v>434</v>
      </c>
      <c r="H843" s="16" t="s">
        <v>434</v>
      </c>
      <c r="I843" s="16">
        <v>2497</v>
      </c>
      <c r="J843" s="16">
        <v>2255</v>
      </c>
      <c r="K843" s="18" t="str">
        <f>HYPERLINK("mailto:mar_v_c@yahoo.com", "contact")</f>
        <v>contact</v>
      </c>
    </row>
    <row r="844" spans="1:11" x14ac:dyDescent="0.25">
      <c r="A844" s="13" t="s">
        <v>256</v>
      </c>
      <c r="B844" s="13" t="s">
        <v>257</v>
      </c>
      <c r="C844" s="13" t="s">
        <v>628</v>
      </c>
      <c r="D844" s="13" t="s">
        <v>2002</v>
      </c>
      <c r="E844" s="16" t="s">
        <v>41</v>
      </c>
      <c r="F844" s="16" t="s">
        <v>12</v>
      </c>
      <c r="G844" s="16" t="s">
        <v>2003</v>
      </c>
      <c r="H844" s="16" t="s">
        <v>2003</v>
      </c>
      <c r="I844" s="16">
        <v>764</v>
      </c>
      <c r="J844" s="16">
        <v>927</v>
      </c>
      <c r="K844" s="17" t="s">
        <v>383</v>
      </c>
    </row>
    <row r="845" spans="1:11" x14ac:dyDescent="0.25">
      <c r="A845" s="13" t="s">
        <v>258</v>
      </c>
      <c r="B845" s="13" t="s">
        <v>257</v>
      </c>
      <c r="C845" s="13" t="s">
        <v>628</v>
      </c>
      <c r="D845" s="13" t="s">
        <v>2004</v>
      </c>
      <c r="E845" s="16" t="s">
        <v>41</v>
      </c>
      <c r="F845" s="16" t="s">
        <v>12</v>
      </c>
      <c r="G845" s="16" t="s">
        <v>2005</v>
      </c>
      <c r="H845" s="16"/>
      <c r="I845" s="16">
        <v>1872</v>
      </c>
      <c r="J845" s="16"/>
      <c r="K845" s="17" t="s">
        <v>383</v>
      </c>
    </row>
    <row r="846" spans="1:11" x14ac:dyDescent="0.25">
      <c r="A846" s="13" t="s">
        <v>2006</v>
      </c>
      <c r="B846" s="13" t="s">
        <v>257</v>
      </c>
      <c r="C846" s="13" t="s">
        <v>479</v>
      </c>
      <c r="D846" s="13" t="s">
        <v>2007</v>
      </c>
      <c r="E846" s="16" t="s">
        <v>13</v>
      </c>
      <c r="F846" s="16" t="s">
        <v>12</v>
      </c>
      <c r="G846" s="16" t="s">
        <v>434</v>
      </c>
      <c r="H846" s="16" t="s">
        <v>434</v>
      </c>
      <c r="I846" s="16">
        <v>3719</v>
      </c>
      <c r="J846" s="16">
        <v>3318</v>
      </c>
      <c r="K846" s="18" t="str">
        <f>HYPERLINK("mailto:eldridge.ferrer@hotmail.com", "contact")</f>
        <v>contact</v>
      </c>
    </row>
    <row r="847" spans="1:11" x14ac:dyDescent="0.25">
      <c r="A847" s="13" t="s">
        <v>2008</v>
      </c>
      <c r="B847" s="13" t="s">
        <v>257</v>
      </c>
      <c r="C847" s="13" t="s">
        <v>479</v>
      </c>
      <c r="D847" s="13" t="s">
        <v>2009</v>
      </c>
      <c r="E847" s="16" t="s">
        <v>13</v>
      </c>
      <c r="F847" s="16" t="s">
        <v>12</v>
      </c>
      <c r="G847" s="16" t="s">
        <v>2010</v>
      </c>
      <c r="H847" s="16" t="s">
        <v>2010</v>
      </c>
      <c r="I847" s="16">
        <v>1743</v>
      </c>
      <c r="J847" s="16">
        <v>1329</v>
      </c>
      <c r="K847" s="18" t="str">
        <f>HYPERLINK("mailto:ncdrisc@imperial.ac.uk", "contact")</f>
        <v>contact</v>
      </c>
    </row>
    <row r="848" spans="1:11" x14ac:dyDescent="0.25">
      <c r="A848" s="13" t="s">
        <v>2011</v>
      </c>
      <c r="B848" s="13" t="s">
        <v>257</v>
      </c>
      <c r="C848" s="13" t="s">
        <v>386</v>
      </c>
      <c r="D848" s="13" t="s">
        <v>2012</v>
      </c>
      <c r="E848" s="16" t="s">
        <v>13</v>
      </c>
      <c r="F848" s="16" t="s">
        <v>12</v>
      </c>
      <c r="G848" s="16" t="s">
        <v>394</v>
      </c>
      <c r="H848" s="16" t="s">
        <v>394</v>
      </c>
      <c r="I848" s="16">
        <v>10427</v>
      </c>
      <c r="J848" s="16">
        <v>9797</v>
      </c>
      <c r="K848" s="18" t="str">
        <f>HYPERLINK("mailto:iangelesagdeppa@yahoo.com.ph", "contact")</f>
        <v>contact</v>
      </c>
    </row>
    <row r="849" spans="1:11" x14ac:dyDescent="0.25">
      <c r="A849" s="13" t="s">
        <v>2013</v>
      </c>
      <c r="B849" s="13" t="s">
        <v>257</v>
      </c>
      <c r="C849" s="13" t="s">
        <v>657</v>
      </c>
      <c r="D849" s="13" t="s">
        <v>2014</v>
      </c>
      <c r="E849" s="16" t="s">
        <v>13</v>
      </c>
      <c r="F849" s="16" t="s">
        <v>12</v>
      </c>
      <c r="G849" s="16" t="s">
        <v>394</v>
      </c>
      <c r="H849" s="16" t="s">
        <v>394</v>
      </c>
      <c r="I849" s="16">
        <v>42650</v>
      </c>
      <c r="J849" s="16">
        <v>34265</v>
      </c>
      <c r="K849" s="18" t="str">
        <f>HYPERLINK("mailto:eldridge.ferrer@hotmail.com", "contact")</f>
        <v>contact</v>
      </c>
    </row>
    <row r="850" spans="1:11" x14ac:dyDescent="0.25">
      <c r="A850" s="13" t="s">
        <v>260</v>
      </c>
      <c r="B850" s="13" t="s">
        <v>261</v>
      </c>
      <c r="C850" s="13" t="s">
        <v>590</v>
      </c>
      <c r="D850" s="13" t="s">
        <v>380</v>
      </c>
      <c r="E850" s="16" t="s">
        <v>13</v>
      </c>
      <c r="F850" s="16" t="s">
        <v>12</v>
      </c>
      <c r="G850" s="16" t="s">
        <v>398</v>
      </c>
      <c r="H850" s="16" t="s">
        <v>398</v>
      </c>
      <c r="I850" s="16">
        <v>1124</v>
      </c>
      <c r="J850" s="16">
        <v>1038</v>
      </c>
      <c r="K850" s="17" t="s">
        <v>383</v>
      </c>
    </row>
    <row r="851" spans="1:11" x14ac:dyDescent="0.25">
      <c r="A851" s="13" t="s">
        <v>262</v>
      </c>
      <c r="B851" s="13" t="s">
        <v>261</v>
      </c>
      <c r="C851" s="13" t="s">
        <v>404</v>
      </c>
      <c r="D851" s="13" t="s">
        <v>380</v>
      </c>
      <c r="E851" s="16" t="s">
        <v>13</v>
      </c>
      <c r="F851" s="16" t="s">
        <v>12</v>
      </c>
      <c r="G851" s="16" t="s">
        <v>394</v>
      </c>
      <c r="H851" s="16" t="s">
        <v>394</v>
      </c>
      <c r="I851" s="16">
        <v>854</v>
      </c>
      <c r="J851" s="16">
        <v>872</v>
      </c>
      <c r="K851" s="17" t="s">
        <v>383</v>
      </c>
    </row>
    <row r="852" spans="1:11" x14ac:dyDescent="0.25">
      <c r="A852" s="13" t="s">
        <v>2015</v>
      </c>
      <c r="B852" s="13" t="s">
        <v>2016</v>
      </c>
      <c r="C852" s="13" t="s">
        <v>449</v>
      </c>
      <c r="D852" s="13" t="s">
        <v>2017</v>
      </c>
      <c r="E852" s="16" t="s">
        <v>53</v>
      </c>
      <c r="F852" s="16" t="s">
        <v>12</v>
      </c>
      <c r="G852" s="16" t="s">
        <v>2018</v>
      </c>
      <c r="H852" s="16" t="s">
        <v>2018</v>
      </c>
      <c r="I852" s="16">
        <v>1009</v>
      </c>
      <c r="J852" s="16">
        <v>837</v>
      </c>
      <c r="K852" s="18" t="str">
        <f>HYPERLINK("mailto:dianna.magliano@bakeridi.edu.au", "contact")</f>
        <v>contact</v>
      </c>
    </row>
    <row r="853" spans="1:11" x14ac:dyDescent="0.25">
      <c r="A853" s="13" t="s">
        <v>2019</v>
      </c>
      <c r="B853" s="13" t="s">
        <v>2020</v>
      </c>
      <c r="C853" s="13" t="s">
        <v>1540</v>
      </c>
      <c r="D853" s="13" t="s">
        <v>2021</v>
      </c>
      <c r="E853" s="16" t="s">
        <v>41</v>
      </c>
      <c r="F853" s="16" t="s">
        <v>40</v>
      </c>
      <c r="G853" s="16" t="s">
        <v>398</v>
      </c>
      <c r="H853" s="16" t="s">
        <v>398</v>
      </c>
      <c r="I853" s="16">
        <v>945</v>
      </c>
      <c r="J853" s="16">
        <v>812</v>
      </c>
      <c r="K853" s="18" t="str">
        <f>HYPERLINK("mailto:drygas123@gmail.com", "contact")</f>
        <v>contact</v>
      </c>
    </row>
    <row r="854" spans="1:11" x14ac:dyDescent="0.25">
      <c r="A854" s="13" t="s">
        <v>2022</v>
      </c>
      <c r="B854" s="13" t="s">
        <v>2020</v>
      </c>
      <c r="C854" s="13" t="s">
        <v>382</v>
      </c>
      <c r="D854" s="13" t="s">
        <v>929</v>
      </c>
      <c r="E854" s="16" t="s">
        <v>41</v>
      </c>
      <c r="F854" s="16" t="s">
        <v>40</v>
      </c>
      <c r="G854" s="16" t="s">
        <v>743</v>
      </c>
      <c r="H854" s="16" t="s">
        <v>743</v>
      </c>
      <c r="I854" s="16">
        <v>192</v>
      </c>
      <c r="J854" s="16">
        <v>172</v>
      </c>
      <c r="K854" s="18" t="str">
        <f>HYPERLINK("mailto:ncdrisc@imperial.ac.uk", "contact")</f>
        <v>contact</v>
      </c>
    </row>
    <row r="855" spans="1:11" x14ac:dyDescent="0.25">
      <c r="A855" s="13" t="s">
        <v>2023</v>
      </c>
      <c r="B855" s="13" t="s">
        <v>2020</v>
      </c>
      <c r="C855" s="13" t="s">
        <v>666</v>
      </c>
      <c r="D855" s="13" t="s">
        <v>2024</v>
      </c>
      <c r="E855" s="16" t="s">
        <v>41</v>
      </c>
      <c r="F855" s="16" t="s">
        <v>40</v>
      </c>
      <c r="G855" s="16" t="s">
        <v>2025</v>
      </c>
      <c r="H855" s="16" t="s">
        <v>2025</v>
      </c>
      <c r="I855" s="16">
        <v>1010</v>
      </c>
      <c r="J855" s="16">
        <v>929</v>
      </c>
      <c r="K855" s="18" t="str">
        <f>HYPERLINK("mailto:drygas123@gmail.com", "contact")</f>
        <v>contact</v>
      </c>
    </row>
    <row r="856" spans="1:11" x14ac:dyDescent="0.25">
      <c r="A856" s="13" t="s">
        <v>2026</v>
      </c>
      <c r="B856" s="13" t="s">
        <v>2020</v>
      </c>
      <c r="C856" s="13" t="s">
        <v>940</v>
      </c>
      <c r="D856" s="13" t="s">
        <v>2027</v>
      </c>
      <c r="E856" s="16" t="s">
        <v>41</v>
      </c>
      <c r="F856" s="16" t="s">
        <v>40</v>
      </c>
      <c r="G856" s="16" t="s">
        <v>708</v>
      </c>
      <c r="H856" s="16" t="s">
        <v>708</v>
      </c>
      <c r="I856" s="16">
        <v>841</v>
      </c>
      <c r="J856" s="16">
        <v>1003</v>
      </c>
      <c r="K856" s="18" t="str">
        <f>HYPERLINK("mailto:drygas123@gmail.com", "contact")</f>
        <v>contact</v>
      </c>
    </row>
    <row r="857" spans="1:11" x14ac:dyDescent="0.25">
      <c r="A857" s="13" t="s">
        <v>2028</v>
      </c>
      <c r="B857" s="13" t="s">
        <v>2020</v>
      </c>
      <c r="C857" s="13" t="s">
        <v>493</v>
      </c>
      <c r="D857" s="13" t="s">
        <v>2029</v>
      </c>
      <c r="E857" s="16" t="s">
        <v>41</v>
      </c>
      <c r="F857" s="16" t="s">
        <v>40</v>
      </c>
      <c r="G857" s="16" t="s">
        <v>531</v>
      </c>
      <c r="H857" s="16" t="s">
        <v>531</v>
      </c>
      <c r="I857" s="16">
        <v>539</v>
      </c>
      <c r="J857" s="16">
        <v>291</v>
      </c>
      <c r="K857" s="18" t="str">
        <f>HYPERLINK("mailto:drygas123@gmail.com", "contact")</f>
        <v>contact</v>
      </c>
    </row>
    <row r="858" spans="1:11" x14ac:dyDescent="0.25">
      <c r="A858" s="13" t="s">
        <v>2030</v>
      </c>
      <c r="B858" s="13" t="s">
        <v>2020</v>
      </c>
      <c r="C858" s="13" t="s">
        <v>493</v>
      </c>
      <c r="D858" s="13" t="s">
        <v>2031</v>
      </c>
      <c r="E858" s="16" t="s">
        <v>13</v>
      </c>
      <c r="F858" s="16" t="s">
        <v>12</v>
      </c>
      <c r="G858" s="16" t="s">
        <v>394</v>
      </c>
      <c r="H858" s="16" t="s">
        <v>394</v>
      </c>
      <c r="I858" s="16">
        <v>1294</v>
      </c>
      <c r="J858" s="16">
        <v>1014</v>
      </c>
      <c r="K858" s="18" t="str">
        <f>HYPERLINK("mailto:tz@gumed.edu.pl", "contact")</f>
        <v>contact</v>
      </c>
    </row>
    <row r="859" spans="1:11" x14ac:dyDescent="0.25">
      <c r="A859" s="13" t="s">
        <v>2032</v>
      </c>
      <c r="B859" s="13" t="s">
        <v>2020</v>
      </c>
      <c r="C859" s="13" t="s">
        <v>940</v>
      </c>
      <c r="D859" s="13" t="s">
        <v>2033</v>
      </c>
      <c r="E859" s="16" t="s">
        <v>41</v>
      </c>
      <c r="F859" s="16" t="s">
        <v>40</v>
      </c>
      <c r="G859" s="16"/>
      <c r="H859" s="16" t="s">
        <v>394</v>
      </c>
      <c r="I859" s="16"/>
      <c r="J859" s="16">
        <v>944</v>
      </c>
      <c r="K859" s="18" t="str">
        <f>HYPERLINK("mailto:maciej.tomaszewski@manchester.ac.uk", "contact")</f>
        <v>contact</v>
      </c>
    </row>
    <row r="860" spans="1:11" x14ac:dyDescent="0.25">
      <c r="A860" s="13" t="s">
        <v>2034</v>
      </c>
      <c r="B860" s="13" t="s">
        <v>2020</v>
      </c>
      <c r="C860" s="13" t="s">
        <v>471</v>
      </c>
      <c r="D860" s="13" t="s">
        <v>472</v>
      </c>
      <c r="E860" s="16" t="s">
        <v>41</v>
      </c>
      <c r="F860" s="16" t="s">
        <v>12</v>
      </c>
      <c r="G860" s="16"/>
      <c r="H860" s="16" t="s">
        <v>473</v>
      </c>
      <c r="I860" s="16"/>
      <c r="J860" s="16">
        <v>394</v>
      </c>
      <c r="K860" s="18" t="str">
        <f>HYPERLINK("mailto:ncdrisc@imperial.ac.uk", "contact")</f>
        <v>contact</v>
      </c>
    </row>
    <row r="861" spans="1:11" x14ac:dyDescent="0.25">
      <c r="A861" s="13" t="s">
        <v>2035</v>
      </c>
      <c r="B861" s="13" t="s">
        <v>2020</v>
      </c>
      <c r="C861" s="13" t="s">
        <v>826</v>
      </c>
      <c r="D861" s="13" t="s">
        <v>827</v>
      </c>
      <c r="E861" s="16" t="s">
        <v>41</v>
      </c>
      <c r="F861" s="16" t="s">
        <v>40</v>
      </c>
      <c r="G861" s="16" t="s">
        <v>828</v>
      </c>
      <c r="H861" s="16" t="s">
        <v>828</v>
      </c>
      <c r="I861" s="16">
        <v>5484</v>
      </c>
      <c r="J861" s="16">
        <v>5214</v>
      </c>
      <c r="K861" s="18" t="str">
        <f>HYPERLINK("mailto:h.pikhart@ucl.ac.uk", "contact")</f>
        <v>contact</v>
      </c>
    </row>
    <row r="862" spans="1:11" x14ac:dyDescent="0.25">
      <c r="A862" s="13" t="s">
        <v>2036</v>
      </c>
      <c r="B862" s="13" t="s">
        <v>2020</v>
      </c>
      <c r="C862" s="13" t="s">
        <v>546</v>
      </c>
      <c r="D862" s="13" t="s">
        <v>2037</v>
      </c>
      <c r="E862" s="16" t="s">
        <v>13</v>
      </c>
      <c r="F862" s="16" t="s">
        <v>12</v>
      </c>
      <c r="G862" s="16" t="s">
        <v>1266</v>
      </c>
      <c r="H862" s="16" t="s">
        <v>1266</v>
      </c>
      <c r="I862" s="16">
        <v>6960</v>
      </c>
      <c r="J862" s="16">
        <v>6310</v>
      </c>
      <c r="K862" s="18" t="str">
        <f>HYPERLINK("mailto:drygas123@gmail.com", "contact")</f>
        <v>contact</v>
      </c>
    </row>
    <row r="863" spans="1:11" x14ac:dyDescent="0.25">
      <c r="A863" s="13" t="s">
        <v>2038</v>
      </c>
      <c r="B863" s="13" t="s">
        <v>2020</v>
      </c>
      <c r="C863" s="13" t="s">
        <v>496</v>
      </c>
      <c r="D863" s="13" t="s">
        <v>2039</v>
      </c>
      <c r="E863" s="16" t="s">
        <v>41</v>
      </c>
      <c r="F863" s="16" t="s">
        <v>40</v>
      </c>
      <c r="G863" s="16" t="s">
        <v>388</v>
      </c>
      <c r="H863" s="16" t="s">
        <v>388</v>
      </c>
      <c r="I863" s="16">
        <v>1115</v>
      </c>
      <c r="J863" s="16">
        <v>750</v>
      </c>
      <c r="K863" s="18" t="str">
        <f>HYPERLINK("mailto:drygas123@gmail.com", "contact")</f>
        <v>contact</v>
      </c>
    </row>
    <row r="864" spans="1:11" x14ac:dyDescent="0.25">
      <c r="A864" s="13" t="s">
        <v>2040</v>
      </c>
      <c r="B864" s="13" t="s">
        <v>2020</v>
      </c>
      <c r="C864" s="13" t="s">
        <v>479</v>
      </c>
      <c r="D864" s="13" t="s">
        <v>472</v>
      </c>
      <c r="E864" s="16" t="s">
        <v>41</v>
      </c>
      <c r="F864" s="16" t="s">
        <v>12</v>
      </c>
      <c r="G864" s="16"/>
      <c r="H864" s="16" t="s">
        <v>480</v>
      </c>
      <c r="I864" s="16"/>
      <c r="J864" s="16">
        <v>308</v>
      </c>
      <c r="K864" s="18" t="str">
        <f>HYPERLINK("mailto:ncdrisc@imperial.ac.uk", "contact")</f>
        <v>contact</v>
      </c>
    </row>
    <row r="865" spans="1:11" x14ac:dyDescent="0.25">
      <c r="A865" s="13" t="s">
        <v>2041</v>
      </c>
      <c r="B865" s="13" t="s">
        <v>2020</v>
      </c>
      <c r="C865" s="13" t="s">
        <v>1497</v>
      </c>
      <c r="D865" s="13" t="s">
        <v>2042</v>
      </c>
      <c r="E865" s="16" t="s">
        <v>13</v>
      </c>
      <c r="F865" s="16" t="s">
        <v>12</v>
      </c>
      <c r="G865" s="16" t="s">
        <v>1836</v>
      </c>
      <c r="H865" s="16" t="s">
        <v>1836</v>
      </c>
      <c r="I865" s="16">
        <v>2671</v>
      </c>
      <c r="J865" s="16">
        <v>2775</v>
      </c>
      <c r="K865" s="18" t="str">
        <f>HYPERLINK("mailto:tz@gumed.edu.pl", "contact")</f>
        <v>contact</v>
      </c>
    </row>
    <row r="866" spans="1:11" x14ac:dyDescent="0.25">
      <c r="A866" s="13" t="s">
        <v>2043</v>
      </c>
      <c r="B866" s="13" t="s">
        <v>2020</v>
      </c>
      <c r="C866" s="13" t="s">
        <v>554</v>
      </c>
      <c r="D866" s="13" t="s">
        <v>2044</v>
      </c>
      <c r="E866" s="16" t="s">
        <v>41</v>
      </c>
      <c r="F866" s="16" t="s">
        <v>12</v>
      </c>
      <c r="G866" s="16" t="s">
        <v>2045</v>
      </c>
      <c r="H866" s="16" t="s">
        <v>2045</v>
      </c>
      <c r="I866" s="16">
        <v>2570</v>
      </c>
      <c r="J866" s="16">
        <v>1289</v>
      </c>
      <c r="K866" s="18" t="str">
        <f>HYPERLINK("mailto:ncdrisc@imperial.ac.uk", "contact")</f>
        <v>contact</v>
      </c>
    </row>
    <row r="867" spans="1:11" x14ac:dyDescent="0.25">
      <c r="A867" s="13" t="s">
        <v>2046</v>
      </c>
      <c r="B867" s="13" t="s">
        <v>2020</v>
      </c>
      <c r="C867" s="13" t="s">
        <v>499</v>
      </c>
      <c r="D867" s="13" t="s">
        <v>2031</v>
      </c>
      <c r="E867" s="16" t="s">
        <v>13</v>
      </c>
      <c r="F867" s="16" t="s">
        <v>12</v>
      </c>
      <c r="G867" s="16" t="s">
        <v>614</v>
      </c>
      <c r="H867" s="16" t="s">
        <v>614</v>
      </c>
      <c r="I867" s="16">
        <v>1210</v>
      </c>
      <c r="J867" s="16">
        <v>1145</v>
      </c>
      <c r="K867" s="18" t="str">
        <f>HYPERLINK("mailto:tz@gumed.edu.pl", "contact")</f>
        <v>contact</v>
      </c>
    </row>
    <row r="868" spans="1:11" x14ac:dyDescent="0.25">
      <c r="A868" s="13" t="s">
        <v>2047</v>
      </c>
      <c r="B868" s="13" t="s">
        <v>2020</v>
      </c>
      <c r="C868" s="13" t="s">
        <v>567</v>
      </c>
      <c r="D868" s="13" t="s">
        <v>2048</v>
      </c>
      <c r="E868" s="16" t="s">
        <v>41</v>
      </c>
      <c r="F868" s="16" t="s">
        <v>468</v>
      </c>
      <c r="G868" s="16" t="s">
        <v>480</v>
      </c>
      <c r="H868" s="16" t="s">
        <v>480</v>
      </c>
      <c r="I868" s="16">
        <v>405</v>
      </c>
      <c r="J868" s="16">
        <v>142</v>
      </c>
      <c r="K868" s="18" t="str">
        <f>HYPERLINK("mailto:jasienska@post.harvard.edu", "contact")</f>
        <v>contact</v>
      </c>
    </row>
    <row r="869" spans="1:11" x14ac:dyDescent="0.25">
      <c r="A869" s="13" t="s">
        <v>2049</v>
      </c>
      <c r="B869" s="13" t="s">
        <v>2020</v>
      </c>
      <c r="C869" s="13" t="s">
        <v>386</v>
      </c>
      <c r="D869" s="13" t="s">
        <v>2050</v>
      </c>
      <c r="E869" s="16" t="s">
        <v>13</v>
      </c>
      <c r="F869" s="16" t="s">
        <v>12</v>
      </c>
      <c r="G869" s="16" t="s">
        <v>434</v>
      </c>
      <c r="H869" s="16" t="s">
        <v>434</v>
      </c>
      <c r="I869" s="16">
        <v>3360</v>
      </c>
      <c r="J869" s="16">
        <v>2747</v>
      </c>
      <c r="K869" s="18" t="str">
        <f>HYPERLINK("mailto:tz@gumed.edu.pl", "contact")</f>
        <v>contact</v>
      </c>
    </row>
    <row r="870" spans="1:11" x14ac:dyDescent="0.25">
      <c r="A870" s="13" t="s">
        <v>2051</v>
      </c>
      <c r="B870" s="13" t="s">
        <v>2020</v>
      </c>
      <c r="C870" s="13" t="s">
        <v>580</v>
      </c>
      <c r="D870" s="13" t="s">
        <v>2052</v>
      </c>
      <c r="E870" s="16" t="s">
        <v>13</v>
      </c>
      <c r="F870" s="16" t="s">
        <v>12</v>
      </c>
      <c r="G870" s="16" t="s">
        <v>394</v>
      </c>
      <c r="H870" s="16" t="s">
        <v>394</v>
      </c>
      <c r="I870" s="16">
        <v>8690</v>
      </c>
      <c r="J870" s="16">
        <v>5034</v>
      </c>
      <c r="K870" s="18" t="str">
        <f>HYPERLINK("mailto:jacek.jozwiak.1234@gmail.com", "contact")</f>
        <v>contact</v>
      </c>
    </row>
    <row r="871" spans="1:11" x14ac:dyDescent="0.25">
      <c r="A871" s="13" t="s">
        <v>2053</v>
      </c>
      <c r="B871" s="13" t="s">
        <v>2054</v>
      </c>
      <c r="C871" s="13" t="s">
        <v>496</v>
      </c>
      <c r="D871" s="13" t="s">
        <v>2055</v>
      </c>
      <c r="E871" s="16" t="s">
        <v>41</v>
      </c>
      <c r="F871" s="16" t="s">
        <v>40</v>
      </c>
      <c r="G871" s="16" t="s">
        <v>1799</v>
      </c>
      <c r="H871" s="16" t="s">
        <v>1799</v>
      </c>
      <c r="I871" s="16">
        <v>532</v>
      </c>
      <c r="J871" s="16">
        <v>274</v>
      </c>
      <c r="K871" s="18" t="str">
        <f>HYPERLINK("mailto:ncdrisc@imperial.ac.uk", "contact")</f>
        <v>contact</v>
      </c>
    </row>
    <row r="872" spans="1:11" x14ac:dyDescent="0.25">
      <c r="A872" s="13" t="s">
        <v>2056</v>
      </c>
      <c r="B872" s="13" t="s">
        <v>2057</v>
      </c>
      <c r="C872" s="13" t="s">
        <v>427</v>
      </c>
      <c r="D872" s="13" t="s">
        <v>2058</v>
      </c>
      <c r="E872" s="16" t="s">
        <v>41</v>
      </c>
      <c r="F872" s="16" t="s">
        <v>40</v>
      </c>
      <c r="G872" s="16" t="s">
        <v>394</v>
      </c>
      <c r="H872" s="16" t="s">
        <v>394</v>
      </c>
      <c r="I872" s="16">
        <v>1539</v>
      </c>
      <c r="J872" s="16">
        <v>946</v>
      </c>
      <c r="K872" s="18" t="str">
        <f>HYPERLINK("mailto:anazev@med.up.pt ", "contact")</f>
        <v>contact</v>
      </c>
    </row>
    <row r="873" spans="1:11" x14ac:dyDescent="0.25">
      <c r="A873" s="13" t="s">
        <v>2059</v>
      </c>
      <c r="B873" s="13" t="s">
        <v>2057</v>
      </c>
      <c r="C873" s="13" t="s">
        <v>590</v>
      </c>
      <c r="D873" s="13" t="s">
        <v>2060</v>
      </c>
      <c r="E873" s="16" t="s">
        <v>41</v>
      </c>
      <c r="F873" s="16" t="s">
        <v>40</v>
      </c>
      <c r="G873" s="16" t="s">
        <v>2061</v>
      </c>
      <c r="H873" s="16" t="s">
        <v>2061</v>
      </c>
      <c r="I873" s="16">
        <v>868</v>
      </c>
      <c r="J873" s="16">
        <v>810</v>
      </c>
      <c r="K873" s="18" t="str">
        <f>HYPERLINK("mailto:eliramos@med.up.pt", "contact")</f>
        <v>contact</v>
      </c>
    </row>
    <row r="874" spans="1:11" x14ac:dyDescent="0.25">
      <c r="A874" s="13" t="s">
        <v>2062</v>
      </c>
      <c r="B874" s="13" t="s">
        <v>2057</v>
      </c>
      <c r="C874" s="13" t="s">
        <v>489</v>
      </c>
      <c r="D874" s="13" t="s">
        <v>2063</v>
      </c>
      <c r="E874" s="16" t="s">
        <v>13</v>
      </c>
      <c r="F874" s="16" t="s">
        <v>12</v>
      </c>
      <c r="G874" s="16" t="s">
        <v>599</v>
      </c>
      <c r="H874" s="16" t="s">
        <v>599</v>
      </c>
      <c r="I874" s="16">
        <v>2615</v>
      </c>
      <c r="J874" s="16">
        <v>2265</v>
      </c>
      <c r="K874" s="18" t="str">
        <f>HYPERLINK("mailto:marta.barreto@insa.min-saude.pt", "contact")</f>
        <v>contact</v>
      </c>
    </row>
    <row r="875" spans="1:11" x14ac:dyDescent="0.25">
      <c r="A875" s="13" t="s">
        <v>2064</v>
      </c>
      <c r="B875" s="13" t="s">
        <v>265</v>
      </c>
      <c r="C875" s="13" t="s">
        <v>899</v>
      </c>
      <c r="D875" s="13" t="s">
        <v>2065</v>
      </c>
      <c r="E875" s="16" t="s">
        <v>41</v>
      </c>
      <c r="F875" s="16" t="s">
        <v>468</v>
      </c>
      <c r="G875" s="16" t="s">
        <v>708</v>
      </c>
      <c r="H875" s="16" t="s">
        <v>708</v>
      </c>
      <c r="I875" s="16">
        <v>443</v>
      </c>
      <c r="J875" s="16">
        <v>206</v>
      </c>
      <c r="K875" s="18" t="str">
        <f>HYPERLINK("mailto:nrmeileh@birzeit.edu", "contact")</f>
        <v>contact</v>
      </c>
    </row>
    <row r="876" spans="1:11" x14ac:dyDescent="0.25">
      <c r="A876" s="13" t="s">
        <v>2066</v>
      </c>
      <c r="B876" s="13" t="s">
        <v>265</v>
      </c>
      <c r="C876" s="13" t="s">
        <v>899</v>
      </c>
      <c r="D876" s="13" t="s">
        <v>2065</v>
      </c>
      <c r="E876" s="16" t="s">
        <v>41</v>
      </c>
      <c r="F876" s="16" t="s">
        <v>40</v>
      </c>
      <c r="G876" s="16" t="s">
        <v>708</v>
      </c>
      <c r="H876" s="16" t="s">
        <v>708</v>
      </c>
      <c r="I876" s="16">
        <v>458</v>
      </c>
      <c r="J876" s="16">
        <v>182</v>
      </c>
      <c r="K876" s="18" t="str">
        <f>HYPERLINK("mailto:nrmeileh@birzeit.edu", "contact")</f>
        <v>contact</v>
      </c>
    </row>
    <row r="877" spans="1:11" x14ac:dyDescent="0.25">
      <c r="A877" s="13" t="s">
        <v>264</v>
      </c>
      <c r="B877" s="13" t="s">
        <v>265</v>
      </c>
      <c r="C877" s="13" t="s">
        <v>554</v>
      </c>
      <c r="D877" s="13" t="s">
        <v>380</v>
      </c>
      <c r="E877" s="16" t="s">
        <v>13</v>
      </c>
      <c r="F877" s="16" t="s">
        <v>12</v>
      </c>
      <c r="G877" s="16" t="s">
        <v>708</v>
      </c>
      <c r="H877" s="16" t="s">
        <v>708</v>
      </c>
      <c r="I877" s="16">
        <v>3834</v>
      </c>
      <c r="J877" s="16">
        <v>2330</v>
      </c>
      <c r="K877" s="17" t="s">
        <v>383</v>
      </c>
    </row>
    <row r="878" spans="1:11" x14ac:dyDescent="0.25">
      <c r="A878" s="13" t="s">
        <v>266</v>
      </c>
      <c r="B878" s="13" t="s">
        <v>265</v>
      </c>
      <c r="C878" s="13" t="s">
        <v>773</v>
      </c>
      <c r="D878" s="13" t="s">
        <v>380</v>
      </c>
      <c r="E878" s="16" t="s">
        <v>13</v>
      </c>
      <c r="F878" s="16" t="s">
        <v>12</v>
      </c>
      <c r="G878" s="16" t="s">
        <v>381</v>
      </c>
      <c r="H878" s="16" t="s">
        <v>381</v>
      </c>
      <c r="I878" s="16">
        <v>3661</v>
      </c>
      <c r="J878" s="16">
        <v>1701</v>
      </c>
      <c r="K878" s="17" t="s">
        <v>383</v>
      </c>
    </row>
    <row r="879" spans="1:11" x14ac:dyDescent="0.25">
      <c r="A879" s="13" t="s">
        <v>268</v>
      </c>
      <c r="B879" s="13" t="s">
        <v>269</v>
      </c>
      <c r="C879" s="13" t="s">
        <v>554</v>
      </c>
      <c r="D879" s="13" t="s">
        <v>380</v>
      </c>
      <c r="E879" s="16" t="s">
        <v>13</v>
      </c>
      <c r="F879" s="16" t="s">
        <v>12</v>
      </c>
      <c r="G879" s="16" t="s">
        <v>708</v>
      </c>
      <c r="H879" s="16" t="s">
        <v>708</v>
      </c>
      <c r="I879" s="16">
        <v>1267</v>
      </c>
      <c r="J879" s="16">
        <v>950</v>
      </c>
      <c r="K879" s="17" t="s">
        <v>383</v>
      </c>
    </row>
    <row r="880" spans="1:11" x14ac:dyDescent="0.25">
      <c r="A880" s="13" t="s">
        <v>271</v>
      </c>
      <c r="B880" s="13" t="s">
        <v>272</v>
      </c>
      <c r="C880" s="13" t="s">
        <v>439</v>
      </c>
      <c r="D880" s="13" t="s">
        <v>380</v>
      </c>
      <c r="E880" s="16" t="s">
        <v>13</v>
      </c>
      <c r="F880" s="16" t="s">
        <v>12</v>
      </c>
      <c r="G880" s="16" t="s">
        <v>708</v>
      </c>
      <c r="H880" s="16" t="s">
        <v>708</v>
      </c>
      <c r="I880" s="16">
        <v>1379</v>
      </c>
      <c r="J880" s="16">
        <v>1053</v>
      </c>
      <c r="K880" s="17" t="s">
        <v>383</v>
      </c>
    </row>
    <row r="881" spans="1:11" x14ac:dyDescent="0.25">
      <c r="A881" s="13" t="s">
        <v>2067</v>
      </c>
      <c r="B881" s="13" t="s">
        <v>2068</v>
      </c>
      <c r="C881" s="13" t="s">
        <v>684</v>
      </c>
      <c r="D881" s="13" t="s">
        <v>2069</v>
      </c>
      <c r="E881" s="16" t="s">
        <v>13</v>
      </c>
      <c r="F881" s="16" t="s">
        <v>12</v>
      </c>
      <c r="G881" s="16" t="s">
        <v>2070</v>
      </c>
      <c r="H881" s="16" t="s">
        <v>2070</v>
      </c>
      <c r="I881" s="16">
        <v>5050</v>
      </c>
      <c r="J881" s="16">
        <v>3964</v>
      </c>
      <c r="K881" s="18" t="str">
        <f>HYPERLINK("mailto:ncdrisc@imperial.ac.uk", "contact")</f>
        <v>contact</v>
      </c>
    </row>
    <row r="882" spans="1:11" x14ac:dyDescent="0.25">
      <c r="A882" s="13" t="s">
        <v>2071</v>
      </c>
      <c r="B882" s="13" t="s">
        <v>2068</v>
      </c>
      <c r="C882" s="13" t="s">
        <v>400</v>
      </c>
      <c r="D882" s="13" t="s">
        <v>2072</v>
      </c>
      <c r="E882" s="16" t="s">
        <v>13</v>
      </c>
      <c r="F882" s="16" t="s">
        <v>12</v>
      </c>
      <c r="G882" s="16" t="s">
        <v>462</v>
      </c>
      <c r="H882" s="16" t="s">
        <v>462</v>
      </c>
      <c r="I882" s="16">
        <v>1038</v>
      </c>
      <c r="J882" s="16">
        <v>936</v>
      </c>
      <c r="K882" s="18" t="str">
        <f>HYPERLINK("mailto:maria.dorobantu@gmail.com", "contact")</f>
        <v>contact</v>
      </c>
    </row>
    <row r="883" spans="1:11" x14ac:dyDescent="0.25">
      <c r="A883" s="13" t="s">
        <v>2073</v>
      </c>
      <c r="B883" s="13" t="s">
        <v>2068</v>
      </c>
      <c r="C883" s="13" t="s">
        <v>1089</v>
      </c>
      <c r="D883" s="13" t="s">
        <v>2074</v>
      </c>
      <c r="E883" s="16" t="s">
        <v>13</v>
      </c>
      <c r="F883" s="16" t="s">
        <v>12</v>
      </c>
      <c r="G883" s="16" t="s">
        <v>869</v>
      </c>
      <c r="H883" s="16" t="s">
        <v>869</v>
      </c>
      <c r="I883" s="16">
        <v>1431</v>
      </c>
      <c r="J883" s="16">
        <v>1285</v>
      </c>
      <c r="K883" s="18" t="str">
        <f>HYPERLINK("mailto:mmota53@yahoo.com", "contact")</f>
        <v>contact</v>
      </c>
    </row>
    <row r="884" spans="1:11" x14ac:dyDescent="0.25">
      <c r="A884" s="13" t="s">
        <v>2075</v>
      </c>
      <c r="B884" s="13" t="s">
        <v>2068</v>
      </c>
      <c r="C884" s="13" t="s">
        <v>491</v>
      </c>
      <c r="D884" s="13" t="s">
        <v>2076</v>
      </c>
      <c r="E884" s="16" t="s">
        <v>13</v>
      </c>
      <c r="F884" s="16" t="s">
        <v>12</v>
      </c>
      <c r="G884" s="16" t="s">
        <v>462</v>
      </c>
      <c r="H884" s="16" t="s">
        <v>462</v>
      </c>
      <c r="I884" s="16">
        <v>884</v>
      </c>
      <c r="J884" s="16">
        <v>588</v>
      </c>
      <c r="K884" s="18" t="str">
        <f>HYPERLINK("mailto:maria.dorobantu@gmail.com", "contact")</f>
        <v>contact</v>
      </c>
    </row>
    <row r="885" spans="1:11" x14ac:dyDescent="0.25">
      <c r="A885" s="13" t="s">
        <v>2077</v>
      </c>
      <c r="B885" s="13" t="s">
        <v>2078</v>
      </c>
      <c r="C885" s="13" t="s">
        <v>826</v>
      </c>
      <c r="D885" s="13" t="s">
        <v>827</v>
      </c>
      <c r="E885" s="16" t="s">
        <v>41</v>
      </c>
      <c r="F885" s="16" t="s">
        <v>40</v>
      </c>
      <c r="G885" s="16" t="s">
        <v>828</v>
      </c>
      <c r="H885" s="16" t="s">
        <v>828</v>
      </c>
      <c r="I885" s="16">
        <v>5079</v>
      </c>
      <c r="J885" s="16">
        <v>4244</v>
      </c>
      <c r="K885" s="18" t="str">
        <f>HYPERLINK("mailto:h.pikhart@ucl.ac.uk", "contact")</f>
        <v>contact</v>
      </c>
    </row>
    <row r="886" spans="1:11" x14ac:dyDescent="0.25">
      <c r="A886" s="13" t="s">
        <v>2079</v>
      </c>
      <c r="B886" s="13" t="s">
        <v>2078</v>
      </c>
      <c r="C886" s="13" t="s">
        <v>1089</v>
      </c>
      <c r="D886" s="13" t="s">
        <v>2080</v>
      </c>
      <c r="E886" s="16" t="s">
        <v>13</v>
      </c>
      <c r="F886" s="16" t="s">
        <v>12</v>
      </c>
      <c r="G886" s="16" t="s">
        <v>398</v>
      </c>
      <c r="H886" s="16" t="s">
        <v>398</v>
      </c>
      <c r="I886" s="16">
        <v>11639</v>
      </c>
      <c r="J886" s="16">
        <v>6979</v>
      </c>
      <c r="K886" s="18" t="str">
        <f>HYPERLINK("mailto:svetlanashalnova@yandex.ru", "contact")</f>
        <v>contact</v>
      </c>
    </row>
    <row r="887" spans="1:11" x14ac:dyDescent="0.25">
      <c r="A887" s="13" t="s">
        <v>2081</v>
      </c>
      <c r="B887" s="13" t="s">
        <v>2078</v>
      </c>
      <c r="C887" s="13" t="s">
        <v>739</v>
      </c>
      <c r="D887" s="13" t="s">
        <v>2082</v>
      </c>
      <c r="E887" s="16" t="s">
        <v>53</v>
      </c>
      <c r="F887" s="16" t="s">
        <v>468</v>
      </c>
      <c r="G887" s="16" t="s">
        <v>473</v>
      </c>
      <c r="H887" s="16" t="s">
        <v>473</v>
      </c>
      <c r="I887" s="16">
        <v>1869</v>
      </c>
      <c r="J887" s="16">
        <v>1524</v>
      </c>
      <c r="K887" s="18" t="str">
        <f>HYPERLINK("mailto:bikbov.m@gmail.com", "contact")</f>
        <v>contact</v>
      </c>
    </row>
    <row r="888" spans="1:11" x14ac:dyDescent="0.25">
      <c r="A888" s="13" t="s">
        <v>2083</v>
      </c>
      <c r="B888" s="13" t="s">
        <v>2078</v>
      </c>
      <c r="C888" s="13" t="s">
        <v>739</v>
      </c>
      <c r="D888" s="13" t="s">
        <v>2082</v>
      </c>
      <c r="E888" s="16" t="s">
        <v>41</v>
      </c>
      <c r="F888" s="16" t="s">
        <v>40</v>
      </c>
      <c r="G888" s="16" t="s">
        <v>473</v>
      </c>
      <c r="H888" s="16" t="s">
        <v>473</v>
      </c>
      <c r="I888" s="16">
        <v>1437</v>
      </c>
      <c r="J888" s="16">
        <v>1035</v>
      </c>
      <c r="K888" s="18" t="str">
        <f>HYPERLINK("mailto:bikbov.m@gmail.com", "contact")</f>
        <v>contact</v>
      </c>
    </row>
    <row r="889" spans="1:11" x14ac:dyDescent="0.25">
      <c r="A889" s="13" t="s">
        <v>2084</v>
      </c>
      <c r="B889" s="13" t="s">
        <v>2078</v>
      </c>
      <c r="C889" s="13" t="s">
        <v>463</v>
      </c>
      <c r="D889" s="13" t="s">
        <v>2085</v>
      </c>
      <c r="E889" s="16" t="s">
        <v>53</v>
      </c>
      <c r="F889" s="16" t="s">
        <v>12</v>
      </c>
      <c r="G889" s="16" t="s">
        <v>398</v>
      </c>
      <c r="H889" s="16" t="s">
        <v>398</v>
      </c>
      <c r="I889" s="16">
        <v>3699</v>
      </c>
      <c r="J889" s="16">
        <v>2980</v>
      </c>
      <c r="K889" s="18" t="str">
        <f>HYPERLINK("mailto:Jbalanova@gnicpm.ru", "contact")</f>
        <v>contact</v>
      </c>
    </row>
    <row r="890" spans="1:11" x14ac:dyDescent="0.25">
      <c r="A890" s="13" t="s">
        <v>2086</v>
      </c>
      <c r="B890" s="13" t="s">
        <v>2078</v>
      </c>
      <c r="C890" s="13" t="s">
        <v>1615</v>
      </c>
      <c r="D890" s="13" t="s">
        <v>2087</v>
      </c>
      <c r="E890" s="16" t="s">
        <v>41</v>
      </c>
      <c r="F890" s="16" t="s">
        <v>12</v>
      </c>
      <c r="G890" s="16" t="s">
        <v>1145</v>
      </c>
      <c r="H890" s="16" t="s">
        <v>1145</v>
      </c>
      <c r="I890" s="16">
        <v>635</v>
      </c>
      <c r="J890" s="16">
        <v>231</v>
      </c>
      <c r="K890" s="18" t="str">
        <f>HYPERLINK("mailto:rakhimova_ellina@mail.ru", "contact")</f>
        <v>contact</v>
      </c>
    </row>
    <row r="891" spans="1:11" x14ac:dyDescent="0.25">
      <c r="A891" s="13" t="s">
        <v>274</v>
      </c>
      <c r="B891" s="13" t="s">
        <v>275</v>
      </c>
      <c r="C891" s="13" t="s">
        <v>439</v>
      </c>
      <c r="D891" s="13" t="s">
        <v>380</v>
      </c>
      <c r="E891" s="16" t="s">
        <v>13</v>
      </c>
      <c r="F891" s="16" t="s">
        <v>12</v>
      </c>
      <c r="G891" s="16" t="s">
        <v>708</v>
      </c>
      <c r="H891" s="16" t="s">
        <v>708</v>
      </c>
      <c r="I891" s="16">
        <v>4066</v>
      </c>
      <c r="J891" s="16">
        <v>2524</v>
      </c>
      <c r="K891" s="17" t="s">
        <v>383</v>
      </c>
    </row>
    <row r="892" spans="1:11" x14ac:dyDescent="0.25">
      <c r="A892" s="13" t="s">
        <v>276</v>
      </c>
      <c r="B892" s="13" t="s">
        <v>275</v>
      </c>
      <c r="C892" s="13" t="s">
        <v>1754</v>
      </c>
      <c r="D892" s="13" t="s">
        <v>380</v>
      </c>
      <c r="E892" s="16" t="s">
        <v>13</v>
      </c>
      <c r="F892" s="16" t="s">
        <v>12</v>
      </c>
      <c r="G892" s="16" t="s">
        <v>381</v>
      </c>
      <c r="H892" s="16" t="s">
        <v>381</v>
      </c>
      <c r="I892" s="16">
        <v>3389</v>
      </c>
      <c r="J892" s="16">
        <v>2130</v>
      </c>
      <c r="K892" s="17" t="s">
        <v>383</v>
      </c>
    </row>
    <row r="893" spans="1:11" x14ac:dyDescent="0.25">
      <c r="A893" s="13" t="s">
        <v>2088</v>
      </c>
      <c r="B893" s="13" t="s">
        <v>2089</v>
      </c>
      <c r="C893" s="13" t="s">
        <v>455</v>
      </c>
      <c r="D893" s="13" t="s">
        <v>2090</v>
      </c>
      <c r="E893" s="16" t="s">
        <v>13</v>
      </c>
      <c r="F893" s="16" t="s">
        <v>12</v>
      </c>
      <c r="G893" s="16" t="s">
        <v>1447</v>
      </c>
      <c r="H893" s="16" t="s">
        <v>1447</v>
      </c>
      <c r="I893" s="16">
        <v>8804</v>
      </c>
      <c r="J893" s="16">
        <v>8002</v>
      </c>
      <c r="K893" s="18" t="str">
        <f>HYPERLINK("mailto:ncdrisc@imperial.ac.uk", "contact")</f>
        <v>contact</v>
      </c>
    </row>
    <row r="894" spans="1:11" x14ac:dyDescent="0.25">
      <c r="A894" s="13" t="s">
        <v>2091</v>
      </c>
      <c r="B894" s="13" t="s">
        <v>2089</v>
      </c>
      <c r="C894" s="13" t="s">
        <v>396</v>
      </c>
      <c r="D894" s="13" t="s">
        <v>380</v>
      </c>
      <c r="E894" s="16" t="s">
        <v>13</v>
      </c>
      <c r="F894" s="16" t="s">
        <v>12</v>
      </c>
      <c r="G894" s="16" t="s">
        <v>2092</v>
      </c>
      <c r="H894" s="16" t="s">
        <v>708</v>
      </c>
      <c r="I894" s="16">
        <v>2231</v>
      </c>
      <c r="J894" s="16">
        <v>2155</v>
      </c>
      <c r="K894" s="18" t="str">
        <f>HYPERLINK("mailto:ncdrisc@imperial.ac.uk", "contact")</f>
        <v>contact</v>
      </c>
    </row>
    <row r="895" spans="1:11" x14ac:dyDescent="0.25">
      <c r="A895" s="13" t="s">
        <v>2093</v>
      </c>
      <c r="B895" s="13" t="s">
        <v>2089</v>
      </c>
      <c r="C895" s="13" t="s">
        <v>639</v>
      </c>
      <c r="D895" s="13" t="s">
        <v>2094</v>
      </c>
      <c r="E895" s="16" t="s">
        <v>41</v>
      </c>
      <c r="F895" s="16" t="s">
        <v>40</v>
      </c>
      <c r="G895" s="16" t="s">
        <v>462</v>
      </c>
      <c r="H895" s="16" t="s">
        <v>462</v>
      </c>
      <c r="I895" s="16">
        <v>1267</v>
      </c>
      <c r="J895" s="16">
        <v>1409</v>
      </c>
      <c r="K895" s="18" t="str">
        <f>HYPERLINK("mailto:ncdrisc@imperial.ac.uk", "contact")</f>
        <v>contact</v>
      </c>
    </row>
    <row r="896" spans="1:11" x14ac:dyDescent="0.25">
      <c r="A896" s="13" t="s">
        <v>2095</v>
      </c>
      <c r="B896" s="13" t="s">
        <v>2089</v>
      </c>
      <c r="C896" s="13" t="s">
        <v>400</v>
      </c>
      <c r="D896" s="13" t="s">
        <v>2096</v>
      </c>
      <c r="E896" s="16" t="s">
        <v>13</v>
      </c>
      <c r="F896" s="16" t="s">
        <v>12</v>
      </c>
      <c r="G896" s="16" t="s">
        <v>558</v>
      </c>
      <c r="H896" s="16" t="s">
        <v>558</v>
      </c>
      <c r="I896" s="16">
        <v>256</v>
      </c>
      <c r="J896" s="16">
        <v>430</v>
      </c>
      <c r="K896" s="18" t="str">
        <f>HYPERLINK("mailto:fadia.albuhairan@gmail.com", "contact")</f>
        <v>contact</v>
      </c>
    </row>
    <row r="897" spans="1:11" x14ac:dyDescent="0.25">
      <c r="A897" s="13" t="s">
        <v>2097</v>
      </c>
      <c r="B897" s="13" t="s">
        <v>279</v>
      </c>
      <c r="C897" s="13" t="s">
        <v>520</v>
      </c>
      <c r="D897" s="13" t="s">
        <v>380</v>
      </c>
      <c r="E897" s="16" t="s">
        <v>53</v>
      </c>
      <c r="F897" s="16" t="s">
        <v>12</v>
      </c>
      <c r="G897" s="16" t="s">
        <v>398</v>
      </c>
      <c r="H897" s="16" t="s">
        <v>398</v>
      </c>
      <c r="I897" s="16">
        <v>321</v>
      </c>
      <c r="J897" s="16">
        <v>145</v>
      </c>
      <c r="K897" s="18" t="str">
        <f>HYPERLINK("mailto:ncdrisc@imperial.ac.uk", "contact")</f>
        <v>contact</v>
      </c>
    </row>
    <row r="898" spans="1:11" x14ac:dyDescent="0.25">
      <c r="A898" s="13" t="s">
        <v>278</v>
      </c>
      <c r="B898" s="13" t="s">
        <v>279</v>
      </c>
      <c r="C898" s="13" t="s">
        <v>404</v>
      </c>
      <c r="D898" s="13" t="s">
        <v>380</v>
      </c>
      <c r="E898" s="16" t="s">
        <v>13</v>
      </c>
      <c r="F898" s="16" t="s">
        <v>12</v>
      </c>
      <c r="G898" s="16" t="s">
        <v>381</v>
      </c>
      <c r="H898" s="16" t="s">
        <v>381</v>
      </c>
      <c r="I898" s="16">
        <v>4594</v>
      </c>
      <c r="J898" s="16">
        <v>2707</v>
      </c>
      <c r="K898" s="17" t="s">
        <v>383</v>
      </c>
    </row>
    <row r="899" spans="1:11" x14ac:dyDescent="0.25">
      <c r="A899" s="13" t="s">
        <v>2098</v>
      </c>
      <c r="B899" s="13" t="s">
        <v>2099</v>
      </c>
      <c r="C899" s="13" t="s">
        <v>460</v>
      </c>
      <c r="D899" s="13" t="s">
        <v>2100</v>
      </c>
      <c r="E899" s="16" t="s">
        <v>53</v>
      </c>
      <c r="F899" s="16" t="s">
        <v>12</v>
      </c>
      <c r="G899" s="16" t="s">
        <v>394</v>
      </c>
      <c r="H899" s="16" t="s">
        <v>394</v>
      </c>
      <c r="I899" s="16">
        <v>242</v>
      </c>
      <c r="J899" s="16">
        <v>216</v>
      </c>
      <c r="K899" s="18" t="str">
        <f>HYPERLINK("mailto:kocomanou@gmail.com", "contact")</f>
        <v>contact</v>
      </c>
    </row>
    <row r="900" spans="1:11" x14ac:dyDescent="0.25">
      <c r="A900" s="13" t="s">
        <v>2101</v>
      </c>
      <c r="B900" s="13" t="s">
        <v>2099</v>
      </c>
      <c r="C900" s="13" t="s">
        <v>489</v>
      </c>
      <c r="D900" s="13" t="s">
        <v>2102</v>
      </c>
      <c r="E900" s="16" t="s">
        <v>41</v>
      </c>
      <c r="F900" s="16" t="s">
        <v>12</v>
      </c>
      <c r="G900" s="16" t="s">
        <v>434</v>
      </c>
      <c r="H900" s="16" t="s">
        <v>434</v>
      </c>
      <c r="I900" s="16">
        <v>765</v>
      </c>
      <c r="J900" s="16">
        <v>732</v>
      </c>
      <c r="K900" s="18" t="str">
        <f>HYPERLINK("mailto:priscilla.duboz@cnrs.fr", "contact")</f>
        <v>contact</v>
      </c>
    </row>
    <row r="901" spans="1:11" x14ac:dyDescent="0.25">
      <c r="A901" s="13" t="s">
        <v>2103</v>
      </c>
      <c r="B901" s="13" t="s">
        <v>2099</v>
      </c>
      <c r="C901" s="13" t="s">
        <v>489</v>
      </c>
      <c r="D901" s="13" t="s">
        <v>2104</v>
      </c>
      <c r="E901" s="16" t="s">
        <v>13</v>
      </c>
      <c r="F901" s="16" t="s">
        <v>12</v>
      </c>
      <c r="G901" s="16" t="s">
        <v>1845</v>
      </c>
      <c r="H901" s="16" t="s">
        <v>1845</v>
      </c>
      <c r="I901" s="16">
        <v>3336</v>
      </c>
      <c r="J901" s="16">
        <v>1923</v>
      </c>
      <c r="K901" s="18" t="str">
        <f>HYPERLINK("https://extranet.who.int/ncdsmicrodata/index.php/catalog/", "website")</f>
        <v>website</v>
      </c>
    </row>
    <row r="902" spans="1:11" x14ac:dyDescent="0.25">
      <c r="A902" s="13" t="s">
        <v>2105</v>
      </c>
      <c r="B902" s="13" t="s">
        <v>2106</v>
      </c>
      <c r="C902" s="13" t="s">
        <v>2107</v>
      </c>
      <c r="D902" s="13" t="s">
        <v>2108</v>
      </c>
      <c r="E902" s="16" t="s">
        <v>13</v>
      </c>
      <c r="F902" s="16" t="s">
        <v>12</v>
      </c>
      <c r="G902" s="16" t="s">
        <v>394</v>
      </c>
      <c r="H902" s="16" t="s">
        <v>394</v>
      </c>
      <c r="I902" s="16">
        <v>900</v>
      </c>
      <c r="J902" s="16">
        <v>959</v>
      </c>
      <c r="K902" s="18" t="str">
        <f>HYPERLINK("mailto:ephleej@nus.edu.sg", "contact")</f>
        <v>contact</v>
      </c>
    </row>
    <row r="903" spans="1:11" x14ac:dyDescent="0.25">
      <c r="A903" s="13" t="s">
        <v>2109</v>
      </c>
      <c r="B903" s="13" t="s">
        <v>2106</v>
      </c>
      <c r="C903" s="13" t="s">
        <v>452</v>
      </c>
      <c r="D903" s="13" t="s">
        <v>2110</v>
      </c>
      <c r="E903" s="16" t="s">
        <v>13</v>
      </c>
      <c r="F903" s="16" t="s">
        <v>12</v>
      </c>
      <c r="G903" s="16" t="s">
        <v>708</v>
      </c>
      <c r="H903" s="16" t="s">
        <v>708</v>
      </c>
      <c r="I903" s="16">
        <v>1703</v>
      </c>
      <c r="J903" s="16">
        <v>1744</v>
      </c>
      <c r="K903" s="18" t="str">
        <f>HYPERLINK("mailto:ncdrisc@imperial.ac.uk", "contact")</f>
        <v>contact</v>
      </c>
    </row>
    <row r="904" spans="1:11" x14ac:dyDescent="0.25">
      <c r="A904" s="13" t="s">
        <v>2111</v>
      </c>
      <c r="B904" s="13" t="s">
        <v>2106</v>
      </c>
      <c r="C904" s="13" t="s">
        <v>603</v>
      </c>
      <c r="D904" s="13" t="s">
        <v>2112</v>
      </c>
      <c r="E904" s="16" t="s">
        <v>13</v>
      </c>
      <c r="F904" s="16" t="s">
        <v>12</v>
      </c>
      <c r="G904" s="16" t="s">
        <v>469</v>
      </c>
      <c r="H904" s="16" t="s">
        <v>469</v>
      </c>
      <c r="I904" s="16">
        <v>484</v>
      </c>
      <c r="J904" s="16">
        <v>495</v>
      </c>
      <c r="K904" s="18" t="str">
        <f>HYPERLINK("mailto:weiyenlim@gmail.com", "contact")</f>
        <v>contact</v>
      </c>
    </row>
    <row r="905" spans="1:11" x14ac:dyDescent="0.25">
      <c r="A905" s="13" t="s">
        <v>2113</v>
      </c>
      <c r="B905" s="13" t="s">
        <v>2106</v>
      </c>
      <c r="C905" s="13" t="s">
        <v>455</v>
      </c>
      <c r="D905" s="13" t="s">
        <v>2110</v>
      </c>
      <c r="E905" s="16" t="s">
        <v>13</v>
      </c>
      <c r="F905" s="16" t="s">
        <v>12</v>
      </c>
      <c r="G905" s="16" t="s">
        <v>381</v>
      </c>
      <c r="H905" s="16" t="s">
        <v>381</v>
      </c>
      <c r="I905" s="16">
        <v>2262</v>
      </c>
      <c r="J905" s="16">
        <v>2280</v>
      </c>
      <c r="K905" s="18" t="str">
        <f>HYPERLINK("mailto:ncdrisc@imperial.ac.uk", "contact")</f>
        <v>contact</v>
      </c>
    </row>
    <row r="906" spans="1:11" x14ac:dyDescent="0.25">
      <c r="A906" s="13" t="s">
        <v>2114</v>
      </c>
      <c r="B906" s="13" t="s">
        <v>2106</v>
      </c>
      <c r="C906" s="13" t="s">
        <v>409</v>
      </c>
      <c r="D906" s="13" t="s">
        <v>2110</v>
      </c>
      <c r="E906" s="16" t="s">
        <v>13</v>
      </c>
      <c r="F906" s="16" t="s">
        <v>12</v>
      </c>
      <c r="G906" s="16" t="s">
        <v>812</v>
      </c>
      <c r="H906" s="16" t="s">
        <v>812</v>
      </c>
      <c r="I906" s="16">
        <v>1842</v>
      </c>
      <c r="J906" s="16">
        <v>1796</v>
      </c>
      <c r="K906" s="18" t="str">
        <f>HYPERLINK("mailto:ncdrisc@imperial.ac.uk", "contact")</f>
        <v>contact</v>
      </c>
    </row>
    <row r="907" spans="1:11" x14ac:dyDescent="0.25">
      <c r="A907" s="13" t="s">
        <v>2115</v>
      </c>
      <c r="B907" s="13" t="s">
        <v>2106</v>
      </c>
      <c r="C907" s="13" t="s">
        <v>546</v>
      </c>
      <c r="D907" s="13" t="s">
        <v>2116</v>
      </c>
      <c r="E907" s="16" t="s">
        <v>41</v>
      </c>
      <c r="F907" s="16" t="s">
        <v>12</v>
      </c>
      <c r="G907" s="16" t="s">
        <v>1836</v>
      </c>
      <c r="H907" s="16" t="s">
        <v>1836</v>
      </c>
      <c r="I907" s="16">
        <v>1766</v>
      </c>
      <c r="J907" s="16">
        <v>1031</v>
      </c>
      <c r="K907" s="18" t="str">
        <f>HYPERLINK("mailto:pcmngtp@nus.edu.sg", "contact")</f>
        <v>contact</v>
      </c>
    </row>
    <row r="908" spans="1:11" x14ac:dyDescent="0.25">
      <c r="A908" s="13" t="s">
        <v>2117</v>
      </c>
      <c r="B908" s="13" t="s">
        <v>2106</v>
      </c>
      <c r="C908" s="13" t="s">
        <v>2118</v>
      </c>
      <c r="D908" s="13" t="s">
        <v>2119</v>
      </c>
      <c r="E908" s="16" t="s">
        <v>13</v>
      </c>
      <c r="F908" s="16" t="s">
        <v>12</v>
      </c>
      <c r="G908" s="16" t="s">
        <v>1456</v>
      </c>
      <c r="H908" s="16" t="s">
        <v>1456</v>
      </c>
      <c r="I908" s="16">
        <v>4489</v>
      </c>
      <c r="J908" s="16">
        <v>3868</v>
      </c>
      <c r="K908" s="18" t="str">
        <f>HYPERLINK("mailto:e_shyong_tai@nuhs.edu.sg", "contact")</f>
        <v>contact</v>
      </c>
    </row>
    <row r="909" spans="1:11" x14ac:dyDescent="0.25">
      <c r="A909" s="13" t="s">
        <v>2120</v>
      </c>
      <c r="B909" s="13" t="s">
        <v>2106</v>
      </c>
      <c r="C909" s="13" t="s">
        <v>616</v>
      </c>
      <c r="D909" s="13" t="s">
        <v>2121</v>
      </c>
      <c r="E909" s="16" t="s">
        <v>41</v>
      </c>
      <c r="F909" s="16" t="s">
        <v>12</v>
      </c>
      <c r="G909" s="16" t="s">
        <v>2122</v>
      </c>
      <c r="H909" s="16" t="s">
        <v>2122</v>
      </c>
      <c r="I909" s="16">
        <v>1597</v>
      </c>
      <c r="J909" s="16">
        <v>1590</v>
      </c>
      <c r="K909" s="18" t="str">
        <f>HYPERLINK("mailto:ching-yu_cheng@nuhs.edu.sg", "contact")</f>
        <v>contact</v>
      </c>
    </row>
    <row r="910" spans="1:11" x14ac:dyDescent="0.25">
      <c r="A910" s="13" t="s">
        <v>2123</v>
      </c>
      <c r="B910" s="13" t="s">
        <v>2106</v>
      </c>
      <c r="C910" s="13" t="s">
        <v>2124</v>
      </c>
      <c r="D910" s="13" t="s">
        <v>2125</v>
      </c>
      <c r="E910" s="16" t="s">
        <v>41</v>
      </c>
      <c r="F910" s="16" t="s">
        <v>12</v>
      </c>
      <c r="G910" s="16" t="s">
        <v>1836</v>
      </c>
      <c r="H910" s="16" t="s">
        <v>1836</v>
      </c>
      <c r="I910" s="16">
        <v>2000</v>
      </c>
      <c r="J910" s="16">
        <v>1216</v>
      </c>
      <c r="K910" s="18" t="str">
        <f>HYPERLINK("mailto:pcmngtp@nus.edu.sg", "contact")</f>
        <v>contact</v>
      </c>
    </row>
    <row r="911" spans="1:11" x14ac:dyDescent="0.25">
      <c r="A911" s="13" t="s">
        <v>2126</v>
      </c>
      <c r="B911" s="13" t="s">
        <v>2106</v>
      </c>
      <c r="C911" s="13" t="s">
        <v>562</v>
      </c>
      <c r="D911" s="13" t="s">
        <v>2127</v>
      </c>
      <c r="E911" s="16" t="s">
        <v>13</v>
      </c>
      <c r="F911" s="16" t="s">
        <v>12</v>
      </c>
      <c r="G911" s="16" t="s">
        <v>614</v>
      </c>
      <c r="H911" s="16" t="s">
        <v>614</v>
      </c>
      <c r="I911" s="16">
        <v>1192</v>
      </c>
      <c r="J911" s="16">
        <v>1128</v>
      </c>
      <c r="K911" s="18" t="str">
        <f>HYPERLINK("mailto:weiyenlim@gmail.com", "contact")</f>
        <v>contact</v>
      </c>
    </row>
    <row r="912" spans="1:11" x14ac:dyDescent="0.25">
      <c r="A912" s="13" t="s">
        <v>2128</v>
      </c>
      <c r="B912" s="13" t="s">
        <v>2106</v>
      </c>
      <c r="C912" s="13" t="s">
        <v>570</v>
      </c>
      <c r="D912" s="13" t="s">
        <v>2129</v>
      </c>
      <c r="E912" s="16" t="s">
        <v>13</v>
      </c>
      <c r="F912" s="16" t="s">
        <v>12</v>
      </c>
      <c r="G912" s="16" t="s">
        <v>614</v>
      </c>
      <c r="H912" s="16" t="s">
        <v>614</v>
      </c>
      <c r="I912" s="16">
        <v>1476</v>
      </c>
      <c r="J912" s="16">
        <v>1203</v>
      </c>
      <c r="K912" s="18" t="str">
        <f>HYPERLINK("mailto:rob.van.dam@nus.edu.sg", "contact")</f>
        <v>contact</v>
      </c>
    </row>
    <row r="913" spans="1:11" x14ac:dyDescent="0.25">
      <c r="A913" s="13" t="s">
        <v>2130</v>
      </c>
      <c r="B913" s="13" t="s">
        <v>2106</v>
      </c>
      <c r="C913" s="13" t="s">
        <v>739</v>
      </c>
      <c r="D913" s="13" t="s">
        <v>2121</v>
      </c>
      <c r="E913" s="16" t="s">
        <v>41</v>
      </c>
      <c r="F913" s="16" t="s">
        <v>12</v>
      </c>
      <c r="G913" s="16" t="s">
        <v>724</v>
      </c>
      <c r="H913" s="16" t="s">
        <v>724</v>
      </c>
      <c r="I913" s="16">
        <v>1193</v>
      </c>
      <c r="J913" s="16">
        <v>1169</v>
      </c>
      <c r="K913" s="18" t="str">
        <f>HYPERLINK("mailto:chingyu.cheng@duke-nus.edu.sg", "contact")</f>
        <v>contact</v>
      </c>
    </row>
    <row r="914" spans="1:11" x14ac:dyDescent="0.25">
      <c r="A914" s="13" t="s">
        <v>2131</v>
      </c>
      <c r="B914" s="13" t="s">
        <v>282</v>
      </c>
      <c r="C914" s="13" t="s">
        <v>409</v>
      </c>
      <c r="D914" s="13" t="s">
        <v>2132</v>
      </c>
      <c r="E914" s="16" t="s">
        <v>41</v>
      </c>
      <c r="F914" s="16" t="s">
        <v>468</v>
      </c>
      <c r="G914" s="16" t="s">
        <v>394</v>
      </c>
      <c r="H914" s="16" t="s">
        <v>394</v>
      </c>
      <c r="I914" s="16">
        <v>107</v>
      </c>
      <c r="J914" s="16">
        <v>106</v>
      </c>
      <c r="K914" s="18" t="str">
        <f>HYPERLINK("mailto:rohtsuka@jwrc.or.jp", "contact")</f>
        <v>contact</v>
      </c>
    </row>
    <row r="915" spans="1:11" x14ac:dyDescent="0.25">
      <c r="A915" s="13" t="s">
        <v>2133</v>
      </c>
      <c r="B915" s="13" t="s">
        <v>282</v>
      </c>
      <c r="C915" s="13" t="s">
        <v>409</v>
      </c>
      <c r="D915" s="13" t="s">
        <v>2132</v>
      </c>
      <c r="E915" s="16" t="s">
        <v>41</v>
      </c>
      <c r="F915" s="16" t="s">
        <v>40</v>
      </c>
      <c r="G915" s="16" t="s">
        <v>394</v>
      </c>
      <c r="H915" s="16" t="s">
        <v>394</v>
      </c>
      <c r="I915" s="16">
        <v>95</v>
      </c>
      <c r="J915" s="16">
        <v>91</v>
      </c>
      <c r="K915" s="18" t="str">
        <f>HYPERLINK("mailto:rohtsuka@jwrc.or.jp", "contact")</f>
        <v>contact</v>
      </c>
    </row>
    <row r="916" spans="1:11" x14ac:dyDescent="0.25">
      <c r="A916" s="13" t="s">
        <v>281</v>
      </c>
      <c r="B916" s="13" t="s">
        <v>282</v>
      </c>
      <c r="C916" s="13" t="s">
        <v>496</v>
      </c>
      <c r="D916" s="13" t="s">
        <v>380</v>
      </c>
      <c r="E916" s="16" t="s">
        <v>53</v>
      </c>
      <c r="F916" s="16" t="s">
        <v>12</v>
      </c>
      <c r="G916" s="16" t="s">
        <v>708</v>
      </c>
      <c r="H916" s="16" t="s">
        <v>708</v>
      </c>
      <c r="I916" s="16">
        <v>1368</v>
      </c>
      <c r="J916" s="16">
        <v>1159</v>
      </c>
      <c r="K916" s="17" t="s">
        <v>383</v>
      </c>
    </row>
    <row r="917" spans="1:11" x14ac:dyDescent="0.25">
      <c r="A917" s="13" t="s">
        <v>2134</v>
      </c>
      <c r="B917" s="13" t="s">
        <v>282</v>
      </c>
      <c r="C917" s="13" t="s">
        <v>670</v>
      </c>
      <c r="D917" s="13" t="s">
        <v>2135</v>
      </c>
      <c r="E917" s="16" t="s">
        <v>41</v>
      </c>
      <c r="F917" s="16" t="s">
        <v>468</v>
      </c>
      <c r="G917" s="16" t="s">
        <v>394</v>
      </c>
      <c r="H917" s="16" t="s">
        <v>394</v>
      </c>
      <c r="I917" s="16">
        <v>215</v>
      </c>
      <c r="J917" s="16">
        <v>153</v>
      </c>
      <c r="K917" s="18" t="str">
        <f>HYPERLINK("mailto:furusawa@asafas.kyoto-u.ac.jp", "contact")</f>
        <v>contact</v>
      </c>
    </row>
    <row r="918" spans="1:11" x14ac:dyDescent="0.25">
      <c r="A918" s="13" t="s">
        <v>2136</v>
      </c>
      <c r="B918" s="13" t="s">
        <v>282</v>
      </c>
      <c r="C918" s="13" t="s">
        <v>670</v>
      </c>
      <c r="D918" s="13" t="s">
        <v>2135</v>
      </c>
      <c r="E918" s="16" t="s">
        <v>41</v>
      </c>
      <c r="F918" s="16" t="s">
        <v>40</v>
      </c>
      <c r="G918" s="16" t="s">
        <v>1845</v>
      </c>
      <c r="H918" s="16" t="s">
        <v>1845</v>
      </c>
      <c r="I918" s="16">
        <v>70</v>
      </c>
      <c r="J918" s="16">
        <v>38</v>
      </c>
      <c r="K918" s="18" t="str">
        <f>HYPERLINK("mailto:furusawa@asafas.kyoto-u.ac.jp", "contact")</f>
        <v>contact</v>
      </c>
    </row>
    <row r="919" spans="1:11" x14ac:dyDescent="0.25">
      <c r="A919" s="13" t="s">
        <v>283</v>
      </c>
      <c r="B919" s="13" t="s">
        <v>282</v>
      </c>
      <c r="C919" s="13" t="s">
        <v>489</v>
      </c>
      <c r="D919" s="13" t="s">
        <v>380</v>
      </c>
      <c r="E919" s="16" t="s">
        <v>13</v>
      </c>
      <c r="F919" s="16" t="s">
        <v>12</v>
      </c>
      <c r="G919" s="16" t="s">
        <v>381</v>
      </c>
      <c r="H919" s="16" t="s">
        <v>381</v>
      </c>
      <c r="I919" s="16">
        <v>1318</v>
      </c>
      <c r="J919" s="16">
        <v>1087</v>
      </c>
      <c r="K919" s="17" t="s">
        <v>383</v>
      </c>
    </row>
    <row r="920" spans="1:11" x14ac:dyDescent="0.25">
      <c r="A920" s="13" t="s">
        <v>2138</v>
      </c>
      <c r="B920" s="13" t="s">
        <v>282</v>
      </c>
      <c r="C920" s="13" t="s">
        <v>393</v>
      </c>
      <c r="D920" s="13" t="s">
        <v>2139</v>
      </c>
      <c r="E920" s="16" t="s">
        <v>41</v>
      </c>
      <c r="F920" s="16" t="s">
        <v>12</v>
      </c>
      <c r="G920" s="16" t="s">
        <v>394</v>
      </c>
      <c r="H920" s="16" t="s">
        <v>394</v>
      </c>
      <c r="I920" s="16">
        <v>261</v>
      </c>
      <c r="J920" s="16">
        <v>117</v>
      </c>
      <c r="K920" s="18" t="str">
        <f>HYPERLINK("mailto:furusawa.takuro.3w@kyoto-u.ac.jp", "contact")</f>
        <v>contact</v>
      </c>
    </row>
    <row r="921" spans="1:11" x14ac:dyDescent="0.25">
      <c r="A921" s="13" t="s">
        <v>2140</v>
      </c>
      <c r="B921" s="13" t="s">
        <v>286</v>
      </c>
      <c r="C921" s="13" t="s">
        <v>409</v>
      </c>
      <c r="D921" s="13" t="s">
        <v>521</v>
      </c>
      <c r="E921" s="16" t="s">
        <v>41</v>
      </c>
      <c r="F921" s="16" t="s">
        <v>40</v>
      </c>
      <c r="G921" s="16" t="s">
        <v>434</v>
      </c>
      <c r="H921" s="16" t="s">
        <v>434</v>
      </c>
      <c r="I921" s="16">
        <v>822</v>
      </c>
      <c r="J921" s="16">
        <v>405</v>
      </c>
      <c r="K921" s="18" t="str">
        <f>HYPERLINK("mailto:abarcelo@med.miami.edu", "contact")</f>
        <v>contact</v>
      </c>
    </row>
    <row r="922" spans="1:11" x14ac:dyDescent="0.25">
      <c r="A922" s="13" t="s">
        <v>285</v>
      </c>
      <c r="B922" s="13" t="s">
        <v>286</v>
      </c>
      <c r="C922" s="13" t="s">
        <v>570</v>
      </c>
      <c r="D922" s="13" t="s">
        <v>2141</v>
      </c>
      <c r="E922" s="16" t="s">
        <v>13</v>
      </c>
      <c r="F922" s="16" t="s">
        <v>12</v>
      </c>
      <c r="G922" s="16" t="s">
        <v>434</v>
      </c>
      <c r="H922" s="16" t="s">
        <v>434</v>
      </c>
      <c r="I922" s="16">
        <v>2964</v>
      </c>
      <c r="J922" s="16">
        <v>1703</v>
      </c>
      <c r="K922" s="17" t="s">
        <v>383</v>
      </c>
    </row>
    <row r="923" spans="1:11" x14ac:dyDescent="0.25">
      <c r="A923" s="13" t="s">
        <v>2142</v>
      </c>
      <c r="B923" s="13" t="s">
        <v>2143</v>
      </c>
      <c r="C923" s="13" t="s">
        <v>404</v>
      </c>
      <c r="D923" s="13" t="s">
        <v>2144</v>
      </c>
      <c r="E923" s="16" t="s">
        <v>41</v>
      </c>
      <c r="F923" s="16" t="s">
        <v>40</v>
      </c>
      <c r="G923" s="16" t="s">
        <v>1354</v>
      </c>
      <c r="H923" s="16" t="s">
        <v>1354</v>
      </c>
      <c r="I923" s="16">
        <v>955</v>
      </c>
      <c r="J923" s="16">
        <v>145</v>
      </c>
      <c r="K923" s="18" t="str">
        <f>HYPERLINK("mailto:a.a.madar@medisin.uio.no", "contact")</f>
        <v>contact</v>
      </c>
    </row>
    <row r="924" spans="1:11" x14ac:dyDescent="0.25">
      <c r="A924" s="13" t="s">
        <v>288</v>
      </c>
      <c r="B924" s="13" t="s">
        <v>289</v>
      </c>
      <c r="C924" s="13" t="s">
        <v>511</v>
      </c>
      <c r="D924" s="13" t="s">
        <v>380</v>
      </c>
      <c r="E924" s="16" t="s">
        <v>13</v>
      </c>
      <c r="F924" s="16" t="s">
        <v>12</v>
      </c>
      <c r="G924" s="16" t="s">
        <v>381</v>
      </c>
      <c r="H924" s="16" t="s">
        <v>381</v>
      </c>
      <c r="I924" s="16">
        <v>1367</v>
      </c>
      <c r="J924" s="16">
        <v>979</v>
      </c>
      <c r="K924" s="17" t="s">
        <v>383</v>
      </c>
    </row>
    <row r="925" spans="1:11" x14ac:dyDescent="0.25">
      <c r="A925" s="13" t="s">
        <v>2145</v>
      </c>
      <c r="B925" s="13" t="s">
        <v>2146</v>
      </c>
      <c r="C925" s="13" t="s">
        <v>771</v>
      </c>
      <c r="D925" s="13" t="s">
        <v>2147</v>
      </c>
      <c r="E925" s="16" t="s">
        <v>53</v>
      </c>
      <c r="F925" s="16" t="s">
        <v>40</v>
      </c>
      <c r="G925" s="16" t="s">
        <v>1845</v>
      </c>
      <c r="H925" s="16" t="s">
        <v>1845</v>
      </c>
      <c r="I925" s="16">
        <v>722</v>
      </c>
      <c r="J925" s="16">
        <v>422</v>
      </c>
      <c r="K925" s="18" t="str">
        <f>HYPERLINK("mailto:mail@lizzybrewster.net; lizmbrewster@gmail.com", "contact")</f>
        <v>contact</v>
      </c>
    </row>
    <row r="926" spans="1:11" x14ac:dyDescent="0.25">
      <c r="A926" s="13" t="s">
        <v>2148</v>
      </c>
      <c r="B926" s="13" t="s">
        <v>2149</v>
      </c>
      <c r="C926" s="13" t="s">
        <v>382</v>
      </c>
      <c r="D926" s="13" t="s">
        <v>2150</v>
      </c>
      <c r="E926" s="16" t="s">
        <v>13</v>
      </c>
      <c r="F926" s="16" t="s">
        <v>12</v>
      </c>
      <c r="G926" s="16" t="s">
        <v>708</v>
      </c>
      <c r="H926" s="16" t="s">
        <v>708</v>
      </c>
      <c r="I926" s="16">
        <v>1177</v>
      </c>
      <c r="J926" s="16">
        <v>719</v>
      </c>
      <c r="K926" s="18" t="str">
        <f>HYPERLINK("mailto:maria.avdicova@vzbb.sk", "contact")</f>
        <v>contact</v>
      </c>
    </row>
    <row r="927" spans="1:11" x14ac:dyDescent="0.25">
      <c r="A927" s="13" t="s">
        <v>2151</v>
      </c>
      <c r="B927" s="13" t="s">
        <v>2149</v>
      </c>
      <c r="C927" s="13" t="s">
        <v>455</v>
      </c>
      <c r="D927" s="13" t="s">
        <v>2150</v>
      </c>
      <c r="E927" s="16" t="s">
        <v>13</v>
      </c>
      <c r="F927" s="16" t="s">
        <v>12</v>
      </c>
      <c r="G927" s="16" t="s">
        <v>708</v>
      </c>
      <c r="H927" s="16" t="s">
        <v>708</v>
      </c>
      <c r="I927" s="16">
        <v>1045</v>
      </c>
      <c r="J927" s="16">
        <v>855</v>
      </c>
      <c r="K927" s="18" t="str">
        <f>HYPERLINK("mailto:maria.avdicova@vzbb.sk", "contact")</f>
        <v>contact</v>
      </c>
    </row>
    <row r="928" spans="1:11" x14ac:dyDescent="0.25">
      <c r="A928" s="13" t="s">
        <v>2152</v>
      </c>
      <c r="B928" s="13" t="s">
        <v>2149</v>
      </c>
      <c r="C928" s="13" t="s">
        <v>471</v>
      </c>
      <c r="D928" s="13" t="s">
        <v>2150</v>
      </c>
      <c r="E928" s="16" t="s">
        <v>13</v>
      </c>
      <c r="F928" s="16" t="s">
        <v>12</v>
      </c>
      <c r="G928" s="16" t="s">
        <v>708</v>
      </c>
      <c r="H928" s="16" t="s">
        <v>708</v>
      </c>
      <c r="I928" s="16">
        <v>866</v>
      </c>
      <c r="J928" s="16">
        <v>620</v>
      </c>
      <c r="K928" s="18" t="str">
        <f>HYPERLINK("mailto:maria.avdicova@vzbb.sk", "contact")</f>
        <v>contact</v>
      </c>
    </row>
    <row r="929" spans="1:11" x14ac:dyDescent="0.25">
      <c r="A929" s="13" t="s">
        <v>2153</v>
      </c>
      <c r="B929" s="13" t="s">
        <v>2149</v>
      </c>
      <c r="C929" s="13" t="s">
        <v>479</v>
      </c>
      <c r="D929" s="13" t="s">
        <v>2150</v>
      </c>
      <c r="E929" s="16" t="s">
        <v>13</v>
      </c>
      <c r="F929" s="16" t="s">
        <v>12</v>
      </c>
      <c r="G929" s="16" t="s">
        <v>708</v>
      </c>
      <c r="H929" s="16" t="s">
        <v>708</v>
      </c>
      <c r="I929" s="16">
        <v>561</v>
      </c>
      <c r="J929" s="16">
        <v>390</v>
      </c>
      <c r="K929" s="18" t="str">
        <f>HYPERLINK("mailto:maria.avdicova@vzbb.sk", "contact")</f>
        <v>contact</v>
      </c>
    </row>
    <row r="930" spans="1:11" x14ac:dyDescent="0.25">
      <c r="A930" s="13" t="s">
        <v>2154</v>
      </c>
      <c r="B930" s="13" t="s">
        <v>2149</v>
      </c>
      <c r="C930" s="13" t="s">
        <v>400</v>
      </c>
      <c r="D930" s="13" t="s">
        <v>2155</v>
      </c>
      <c r="E930" s="16" t="s">
        <v>13</v>
      </c>
      <c r="F930" s="16" t="s">
        <v>12</v>
      </c>
      <c r="G930" s="16" t="s">
        <v>708</v>
      </c>
      <c r="H930" s="16" t="s">
        <v>708</v>
      </c>
      <c r="I930" s="16">
        <v>1091</v>
      </c>
      <c r="J930" s="16">
        <v>893</v>
      </c>
      <c r="K930" s="18" t="str">
        <f>HYPERLINK("mailto:maria.avdicova@vzbb.sk", "contact")</f>
        <v>contact</v>
      </c>
    </row>
    <row r="931" spans="1:11" x14ac:dyDescent="0.25">
      <c r="A931" s="13" t="s">
        <v>2156</v>
      </c>
      <c r="B931" s="13" t="s">
        <v>2157</v>
      </c>
      <c r="C931" s="13" t="s">
        <v>2158</v>
      </c>
      <c r="D931" s="13" t="s">
        <v>2159</v>
      </c>
      <c r="E931" s="16" t="s">
        <v>41</v>
      </c>
      <c r="F931" s="16" t="s">
        <v>40</v>
      </c>
      <c r="G931" s="16" t="s">
        <v>2160</v>
      </c>
      <c r="H931" s="16"/>
      <c r="I931" s="16">
        <v>1153</v>
      </c>
      <c r="J931" s="16"/>
      <c r="K931" s="18" t="str">
        <f>HYPERLINK("mailto:cecilia.bjorkelund@allmed.gu.se", "contact")</f>
        <v>contact</v>
      </c>
    </row>
    <row r="932" spans="1:11" x14ac:dyDescent="0.25">
      <c r="A932" s="13" t="s">
        <v>2161</v>
      </c>
      <c r="B932" s="13" t="s">
        <v>2157</v>
      </c>
      <c r="C932" s="13" t="s">
        <v>2162</v>
      </c>
      <c r="D932" s="13" t="s">
        <v>2163</v>
      </c>
      <c r="E932" s="16" t="s">
        <v>41</v>
      </c>
      <c r="F932" s="16" t="s">
        <v>12</v>
      </c>
      <c r="G932" s="16"/>
      <c r="H932" s="16" t="s">
        <v>2164</v>
      </c>
      <c r="I932" s="16"/>
      <c r="J932" s="16">
        <v>1814</v>
      </c>
      <c r="K932" s="18" t="str">
        <f>HYPERLINK("mailto:johan.sundstrom@medsci.uu.se", "contact")</f>
        <v>contact</v>
      </c>
    </row>
    <row r="933" spans="1:11" x14ac:dyDescent="0.25">
      <c r="A933" s="13" t="s">
        <v>2165</v>
      </c>
      <c r="B933" s="13" t="s">
        <v>2157</v>
      </c>
      <c r="C933" s="13" t="s">
        <v>449</v>
      </c>
      <c r="D933" s="13" t="s">
        <v>2166</v>
      </c>
      <c r="E933" s="16" t="s">
        <v>53</v>
      </c>
      <c r="F933" s="16" t="s">
        <v>12</v>
      </c>
      <c r="G933" s="16"/>
      <c r="H933" s="16" t="s">
        <v>2167</v>
      </c>
      <c r="I933" s="16"/>
      <c r="J933" s="16">
        <v>1564</v>
      </c>
      <c r="K933" s="18" t="str">
        <f>HYPERLINK("mailto:ncdrisc@imperial.ac.uk", "contact")</f>
        <v>contact</v>
      </c>
    </row>
    <row r="934" spans="1:11" x14ac:dyDescent="0.25">
      <c r="A934" s="13" t="s">
        <v>2168</v>
      </c>
      <c r="B934" s="13" t="s">
        <v>2157</v>
      </c>
      <c r="C934" s="13" t="s">
        <v>663</v>
      </c>
      <c r="D934" s="13" t="s">
        <v>2159</v>
      </c>
      <c r="E934" s="16" t="s">
        <v>41</v>
      </c>
      <c r="F934" s="16" t="s">
        <v>40</v>
      </c>
      <c r="G934" s="16" t="s">
        <v>2169</v>
      </c>
      <c r="H934" s="16"/>
      <c r="I934" s="16">
        <v>834</v>
      </c>
      <c r="J934" s="16"/>
      <c r="K934" s="18" t="str">
        <f>HYPERLINK("mailto:cecilia.bjorkelund@allmed.gu.se", "contact")</f>
        <v>contact</v>
      </c>
    </row>
    <row r="935" spans="1:11" x14ac:dyDescent="0.25">
      <c r="A935" s="13" t="s">
        <v>2170</v>
      </c>
      <c r="B935" s="13" t="s">
        <v>2157</v>
      </c>
      <c r="C935" s="13" t="s">
        <v>2171</v>
      </c>
      <c r="D935" s="13" t="s">
        <v>2163</v>
      </c>
      <c r="E935" s="16" t="s">
        <v>41</v>
      </c>
      <c r="F935" s="16" t="s">
        <v>12</v>
      </c>
      <c r="G935" s="16"/>
      <c r="H935" s="16" t="s">
        <v>2172</v>
      </c>
      <c r="I935" s="16"/>
      <c r="J935" s="16">
        <v>1151</v>
      </c>
      <c r="K935" s="18" t="str">
        <f>HYPERLINK("mailto:johan.sundstrom@medsci.uu.se", "contact")</f>
        <v>contact</v>
      </c>
    </row>
    <row r="936" spans="1:11" x14ac:dyDescent="0.25">
      <c r="A936" s="13" t="s">
        <v>2173</v>
      </c>
      <c r="B936" s="13" t="s">
        <v>2157</v>
      </c>
      <c r="C936" s="13" t="s">
        <v>406</v>
      </c>
      <c r="D936" s="13" t="s">
        <v>929</v>
      </c>
      <c r="E936" s="16" t="s">
        <v>41</v>
      </c>
      <c r="F936" s="16" t="s">
        <v>40</v>
      </c>
      <c r="G936" s="16" t="s">
        <v>936</v>
      </c>
      <c r="H936" s="16" t="s">
        <v>936</v>
      </c>
      <c r="I936" s="16">
        <v>1120</v>
      </c>
      <c r="J936" s="16">
        <v>1058</v>
      </c>
      <c r="K936" s="18" t="str">
        <f>HYPERLINK("mailto:ncdrisc@imperial.ac.uk", "contact")</f>
        <v>contact</v>
      </c>
    </row>
    <row r="937" spans="1:11" x14ac:dyDescent="0.25">
      <c r="A937" s="13" t="s">
        <v>2174</v>
      </c>
      <c r="B937" s="13" t="s">
        <v>2157</v>
      </c>
      <c r="C937" s="13" t="s">
        <v>406</v>
      </c>
      <c r="D937" s="13" t="s">
        <v>2175</v>
      </c>
      <c r="E937" s="16" t="s">
        <v>41</v>
      </c>
      <c r="F937" s="16" t="s">
        <v>40</v>
      </c>
      <c r="G937" s="16" t="s">
        <v>2176</v>
      </c>
      <c r="H937" s="16" t="s">
        <v>2176</v>
      </c>
      <c r="I937" s="16">
        <v>217</v>
      </c>
      <c r="J937" s="16">
        <v>170</v>
      </c>
      <c r="K937" s="18" t="str">
        <f>HYPERLINK("mailto:robert.eggertsen@vgregion.se", "contact")</f>
        <v>contact</v>
      </c>
    </row>
    <row r="938" spans="1:11" x14ac:dyDescent="0.25">
      <c r="A938" s="13" t="s">
        <v>2177</v>
      </c>
      <c r="B938" s="13" t="s">
        <v>2157</v>
      </c>
      <c r="C938" s="13" t="s">
        <v>917</v>
      </c>
      <c r="D938" s="13" t="s">
        <v>2178</v>
      </c>
      <c r="E938" s="16" t="s">
        <v>41</v>
      </c>
      <c r="F938" s="16" t="s">
        <v>40</v>
      </c>
      <c r="G938" s="16" t="s">
        <v>398</v>
      </c>
      <c r="H938" s="16" t="s">
        <v>398</v>
      </c>
      <c r="I938" s="16">
        <v>865</v>
      </c>
      <c r="J938" s="16">
        <v>745</v>
      </c>
      <c r="K938" s="18" t="str">
        <f>HYPERLINK("mailto:Annika.Rosengren@gu.se", "contact")</f>
        <v>contact</v>
      </c>
    </row>
    <row r="939" spans="1:11" x14ac:dyDescent="0.25">
      <c r="A939" s="13" t="s">
        <v>2179</v>
      </c>
      <c r="B939" s="13" t="s">
        <v>2157</v>
      </c>
      <c r="C939" s="13" t="s">
        <v>684</v>
      </c>
      <c r="D939" s="13" t="s">
        <v>977</v>
      </c>
      <c r="E939" s="16" t="s">
        <v>41</v>
      </c>
      <c r="F939" s="16" t="s">
        <v>40</v>
      </c>
      <c r="G939" s="16" t="s">
        <v>978</v>
      </c>
      <c r="H939" s="16" t="s">
        <v>978</v>
      </c>
      <c r="I939" s="16">
        <v>135</v>
      </c>
      <c r="J939" s="16">
        <v>137</v>
      </c>
      <c r="K939" s="18" t="str">
        <f>HYPERLINK("mailto:ncdrisc@imperial.ac.uk", "contact")</f>
        <v>contact</v>
      </c>
    </row>
    <row r="940" spans="1:11" x14ac:dyDescent="0.25">
      <c r="A940" s="13" t="s">
        <v>2180</v>
      </c>
      <c r="B940" s="13" t="s">
        <v>2157</v>
      </c>
      <c r="C940" s="13" t="s">
        <v>2181</v>
      </c>
      <c r="D940" s="13" t="s">
        <v>2163</v>
      </c>
      <c r="E940" s="16" t="s">
        <v>41</v>
      </c>
      <c r="F940" s="16" t="s">
        <v>12</v>
      </c>
      <c r="G940" s="16"/>
      <c r="H940" s="16" t="s">
        <v>2182</v>
      </c>
      <c r="I940" s="16"/>
      <c r="J940" s="16">
        <v>781</v>
      </c>
      <c r="K940" s="18" t="str">
        <f>HYPERLINK("mailto:johan.sundstrom@medsci.uu.se", "contact")</f>
        <v>contact</v>
      </c>
    </row>
    <row r="941" spans="1:11" x14ac:dyDescent="0.25">
      <c r="A941" s="13" t="s">
        <v>2183</v>
      </c>
      <c r="B941" s="13" t="s">
        <v>2157</v>
      </c>
      <c r="C941" s="13" t="s">
        <v>471</v>
      </c>
      <c r="D941" s="13" t="s">
        <v>472</v>
      </c>
      <c r="E941" s="16" t="s">
        <v>41</v>
      </c>
      <c r="F941" s="16" t="s">
        <v>12</v>
      </c>
      <c r="G941" s="16"/>
      <c r="H941" s="16" t="s">
        <v>473</v>
      </c>
      <c r="I941" s="16"/>
      <c r="J941" s="16">
        <v>404</v>
      </c>
      <c r="K941" s="18" t="str">
        <f>HYPERLINK("mailto:aleksander.giwercman@med.lu.se", "contact")</f>
        <v>contact</v>
      </c>
    </row>
    <row r="942" spans="1:11" x14ac:dyDescent="0.25">
      <c r="A942" s="13" t="s">
        <v>2184</v>
      </c>
      <c r="B942" s="13" t="s">
        <v>2157</v>
      </c>
      <c r="C942" s="13" t="s">
        <v>1026</v>
      </c>
      <c r="D942" s="13" t="s">
        <v>2185</v>
      </c>
      <c r="E942" s="16" t="s">
        <v>53</v>
      </c>
      <c r="F942" s="16" t="s">
        <v>12</v>
      </c>
      <c r="G942" s="16" t="s">
        <v>2186</v>
      </c>
      <c r="H942" s="16" t="s">
        <v>2186</v>
      </c>
      <c r="I942" s="16">
        <v>1907</v>
      </c>
      <c r="J942" s="16">
        <v>1694</v>
      </c>
      <c r="K942" s="18" t="str">
        <f>HYPERLINK("mailto:lauren.lissner@gu.se", "contact")</f>
        <v>contact</v>
      </c>
    </row>
    <row r="943" spans="1:11" x14ac:dyDescent="0.25">
      <c r="A943" s="13" t="s">
        <v>2187</v>
      </c>
      <c r="B943" s="13" t="s">
        <v>2157</v>
      </c>
      <c r="C943" s="13" t="s">
        <v>1026</v>
      </c>
      <c r="D943" s="13" t="s">
        <v>2188</v>
      </c>
      <c r="E943" s="16" t="s">
        <v>41</v>
      </c>
      <c r="F943" s="16" t="s">
        <v>12</v>
      </c>
      <c r="G943" s="16" t="s">
        <v>2137</v>
      </c>
      <c r="H943" s="16" t="s">
        <v>2137</v>
      </c>
      <c r="I943" s="16">
        <v>1527</v>
      </c>
      <c r="J943" s="16">
        <v>1512</v>
      </c>
      <c r="K943" s="18" t="str">
        <f>HYPERLINK("mailto:lars.lind@medsci.uu.se", "contact")</f>
        <v>contact</v>
      </c>
    </row>
    <row r="944" spans="1:11" x14ac:dyDescent="0.25">
      <c r="A944" s="13" t="s">
        <v>2189</v>
      </c>
      <c r="B944" s="13" t="s">
        <v>2157</v>
      </c>
      <c r="C944" s="13" t="s">
        <v>409</v>
      </c>
      <c r="D944" s="13" t="s">
        <v>2190</v>
      </c>
      <c r="E944" s="16" t="s">
        <v>41</v>
      </c>
      <c r="F944" s="16" t="s">
        <v>40</v>
      </c>
      <c r="G944" s="16" t="s">
        <v>2191</v>
      </c>
      <c r="H944" s="16" t="s">
        <v>2191</v>
      </c>
      <c r="I944" s="16">
        <v>667</v>
      </c>
      <c r="J944" s="16">
        <v>1250</v>
      </c>
      <c r="K944" s="18" t="str">
        <f>HYPERLINK("mailto:ncdrisc@imperial.ac.uk", "contact")</f>
        <v>contact</v>
      </c>
    </row>
    <row r="945" spans="1:11" x14ac:dyDescent="0.25">
      <c r="A945" s="13" t="s">
        <v>2192</v>
      </c>
      <c r="B945" s="13" t="s">
        <v>2157</v>
      </c>
      <c r="C945" s="13" t="s">
        <v>853</v>
      </c>
      <c r="D945" s="13" t="s">
        <v>2193</v>
      </c>
      <c r="E945" s="16" t="s">
        <v>41</v>
      </c>
      <c r="F945" s="16" t="s">
        <v>12</v>
      </c>
      <c r="G945" s="16" t="s">
        <v>2194</v>
      </c>
      <c r="H945" s="16" t="s">
        <v>2194</v>
      </c>
      <c r="I945" s="16">
        <v>6680</v>
      </c>
      <c r="J945" s="16">
        <v>11546</v>
      </c>
      <c r="K945" s="18" t="str">
        <f>HYPERLINK("mailto:ncdrisc@imperial.ac.uk", "contact")</f>
        <v>contact</v>
      </c>
    </row>
    <row r="946" spans="1:11" x14ac:dyDescent="0.25">
      <c r="A946" s="13" t="s">
        <v>2195</v>
      </c>
      <c r="B946" s="13" t="s">
        <v>2157</v>
      </c>
      <c r="C946" s="13" t="s">
        <v>546</v>
      </c>
      <c r="D946" s="13" t="s">
        <v>2163</v>
      </c>
      <c r="E946" s="16" t="s">
        <v>41</v>
      </c>
      <c r="F946" s="16" t="s">
        <v>12</v>
      </c>
      <c r="G946" s="16"/>
      <c r="H946" s="16" t="s">
        <v>2196</v>
      </c>
      <c r="I946" s="16"/>
      <c r="J946" s="16">
        <v>476</v>
      </c>
      <c r="K946" s="18" t="str">
        <f>HYPERLINK("mailto:johan.sundstrom@medsci.uu.se", "contact")</f>
        <v>contact</v>
      </c>
    </row>
    <row r="947" spans="1:11" x14ac:dyDescent="0.25">
      <c r="A947" s="13" t="s">
        <v>2197</v>
      </c>
      <c r="B947" s="13" t="s">
        <v>2157</v>
      </c>
      <c r="C947" s="13" t="s">
        <v>396</v>
      </c>
      <c r="D947" s="13" t="s">
        <v>2198</v>
      </c>
      <c r="E947" s="16" t="s">
        <v>53</v>
      </c>
      <c r="F947" s="16" t="s">
        <v>40</v>
      </c>
      <c r="G947" s="16" t="s">
        <v>2199</v>
      </c>
      <c r="H947" s="16" t="s">
        <v>2199</v>
      </c>
      <c r="I947" s="16">
        <v>109</v>
      </c>
      <c r="J947" s="16">
        <v>68</v>
      </c>
      <c r="K947" s="18" t="str">
        <f>HYPERLINK("mailto:ncdrisc@imperial.ac.uk", "contact")</f>
        <v>contact</v>
      </c>
    </row>
    <row r="948" spans="1:11" x14ac:dyDescent="0.25">
      <c r="A948" s="13" t="s">
        <v>2200</v>
      </c>
      <c r="B948" s="13" t="s">
        <v>2157</v>
      </c>
      <c r="C948" s="13" t="s">
        <v>396</v>
      </c>
      <c r="D948" s="13" t="s">
        <v>2159</v>
      </c>
      <c r="E948" s="16" t="s">
        <v>41</v>
      </c>
      <c r="F948" s="16" t="s">
        <v>40</v>
      </c>
      <c r="G948" s="16" t="s">
        <v>2201</v>
      </c>
      <c r="H948" s="16"/>
      <c r="I948" s="16">
        <v>500</v>
      </c>
      <c r="J948" s="16"/>
      <c r="K948" s="18" t="str">
        <f>HYPERLINK("mailto:cecilia.bjorkelund@allmed.gu.se", "contact")</f>
        <v>contact</v>
      </c>
    </row>
    <row r="949" spans="1:11" x14ac:dyDescent="0.25">
      <c r="A949" s="13" t="s">
        <v>2202</v>
      </c>
      <c r="B949" s="13" t="s">
        <v>2157</v>
      </c>
      <c r="C949" s="13" t="s">
        <v>479</v>
      </c>
      <c r="D949" s="13" t="s">
        <v>472</v>
      </c>
      <c r="E949" s="16" t="s">
        <v>41</v>
      </c>
      <c r="F949" s="16" t="s">
        <v>12</v>
      </c>
      <c r="G949" s="16"/>
      <c r="H949" s="16" t="s">
        <v>480</v>
      </c>
      <c r="I949" s="16"/>
      <c r="J949" s="16">
        <v>382</v>
      </c>
      <c r="K949" s="18" t="str">
        <f>HYPERLINK("mailto:aleksander.giwercman@med.lu.se", "contact")</f>
        <v>contact</v>
      </c>
    </row>
    <row r="950" spans="1:11" x14ac:dyDescent="0.25">
      <c r="A950" s="13" t="s">
        <v>2203</v>
      </c>
      <c r="B950" s="13" t="s">
        <v>2157</v>
      </c>
      <c r="C950" s="13" t="s">
        <v>612</v>
      </c>
      <c r="D950" s="13" t="s">
        <v>2188</v>
      </c>
      <c r="E950" s="16" t="s">
        <v>41</v>
      </c>
      <c r="F950" s="16" t="s">
        <v>12</v>
      </c>
      <c r="G950" s="16" t="s">
        <v>1694</v>
      </c>
      <c r="H950" s="16" t="s">
        <v>1694</v>
      </c>
      <c r="I950" s="16">
        <v>1440</v>
      </c>
      <c r="J950" s="16">
        <v>1389</v>
      </c>
      <c r="K950" s="18" t="str">
        <f>HYPERLINK("mailto:lars.lind@medsci.uu.se", "contact")</f>
        <v>contact</v>
      </c>
    </row>
    <row r="951" spans="1:11" x14ac:dyDescent="0.25">
      <c r="A951" s="13" t="s">
        <v>2204</v>
      </c>
      <c r="B951" s="13" t="s">
        <v>2157</v>
      </c>
      <c r="C951" s="13" t="s">
        <v>712</v>
      </c>
      <c r="D951" s="13" t="s">
        <v>2163</v>
      </c>
      <c r="E951" s="16" t="s">
        <v>41</v>
      </c>
      <c r="F951" s="16" t="s">
        <v>12</v>
      </c>
      <c r="G951" s="16"/>
      <c r="H951" s="16" t="s">
        <v>2205</v>
      </c>
      <c r="I951" s="16"/>
      <c r="J951" s="16">
        <v>275</v>
      </c>
      <c r="K951" s="18" t="str">
        <f>HYPERLINK("mailto:johan.sundstrom@medsci.uu.se", "contact")</f>
        <v>contact</v>
      </c>
    </row>
    <row r="952" spans="1:11" x14ac:dyDescent="0.25">
      <c r="A952" s="13" t="s">
        <v>2206</v>
      </c>
      <c r="B952" s="13" t="s">
        <v>2157</v>
      </c>
      <c r="C952" s="13" t="s">
        <v>567</v>
      </c>
      <c r="D952" s="13" t="s">
        <v>2188</v>
      </c>
      <c r="E952" s="16" t="s">
        <v>41</v>
      </c>
      <c r="F952" s="16" t="s">
        <v>12</v>
      </c>
      <c r="G952" s="16" t="s">
        <v>1713</v>
      </c>
      <c r="H952" s="16" t="s">
        <v>1713</v>
      </c>
      <c r="I952" s="16">
        <v>1275</v>
      </c>
      <c r="J952" s="16">
        <v>1161</v>
      </c>
      <c r="K952" s="18" t="str">
        <f>HYPERLINK("mailto:lars.lind@medsci.uu.se", "contact")</f>
        <v>contact</v>
      </c>
    </row>
    <row r="953" spans="1:11" x14ac:dyDescent="0.25">
      <c r="A953" s="13" t="s">
        <v>2207</v>
      </c>
      <c r="B953" s="13" t="s">
        <v>2157</v>
      </c>
      <c r="C953" s="13" t="s">
        <v>873</v>
      </c>
      <c r="D953" s="13" t="s">
        <v>2185</v>
      </c>
      <c r="E953" s="16" t="s">
        <v>53</v>
      </c>
      <c r="F953" s="16" t="s">
        <v>40</v>
      </c>
      <c r="G953" s="16" t="s">
        <v>2208</v>
      </c>
      <c r="H953" s="16" t="s">
        <v>2208</v>
      </c>
      <c r="I953" s="16">
        <v>659</v>
      </c>
      <c r="J953" s="16">
        <v>606</v>
      </c>
      <c r="K953" s="18" t="str">
        <f>HYPERLINK("mailto:lauren.lissner@gu.se", "contact")</f>
        <v>contact</v>
      </c>
    </row>
    <row r="954" spans="1:11" x14ac:dyDescent="0.25">
      <c r="A954" s="13" t="s">
        <v>2209</v>
      </c>
      <c r="B954" s="13" t="s">
        <v>2157</v>
      </c>
      <c r="C954" s="13" t="s">
        <v>516</v>
      </c>
      <c r="D954" s="13" t="s">
        <v>2159</v>
      </c>
      <c r="E954" s="16" t="s">
        <v>41</v>
      </c>
      <c r="F954" s="16" t="s">
        <v>40</v>
      </c>
      <c r="G954" s="16" t="s">
        <v>2201</v>
      </c>
      <c r="H954" s="16"/>
      <c r="I954" s="16">
        <v>573</v>
      </c>
      <c r="J954" s="16"/>
      <c r="K954" s="18" t="str">
        <f>HYPERLINK("mailto:cecilia.bjorkelund@allmed.gu.se", "contact")</f>
        <v>contact</v>
      </c>
    </row>
    <row r="955" spans="1:11" x14ac:dyDescent="0.25">
      <c r="A955" s="13" t="s">
        <v>291</v>
      </c>
      <c r="B955" s="13" t="s">
        <v>292</v>
      </c>
      <c r="C955" s="13" t="s">
        <v>600</v>
      </c>
      <c r="D955" s="13" t="s">
        <v>380</v>
      </c>
      <c r="E955" s="16" t="s">
        <v>13</v>
      </c>
      <c r="F955" s="16" t="s">
        <v>12</v>
      </c>
      <c r="G955" s="16" t="s">
        <v>381</v>
      </c>
      <c r="H955" s="16" t="s">
        <v>381</v>
      </c>
      <c r="I955" s="16">
        <v>1925</v>
      </c>
      <c r="J955" s="16">
        <v>1016</v>
      </c>
      <c r="K955" s="17" t="s">
        <v>383</v>
      </c>
    </row>
    <row r="956" spans="1:11" x14ac:dyDescent="0.25">
      <c r="A956" s="13" t="s">
        <v>2210</v>
      </c>
      <c r="B956" s="13" t="s">
        <v>2211</v>
      </c>
      <c r="C956" s="13" t="s">
        <v>926</v>
      </c>
      <c r="D956" s="13" t="s">
        <v>2212</v>
      </c>
      <c r="E956" s="16" t="s">
        <v>13</v>
      </c>
      <c r="F956" s="16" t="s">
        <v>12</v>
      </c>
      <c r="G956" s="16" t="s">
        <v>398</v>
      </c>
      <c r="H956" s="16" t="s">
        <v>398</v>
      </c>
      <c r="I956" s="16">
        <v>568</v>
      </c>
      <c r="J956" s="16">
        <v>513</v>
      </c>
      <c r="K956" s="18" t="str">
        <f>HYPERLINK("mailto:bovet.pascal@gmail.com", "contact")</f>
        <v>contact</v>
      </c>
    </row>
    <row r="957" spans="1:11" x14ac:dyDescent="0.25">
      <c r="A957" s="13" t="s">
        <v>2213</v>
      </c>
      <c r="B957" s="13" t="s">
        <v>2211</v>
      </c>
      <c r="C957" s="13" t="s">
        <v>409</v>
      </c>
      <c r="D957" s="13" t="s">
        <v>2214</v>
      </c>
      <c r="E957" s="16" t="s">
        <v>13</v>
      </c>
      <c r="F957" s="16" t="s">
        <v>12</v>
      </c>
      <c r="G957" s="16" t="s">
        <v>398</v>
      </c>
      <c r="H957" s="16" t="s">
        <v>398</v>
      </c>
      <c r="I957" s="16">
        <v>687</v>
      </c>
      <c r="J957" s="16">
        <v>568</v>
      </c>
      <c r="K957" s="18" t="str">
        <f>HYPERLINK("mailto:bovet.pascal@gmail.com", "contact")</f>
        <v>contact</v>
      </c>
    </row>
    <row r="958" spans="1:11" x14ac:dyDescent="0.25">
      <c r="A958" s="13" t="s">
        <v>2215</v>
      </c>
      <c r="B958" s="13" t="s">
        <v>2211</v>
      </c>
      <c r="C958" s="13" t="s">
        <v>386</v>
      </c>
      <c r="D958" s="13" t="s">
        <v>2216</v>
      </c>
      <c r="E958" s="16" t="s">
        <v>13</v>
      </c>
      <c r="F958" s="16" t="s">
        <v>12</v>
      </c>
      <c r="G958" s="16" t="s">
        <v>398</v>
      </c>
      <c r="H958" s="16" t="s">
        <v>398</v>
      </c>
      <c r="I958" s="16">
        <v>699</v>
      </c>
      <c r="J958" s="16">
        <v>531</v>
      </c>
      <c r="K958" s="18" t="str">
        <f>HYPERLINK("mailto:bovet.pascal@gmail.com", "contact")</f>
        <v>contact</v>
      </c>
    </row>
    <row r="959" spans="1:11" x14ac:dyDescent="0.25">
      <c r="A959" s="13" t="s">
        <v>2217</v>
      </c>
      <c r="B959" s="13" t="s">
        <v>2211</v>
      </c>
      <c r="C959" s="13" t="s">
        <v>1198</v>
      </c>
      <c r="D959" s="13" t="s">
        <v>2218</v>
      </c>
      <c r="E959" s="16" t="s">
        <v>13</v>
      </c>
      <c r="F959" s="16" t="s">
        <v>12</v>
      </c>
      <c r="G959" s="16" t="s">
        <v>812</v>
      </c>
      <c r="H959" s="16" t="s">
        <v>812</v>
      </c>
      <c r="I959" s="16">
        <v>654</v>
      </c>
      <c r="J959" s="16">
        <v>531</v>
      </c>
      <c r="K959" s="18" t="str">
        <f>HYPERLINK("mailto:bovet.pascal@gmail.com; pascal.bovet@unisante.ch; ", "contact")</f>
        <v>contact</v>
      </c>
    </row>
    <row r="960" spans="1:11" x14ac:dyDescent="0.25">
      <c r="A960" s="13" t="s">
        <v>2219</v>
      </c>
      <c r="B960" s="13" t="s">
        <v>2220</v>
      </c>
      <c r="C960" s="13" t="s">
        <v>493</v>
      </c>
      <c r="D960" s="13" t="s">
        <v>2221</v>
      </c>
      <c r="E960" s="16" t="s">
        <v>13</v>
      </c>
      <c r="F960" s="16" t="s">
        <v>12</v>
      </c>
      <c r="G960" s="16" t="s">
        <v>2222</v>
      </c>
      <c r="H960" s="16" t="s">
        <v>2222</v>
      </c>
      <c r="I960" s="16">
        <v>2958</v>
      </c>
      <c r="J960" s="16">
        <v>1784</v>
      </c>
      <c r="K960" s="18" t="str">
        <f>HYPERLINK("mailto:ncdrisc@imperial.ac.uk", "contact")</f>
        <v>contact</v>
      </c>
    </row>
    <row r="961" spans="1:11" x14ac:dyDescent="0.25">
      <c r="A961" s="13" t="s">
        <v>294</v>
      </c>
      <c r="B961" s="13" t="s">
        <v>295</v>
      </c>
      <c r="C961" s="13" t="s">
        <v>554</v>
      </c>
      <c r="D961" s="13" t="s">
        <v>380</v>
      </c>
      <c r="E961" s="16" t="s">
        <v>13</v>
      </c>
      <c r="F961" s="16" t="s">
        <v>12</v>
      </c>
      <c r="G961" s="16" t="s">
        <v>708</v>
      </c>
      <c r="H961" s="16" t="s">
        <v>708</v>
      </c>
      <c r="I961" s="16">
        <v>1967</v>
      </c>
      <c r="J961" s="16">
        <v>1897</v>
      </c>
      <c r="K961" s="17" t="s">
        <v>383</v>
      </c>
    </row>
    <row r="962" spans="1:11" x14ac:dyDescent="0.25">
      <c r="A962" s="13" t="s">
        <v>296</v>
      </c>
      <c r="B962" s="13" t="s">
        <v>295</v>
      </c>
      <c r="C962" s="13" t="s">
        <v>1754</v>
      </c>
      <c r="D962" s="13" t="s">
        <v>380</v>
      </c>
      <c r="E962" s="16" t="s">
        <v>13</v>
      </c>
      <c r="F962" s="16" t="s">
        <v>12</v>
      </c>
      <c r="G962" s="16" t="s">
        <v>381</v>
      </c>
      <c r="H962" s="16" t="s">
        <v>381</v>
      </c>
      <c r="I962" s="16">
        <v>2172</v>
      </c>
      <c r="J962" s="16">
        <v>1586</v>
      </c>
      <c r="K962" s="17" t="s">
        <v>383</v>
      </c>
    </row>
    <row r="963" spans="1:11" x14ac:dyDescent="0.25">
      <c r="A963" s="13" t="s">
        <v>2223</v>
      </c>
      <c r="B963" s="13" t="s">
        <v>2224</v>
      </c>
      <c r="C963" s="13" t="s">
        <v>418</v>
      </c>
      <c r="D963" s="13" t="s">
        <v>2225</v>
      </c>
      <c r="E963" s="16" t="s">
        <v>53</v>
      </c>
      <c r="F963" s="16" t="s">
        <v>40</v>
      </c>
      <c r="G963" s="16" t="s">
        <v>869</v>
      </c>
      <c r="H963" s="16" t="s">
        <v>869</v>
      </c>
      <c r="I963" s="16">
        <v>681</v>
      </c>
      <c r="J963" s="16">
        <v>442</v>
      </c>
      <c r="K963" s="18" t="str">
        <f>HYPERLINK("mailto:ncdrisc@imperial.ac.uk", "contact")</f>
        <v>contact</v>
      </c>
    </row>
    <row r="964" spans="1:11" x14ac:dyDescent="0.25">
      <c r="A964" s="13" t="s">
        <v>2226</v>
      </c>
      <c r="B964" s="13" t="s">
        <v>2224</v>
      </c>
      <c r="C964" s="13" t="s">
        <v>449</v>
      </c>
      <c r="D964" s="13" t="s">
        <v>2227</v>
      </c>
      <c r="E964" s="16" t="s">
        <v>13</v>
      </c>
      <c r="F964" s="16" t="s">
        <v>12</v>
      </c>
      <c r="G964" s="16" t="s">
        <v>394</v>
      </c>
      <c r="H964" s="16" t="s">
        <v>394</v>
      </c>
      <c r="I964" s="16">
        <v>7255</v>
      </c>
      <c r="J964" s="16">
        <v>5363</v>
      </c>
      <c r="K964" s="18" t="str">
        <f>HYPERLINK("mailto:ncdrisc@imperial.ac.uk", "contact")</f>
        <v>contact</v>
      </c>
    </row>
    <row r="965" spans="1:11" x14ac:dyDescent="0.25">
      <c r="A965" s="13" t="s">
        <v>2228</v>
      </c>
      <c r="B965" s="13" t="s">
        <v>2224</v>
      </c>
      <c r="C965" s="13" t="s">
        <v>684</v>
      </c>
      <c r="D965" s="13" t="s">
        <v>2229</v>
      </c>
      <c r="E965" s="16" t="s">
        <v>13</v>
      </c>
      <c r="F965" s="16" t="s">
        <v>12</v>
      </c>
      <c r="G965" s="16" t="s">
        <v>915</v>
      </c>
      <c r="H965" s="16" t="s">
        <v>915</v>
      </c>
      <c r="I965" s="16">
        <v>1682</v>
      </c>
      <c r="J965" s="16">
        <v>1022</v>
      </c>
      <c r="K965" s="18" t="str">
        <f>HYPERLINK("mailto:ncdrisc@imperial.ac.uk", "contact")</f>
        <v>contact</v>
      </c>
    </row>
    <row r="966" spans="1:11" x14ac:dyDescent="0.25">
      <c r="A966" s="13" t="s">
        <v>2230</v>
      </c>
      <c r="B966" s="13" t="s">
        <v>2224</v>
      </c>
      <c r="C966" s="13" t="s">
        <v>666</v>
      </c>
      <c r="D966" s="13" t="s">
        <v>2231</v>
      </c>
      <c r="E966" s="16" t="s">
        <v>13</v>
      </c>
      <c r="F966" s="16" t="s">
        <v>12</v>
      </c>
      <c r="G966" s="16" t="s">
        <v>501</v>
      </c>
      <c r="H966" s="16" t="s">
        <v>501</v>
      </c>
      <c r="I966" s="16">
        <v>3212</v>
      </c>
      <c r="J966" s="16">
        <v>2093</v>
      </c>
      <c r="K966" s="18" t="str">
        <f>HYPERLINK("mailto:paibulss@gmail.com", "contact")</f>
        <v>contact</v>
      </c>
    </row>
    <row r="967" spans="1:11" x14ac:dyDescent="0.25">
      <c r="A967" s="13" t="s">
        <v>2232</v>
      </c>
      <c r="B967" s="13" t="s">
        <v>2224</v>
      </c>
      <c r="C967" s="13" t="s">
        <v>409</v>
      </c>
      <c r="D967" s="13" t="s">
        <v>2233</v>
      </c>
      <c r="E967" s="16" t="s">
        <v>13</v>
      </c>
      <c r="F967" s="16" t="s">
        <v>12</v>
      </c>
      <c r="G967" s="16" t="s">
        <v>394</v>
      </c>
      <c r="H967" s="16" t="s">
        <v>394</v>
      </c>
      <c r="I967" s="16">
        <v>19942</v>
      </c>
      <c r="J967" s="16">
        <v>18500</v>
      </c>
      <c r="K967" s="18" t="str">
        <f>HYPERLINK("mailto:ncdrisc@imperial.ac.uk", "contact")</f>
        <v>contact</v>
      </c>
    </row>
    <row r="968" spans="1:11" x14ac:dyDescent="0.25">
      <c r="A968" s="13" t="s">
        <v>2234</v>
      </c>
      <c r="B968" s="13" t="s">
        <v>2224</v>
      </c>
      <c r="C968" s="13" t="s">
        <v>639</v>
      </c>
      <c r="D968" s="13" t="s">
        <v>2235</v>
      </c>
      <c r="E968" s="16" t="s">
        <v>13</v>
      </c>
      <c r="F968" s="16" t="s">
        <v>12</v>
      </c>
      <c r="G968" s="16" t="s">
        <v>394</v>
      </c>
      <c r="H968" s="16" t="s">
        <v>394</v>
      </c>
      <c r="I968" s="16">
        <v>10225</v>
      </c>
      <c r="J968" s="16">
        <v>9271</v>
      </c>
      <c r="K968" s="18" t="str">
        <f>HYPERLINK("mailto:wichai.aek@mahidol.ac.th", "contact")</f>
        <v>contact</v>
      </c>
    </row>
    <row r="969" spans="1:11" x14ac:dyDescent="0.25">
      <c r="A969" s="13" t="s">
        <v>2236</v>
      </c>
      <c r="B969" s="13" t="s">
        <v>2224</v>
      </c>
      <c r="C969" s="13" t="s">
        <v>600</v>
      </c>
      <c r="D969" s="13" t="s">
        <v>2237</v>
      </c>
      <c r="E969" s="16" t="s">
        <v>13</v>
      </c>
      <c r="F969" s="16" t="s">
        <v>12</v>
      </c>
      <c r="G969" s="16" t="s">
        <v>394</v>
      </c>
      <c r="H969" s="16" t="s">
        <v>394</v>
      </c>
      <c r="I969" s="16">
        <v>10566</v>
      </c>
      <c r="J969" s="16">
        <v>7714</v>
      </c>
      <c r="K969" s="18" t="str">
        <f>HYPERLINK("mailto:wichai.aek@mahidol.ac.th", "contact")</f>
        <v>contact</v>
      </c>
    </row>
    <row r="970" spans="1:11" x14ac:dyDescent="0.25">
      <c r="A970" s="13" t="s">
        <v>2238</v>
      </c>
      <c r="B970" s="13" t="s">
        <v>2224</v>
      </c>
      <c r="C970" s="13" t="s">
        <v>836</v>
      </c>
      <c r="D970" s="13" t="s">
        <v>2239</v>
      </c>
      <c r="E970" s="16" t="s">
        <v>13</v>
      </c>
      <c r="F970" s="16" t="s">
        <v>12</v>
      </c>
      <c r="G970" s="16" t="s">
        <v>394</v>
      </c>
      <c r="H970" s="16" t="s">
        <v>394</v>
      </c>
      <c r="I970" s="16">
        <v>12463</v>
      </c>
      <c r="J970" s="16">
        <v>8976</v>
      </c>
      <c r="K970" s="18" t="str">
        <f>HYPERLINK("mailto:wichai.aek@mahidol.ac.th", "contact")</f>
        <v>contact</v>
      </c>
    </row>
    <row r="971" spans="1:11" x14ac:dyDescent="0.25">
      <c r="A971" s="13" t="s">
        <v>298</v>
      </c>
      <c r="B971" s="13" t="s">
        <v>299</v>
      </c>
      <c r="C971" s="13" t="s">
        <v>404</v>
      </c>
      <c r="D971" s="13" t="s">
        <v>380</v>
      </c>
      <c r="E971" s="16" t="s">
        <v>13</v>
      </c>
      <c r="F971" s="16" t="s">
        <v>12</v>
      </c>
      <c r="G971" s="16" t="s">
        <v>381</v>
      </c>
      <c r="H971" s="16" t="s">
        <v>381</v>
      </c>
      <c r="I971" s="16">
        <v>1567</v>
      </c>
      <c r="J971" s="16">
        <v>1098</v>
      </c>
      <c r="K971" s="17" t="s">
        <v>383</v>
      </c>
    </row>
    <row r="972" spans="1:11" x14ac:dyDescent="0.25">
      <c r="A972" s="13" t="s">
        <v>301</v>
      </c>
      <c r="B972" s="13" t="s">
        <v>302</v>
      </c>
      <c r="C972" s="13" t="s">
        <v>628</v>
      </c>
      <c r="D972" s="13" t="s">
        <v>380</v>
      </c>
      <c r="E972" s="16" t="s">
        <v>13</v>
      </c>
      <c r="F972" s="16" t="s">
        <v>12</v>
      </c>
      <c r="G972" s="16" t="s">
        <v>708</v>
      </c>
      <c r="H972" s="16" t="s">
        <v>708</v>
      </c>
      <c r="I972" s="16">
        <v>267</v>
      </c>
      <c r="J972" s="16">
        <v>241</v>
      </c>
      <c r="K972" s="17" t="s">
        <v>383</v>
      </c>
    </row>
    <row r="973" spans="1:11" x14ac:dyDescent="0.25">
      <c r="A973" s="13" t="s">
        <v>303</v>
      </c>
      <c r="B973" s="13" t="s">
        <v>302</v>
      </c>
      <c r="C973" s="13" t="s">
        <v>600</v>
      </c>
      <c r="D973" s="13" t="s">
        <v>380</v>
      </c>
      <c r="E973" s="16" t="s">
        <v>13</v>
      </c>
      <c r="F973" s="16" t="s">
        <v>12</v>
      </c>
      <c r="G973" s="16" t="s">
        <v>708</v>
      </c>
      <c r="H973" s="16" t="s">
        <v>708</v>
      </c>
      <c r="I973" s="16">
        <v>282</v>
      </c>
      <c r="J973" s="16">
        <v>262</v>
      </c>
      <c r="K973" s="17" t="s">
        <v>383</v>
      </c>
    </row>
    <row r="974" spans="1:11" x14ac:dyDescent="0.25">
      <c r="A974" s="13" t="s">
        <v>305</v>
      </c>
      <c r="B974" s="13" t="s">
        <v>306</v>
      </c>
      <c r="C974" s="13" t="s">
        <v>490</v>
      </c>
      <c r="D974" s="13" t="s">
        <v>380</v>
      </c>
      <c r="E974" s="16" t="s">
        <v>13</v>
      </c>
      <c r="F974" s="16" t="s">
        <v>12</v>
      </c>
      <c r="G974" s="16" t="s">
        <v>708</v>
      </c>
      <c r="H974" s="16" t="s">
        <v>708</v>
      </c>
      <c r="I974" s="16">
        <v>2874</v>
      </c>
      <c r="J974" s="16">
        <v>2033</v>
      </c>
      <c r="K974" s="17" t="s">
        <v>383</v>
      </c>
    </row>
    <row r="975" spans="1:11" x14ac:dyDescent="0.25">
      <c r="A975" s="13" t="s">
        <v>307</v>
      </c>
      <c r="B975" s="13" t="s">
        <v>306</v>
      </c>
      <c r="C975" s="13" t="s">
        <v>379</v>
      </c>
      <c r="D975" s="13" t="s">
        <v>380</v>
      </c>
      <c r="E975" s="16" t="s">
        <v>13</v>
      </c>
      <c r="F975" s="16" t="s">
        <v>12</v>
      </c>
      <c r="G975" s="16" t="s">
        <v>381</v>
      </c>
      <c r="H975" s="16" t="s">
        <v>381</v>
      </c>
      <c r="I975" s="16">
        <v>2244</v>
      </c>
      <c r="J975" s="16">
        <v>1716</v>
      </c>
      <c r="K975" s="17" t="s">
        <v>383</v>
      </c>
    </row>
    <row r="976" spans="1:11" x14ac:dyDescent="0.25">
      <c r="A976" s="13" t="s">
        <v>2240</v>
      </c>
      <c r="B976" s="13" t="s">
        <v>310</v>
      </c>
      <c r="C976" s="13" t="s">
        <v>670</v>
      </c>
      <c r="D976" s="13" t="s">
        <v>2241</v>
      </c>
      <c r="E976" s="16" t="s">
        <v>53</v>
      </c>
      <c r="F976" s="16" t="s">
        <v>12</v>
      </c>
      <c r="G976" s="16" t="s">
        <v>473</v>
      </c>
      <c r="H976" s="16" t="s">
        <v>473</v>
      </c>
      <c r="I976" s="16">
        <v>248</v>
      </c>
      <c r="J976" s="16">
        <v>246</v>
      </c>
      <c r="K976" s="18" t="str">
        <f>HYPERLINK("mailto:jramke@gmail.com", "contact")</f>
        <v>contact</v>
      </c>
    </row>
    <row r="977" spans="1:11" x14ac:dyDescent="0.25">
      <c r="A977" s="13" t="s">
        <v>309</v>
      </c>
      <c r="B977" s="13" t="s">
        <v>310</v>
      </c>
      <c r="C977" s="13" t="s">
        <v>600</v>
      </c>
      <c r="D977" s="13" t="s">
        <v>380</v>
      </c>
      <c r="E977" s="16" t="s">
        <v>13</v>
      </c>
      <c r="F977" s="16" t="s">
        <v>12</v>
      </c>
      <c r="G977" s="16" t="s">
        <v>381</v>
      </c>
      <c r="H977" s="16" t="s">
        <v>381</v>
      </c>
      <c r="I977" s="16">
        <v>1465</v>
      </c>
      <c r="J977" s="16">
        <v>1080</v>
      </c>
      <c r="K977" s="17" t="s">
        <v>383</v>
      </c>
    </row>
    <row r="978" spans="1:11" x14ac:dyDescent="0.25">
      <c r="A978" s="13" t="s">
        <v>312</v>
      </c>
      <c r="B978" s="13" t="s">
        <v>313</v>
      </c>
      <c r="C978" s="13" t="s">
        <v>409</v>
      </c>
      <c r="D978" s="13" t="s">
        <v>380</v>
      </c>
      <c r="E978" s="16" t="s">
        <v>13</v>
      </c>
      <c r="F978" s="16" t="s">
        <v>12</v>
      </c>
      <c r="G978" s="16" t="s">
        <v>708</v>
      </c>
      <c r="H978" s="16" t="s">
        <v>708</v>
      </c>
      <c r="I978" s="16">
        <v>301</v>
      </c>
      <c r="J978" s="16">
        <v>237</v>
      </c>
      <c r="K978" s="17" t="s">
        <v>383</v>
      </c>
    </row>
    <row r="979" spans="1:11" x14ac:dyDescent="0.25">
      <c r="A979" s="13" t="s">
        <v>314</v>
      </c>
      <c r="B979" s="13" t="s">
        <v>313</v>
      </c>
      <c r="C979" s="13" t="s">
        <v>499</v>
      </c>
      <c r="D979" s="13" t="s">
        <v>380</v>
      </c>
      <c r="E979" s="16" t="s">
        <v>13</v>
      </c>
      <c r="F979" s="16" t="s">
        <v>12</v>
      </c>
      <c r="G979" s="16" t="s">
        <v>708</v>
      </c>
      <c r="H979" s="16" t="s">
        <v>708</v>
      </c>
      <c r="I979" s="16">
        <v>1464</v>
      </c>
      <c r="J979" s="16">
        <v>928</v>
      </c>
      <c r="K979" s="17" t="s">
        <v>383</v>
      </c>
    </row>
    <row r="980" spans="1:11" x14ac:dyDescent="0.25">
      <c r="A980" s="13" t="s">
        <v>316</v>
      </c>
      <c r="B980" s="13" t="s">
        <v>317</v>
      </c>
      <c r="C980" s="13" t="s">
        <v>499</v>
      </c>
      <c r="D980" s="13" t="s">
        <v>380</v>
      </c>
      <c r="E980" s="16" t="s">
        <v>13</v>
      </c>
      <c r="F980" s="16" t="s">
        <v>12</v>
      </c>
      <c r="G980" s="16" t="s">
        <v>708</v>
      </c>
      <c r="H980" s="16" t="s">
        <v>708</v>
      </c>
      <c r="I980" s="16">
        <v>1538</v>
      </c>
      <c r="J980" s="16">
        <v>1050</v>
      </c>
      <c r="K980" s="17" t="s">
        <v>383</v>
      </c>
    </row>
    <row r="981" spans="1:11" x14ac:dyDescent="0.25">
      <c r="A981" s="13" t="s">
        <v>2242</v>
      </c>
      <c r="B981" s="13" t="s">
        <v>2243</v>
      </c>
      <c r="C981" s="13" t="s">
        <v>412</v>
      </c>
      <c r="D981" s="13" t="s">
        <v>2244</v>
      </c>
      <c r="E981" s="16" t="s">
        <v>41</v>
      </c>
      <c r="F981" s="16" t="s">
        <v>468</v>
      </c>
      <c r="G981" s="16" t="s">
        <v>434</v>
      </c>
      <c r="H981" s="16" t="s">
        <v>434</v>
      </c>
      <c r="I981" s="16">
        <v>893</v>
      </c>
      <c r="J981" s="16">
        <v>618</v>
      </c>
      <c r="K981" s="18" t="str">
        <f>HYPERLINK("mailto:ncdrisc@imperial.ac.uk", "contact")</f>
        <v>contact</v>
      </c>
    </row>
    <row r="982" spans="1:11" x14ac:dyDescent="0.25">
      <c r="A982" s="13" t="s">
        <v>2245</v>
      </c>
      <c r="B982" s="13" t="s">
        <v>2243</v>
      </c>
      <c r="C982" s="13" t="s">
        <v>1537</v>
      </c>
      <c r="D982" s="13" t="s">
        <v>2246</v>
      </c>
      <c r="E982" s="16" t="s">
        <v>41</v>
      </c>
      <c r="F982" s="16" t="s">
        <v>12</v>
      </c>
      <c r="G982" s="16" t="s">
        <v>2247</v>
      </c>
      <c r="H982" s="16" t="s">
        <v>2247</v>
      </c>
      <c r="I982" s="16">
        <v>345</v>
      </c>
      <c r="J982" s="16">
        <v>345</v>
      </c>
      <c r="K982" s="18" t="str">
        <f>HYPERLINK("mailto:ncdrisc@imperial.ac.uk", "contact")</f>
        <v>contact</v>
      </c>
    </row>
    <row r="983" spans="1:11" x14ac:dyDescent="0.25">
      <c r="A983" s="13" t="s">
        <v>2248</v>
      </c>
      <c r="B983" s="13" t="s">
        <v>2243</v>
      </c>
      <c r="C983" s="13" t="s">
        <v>533</v>
      </c>
      <c r="D983" s="13" t="s">
        <v>2249</v>
      </c>
      <c r="E983" s="16" t="s">
        <v>41</v>
      </c>
      <c r="F983" s="16" t="s">
        <v>12</v>
      </c>
      <c r="G983" s="16" t="s">
        <v>2250</v>
      </c>
      <c r="H983" s="16" t="s">
        <v>2250</v>
      </c>
      <c r="I983" s="16">
        <v>2724</v>
      </c>
      <c r="J983" s="16">
        <v>2650</v>
      </c>
      <c r="K983" s="18" t="str">
        <f>HYPERLINK("mailto:habibabr@yahoo.fr", "contact")</f>
        <v>contact</v>
      </c>
    </row>
    <row r="984" spans="1:11" x14ac:dyDescent="0.25">
      <c r="A984" s="13" t="s">
        <v>2251</v>
      </c>
      <c r="B984" s="13" t="s">
        <v>2243</v>
      </c>
      <c r="C984" s="13" t="s">
        <v>533</v>
      </c>
      <c r="D984" s="13" t="s">
        <v>2252</v>
      </c>
      <c r="E984" s="16" t="s">
        <v>13</v>
      </c>
      <c r="F984" s="16" t="s">
        <v>12</v>
      </c>
      <c r="G984" s="16" t="s">
        <v>394</v>
      </c>
      <c r="H984" s="16" t="s">
        <v>394</v>
      </c>
      <c r="I984" s="16">
        <v>2674</v>
      </c>
      <c r="J984" s="16">
        <v>1397</v>
      </c>
      <c r="K984" s="18" t="str">
        <f>HYPERLINK("mailto:jalila.elati@rns.tn; jalila.elati@yahoo.fr", "contact")</f>
        <v>contact</v>
      </c>
    </row>
    <row r="985" spans="1:11" x14ac:dyDescent="0.25">
      <c r="A985" s="13" t="s">
        <v>2253</v>
      </c>
      <c r="B985" s="13" t="s">
        <v>2243</v>
      </c>
      <c r="C985" s="13" t="s">
        <v>776</v>
      </c>
      <c r="D985" s="13" t="s">
        <v>2254</v>
      </c>
      <c r="E985" s="16" t="s">
        <v>41</v>
      </c>
      <c r="F985" s="16" t="s">
        <v>12</v>
      </c>
      <c r="G985" s="16" t="s">
        <v>1641</v>
      </c>
      <c r="H985" s="16" t="s">
        <v>1641</v>
      </c>
      <c r="I985" s="16">
        <v>1092</v>
      </c>
      <c r="J985" s="16">
        <v>744</v>
      </c>
      <c r="K985" s="18" t="str">
        <f>HYPERLINK("mailto:ncdrisc@imperial.ac.uk", "contact")</f>
        <v>contact</v>
      </c>
    </row>
    <row r="986" spans="1:11" x14ac:dyDescent="0.25">
      <c r="A986" s="13" t="s">
        <v>2255</v>
      </c>
      <c r="B986" s="13" t="s">
        <v>2243</v>
      </c>
      <c r="C986" s="13" t="s">
        <v>628</v>
      </c>
      <c r="D986" s="13" t="s">
        <v>2256</v>
      </c>
      <c r="E986" s="16" t="s">
        <v>13</v>
      </c>
      <c r="F986" s="16" t="s">
        <v>12</v>
      </c>
      <c r="G986" s="16" t="s">
        <v>2257</v>
      </c>
      <c r="H986" s="16" t="s">
        <v>2257</v>
      </c>
      <c r="I986" s="16">
        <v>4436</v>
      </c>
      <c r="J986" s="16">
        <v>3314</v>
      </c>
      <c r="K986" s="18" t="str">
        <f>HYPERLINK("mailto:habibabr@yahoo.fr", "contact")</f>
        <v>contact</v>
      </c>
    </row>
    <row r="987" spans="1:11" x14ac:dyDescent="0.25">
      <c r="A987" s="13" t="s">
        <v>2258</v>
      </c>
      <c r="B987" s="13" t="s">
        <v>2243</v>
      </c>
      <c r="C987" s="13" t="s">
        <v>670</v>
      </c>
      <c r="D987" s="13" t="s">
        <v>2259</v>
      </c>
      <c r="E987" s="16" t="s">
        <v>53</v>
      </c>
      <c r="F987" s="16" t="s">
        <v>40</v>
      </c>
      <c r="G987" s="16" t="s">
        <v>507</v>
      </c>
      <c r="H987" s="16" t="s">
        <v>507</v>
      </c>
      <c r="I987" s="16">
        <v>696</v>
      </c>
      <c r="J987" s="16">
        <v>998</v>
      </c>
      <c r="K987" s="18" t="str">
        <f>HYPERLINK("mailto:jalila.elati@rns.tn; jalila.elati@yahoo.fr", "contact")</f>
        <v>contact</v>
      </c>
    </row>
    <row r="988" spans="1:11" x14ac:dyDescent="0.25">
      <c r="A988" s="13" t="s">
        <v>2260</v>
      </c>
      <c r="B988" s="13" t="s">
        <v>2243</v>
      </c>
      <c r="C988" s="13" t="s">
        <v>404</v>
      </c>
      <c r="D988" s="13" t="s">
        <v>2261</v>
      </c>
      <c r="E988" s="16" t="s">
        <v>41</v>
      </c>
      <c r="F988" s="16" t="s">
        <v>12</v>
      </c>
      <c r="G988" s="16" t="s">
        <v>394</v>
      </c>
      <c r="H988" s="16" t="s">
        <v>394</v>
      </c>
      <c r="I988" s="16">
        <v>4702</v>
      </c>
      <c r="J988" s="16">
        <v>4196</v>
      </c>
      <c r="K988" s="18" t="str">
        <f>HYPERLINK("mailto:olfa.saidi@yahoo.fr", "contact")</f>
        <v>contact</v>
      </c>
    </row>
    <row r="989" spans="1:11" x14ac:dyDescent="0.25">
      <c r="A989" s="13" t="s">
        <v>2262</v>
      </c>
      <c r="B989" s="13" t="s">
        <v>2263</v>
      </c>
      <c r="C989" s="13" t="s">
        <v>1537</v>
      </c>
      <c r="D989" s="13" t="s">
        <v>2264</v>
      </c>
      <c r="E989" s="16" t="s">
        <v>13</v>
      </c>
      <c r="F989" s="16" t="s">
        <v>12</v>
      </c>
      <c r="G989" s="16" t="s">
        <v>434</v>
      </c>
      <c r="H989" s="16" t="s">
        <v>434</v>
      </c>
      <c r="I989" s="16">
        <v>1130</v>
      </c>
      <c r="J989" s="16">
        <v>1028</v>
      </c>
      <c r="K989" s="18" t="str">
        <f t="shared" ref="K989:K998" si="4">HYPERLINK("mailto:ncdrisc@imperial.ac.uk", "contact")</f>
        <v>contact</v>
      </c>
    </row>
    <row r="990" spans="1:11" x14ac:dyDescent="0.25">
      <c r="A990" s="13" t="s">
        <v>2265</v>
      </c>
      <c r="B990" s="13" t="s">
        <v>2263</v>
      </c>
      <c r="C990" s="13" t="s">
        <v>917</v>
      </c>
      <c r="D990" s="13" t="s">
        <v>2264</v>
      </c>
      <c r="E990" s="16" t="s">
        <v>13</v>
      </c>
      <c r="F990" s="16" t="s">
        <v>12</v>
      </c>
      <c r="G990" s="16" t="s">
        <v>414</v>
      </c>
      <c r="H990" s="16" t="s">
        <v>414</v>
      </c>
      <c r="I990" s="16">
        <v>606</v>
      </c>
      <c r="J990" s="16">
        <v>584</v>
      </c>
      <c r="K990" s="18" t="str">
        <f t="shared" si="4"/>
        <v>contact</v>
      </c>
    </row>
    <row r="991" spans="1:11" x14ac:dyDescent="0.25">
      <c r="A991" s="13" t="s">
        <v>2266</v>
      </c>
      <c r="B991" s="13" t="s">
        <v>2263</v>
      </c>
      <c r="C991" s="13" t="s">
        <v>455</v>
      </c>
      <c r="D991" s="13" t="s">
        <v>2264</v>
      </c>
      <c r="E991" s="16" t="s">
        <v>13</v>
      </c>
      <c r="F991" s="16" t="s">
        <v>12</v>
      </c>
      <c r="G991" s="16" t="s">
        <v>2267</v>
      </c>
      <c r="H991" s="16" t="s">
        <v>2267</v>
      </c>
      <c r="I991" s="16">
        <v>781</v>
      </c>
      <c r="J991" s="16">
        <v>718</v>
      </c>
      <c r="K991" s="18" t="str">
        <f t="shared" si="4"/>
        <v>contact</v>
      </c>
    </row>
    <row r="992" spans="1:11" x14ac:dyDescent="0.25">
      <c r="A992" s="13" t="s">
        <v>2268</v>
      </c>
      <c r="B992" s="13" t="s">
        <v>2263</v>
      </c>
      <c r="C992" s="13" t="s">
        <v>666</v>
      </c>
      <c r="D992" s="13" t="s">
        <v>2264</v>
      </c>
      <c r="E992" s="16" t="s">
        <v>13</v>
      </c>
      <c r="F992" s="16" t="s">
        <v>12</v>
      </c>
      <c r="G992" s="16" t="s">
        <v>431</v>
      </c>
      <c r="H992" s="16" t="s">
        <v>431</v>
      </c>
      <c r="I992" s="16">
        <v>952</v>
      </c>
      <c r="J992" s="16">
        <v>904</v>
      </c>
      <c r="K992" s="18" t="str">
        <f t="shared" si="4"/>
        <v>contact</v>
      </c>
    </row>
    <row r="993" spans="1:11" x14ac:dyDescent="0.25">
      <c r="A993" s="13" t="s">
        <v>2269</v>
      </c>
      <c r="B993" s="13" t="s">
        <v>2263</v>
      </c>
      <c r="C993" s="13" t="s">
        <v>776</v>
      </c>
      <c r="D993" s="13" t="s">
        <v>2270</v>
      </c>
      <c r="E993" s="16" t="s">
        <v>41</v>
      </c>
      <c r="F993" s="16" t="s">
        <v>40</v>
      </c>
      <c r="G993" s="16" t="s">
        <v>434</v>
      </c>
      <c r="H993" s="16" t="s">
        <v>434</v>
      </c>
      <c r="I993" s="16">
        <v>1789</v>
      </c>
      <c r="J993" s="16">
        <v>688</v>
      </c>
      <c r="K993" s="18" t="str">
        <f t="shared" si="4"/>
        <v>contact</v>
      </c>
    </row>
    <row r="994" spans="1:11" x14ac:dyDescent="0.25">
      <c r="A994" s="13" t="s">
        <v>2271</v>
      </c>
      <c r="B994" s="13" t="s">
        <v>2263</v>
      </c>
      <c r="C994" s="13" t="s">
        <v>776</v>
      </c>
      <c r="D994" s="13" t="s">
        <v>2272</v>
      </c>
      <c r="E994" s="16" t="s">
        <v>41</v>
      </c>
      <c r="F994" s="16" t="s">
        <v>468</v>
      </c>
      <c r="G994" s="16" t="s">
        <v>480</v>
      </c>
      <c r="H994" s="16"/>
      <c r="I994" s="16">
        <v>205</v>
      </c>
      <c r="J994" s="16"/>
      <c r="K994" s="18" t="str">
        <f t="shared" si="4"/>
        <v>contact</v>
      </c>
    </row>
    <row r="995" spans="1:11" x14ac:dyDescent="0.25">
      <c r="A995" s="13" t="s">
        <v>2273</v>
      </c>
      <c r="B995" s="13" t="s">
        <v>2263</v>
      </c>
      <c r="C995" s="13" t="s">
        <v>843</v>
      </c>
      <c r="D995" s="13" t="s">
        <v>2274</v>
      </c>
      <c r="E995" s="16" t="s">
        <v>13</v>
      </c>
      <c r="F995" s="16" t="s">
        <v>12</v>
      </c>
      <c r="G995" s="16" t="s">
        <v>431</v>
      </c>
      <c r="H995" s="16" t="s">
        <v>431</v>
      </c>
      <c r="I995" s="16">
        <v>10657</v>
      </c>
      <c r="J995" s="16">
        <v>4778</v>
      </c>
      <c r="K995" s="18" t="str">
        <f t="shared" si="4"/>
        <v>contact</v>
      </c>
    </row>
    <row r="996" spans="1:11" x14ac:dyDescent="0.25">
      <c r="A996" s="13" t="s">
        <v>2275</v>
      </c>
      <c r="B996" s="13" t="s">
        <v>2263</v>
      </c>
      <c r="C996" s="13" t="s">
        <v>493</v>
      </c>
      <c r="D996" s="13" t="s">
        <v>2276</v>
      </c>
      <c r="E996" s="16" t="s">
        <v>53</v>
      </c>
      <c r="F996" s="16" t="s">
        <v>12</v>
      </c>
      <c r="G996" s="16" t="s">
        <v>869</v>
      </c>
      <c r="H996" s="16" t="s">
        <v>869</v>
      </c>
      <c r="I996" s="16">
        <v>1030</v>
      </c>
      <c r="J996" s="16">
        <v>607</v>
      </c>
      <c r="K996" s="18" t="str">
        <f t="shared" si="4"/>
        <v>contact</v>
      </c>
    </row>
    <row r="997" spans="1:11" x14ac:dyDescent="0.25">
      <c r="A997" s="13" t="s">
        <v>2277</v>
      </c>
      <c r="B997" s="13" t="s">
        <v>2263</v>
      </c>
      <c r="C997" s="13" t="s">
        <v>493</v>
      </c>
      <c r="D997" s="13" t="s">
        <v>2278</v>
      </c>
      <c r="E997" s="16" t="s">
        <v>53</v>
      </c>
      <c r="F997" s="16" t="s">
        <v>40</v>
      </c>
      <c r="G997" s="16" t="s">
        <v>2279</v>
      </c>
      <c r="H997" s="16" t="s">
        <v>2279</v>
      </c>
      <c r="I997" s="16">
        <v>469</v>
      </c>
      <c r="J997" s="16">
        <v>289</v>
      </c>
      <c r="K997" s="18" t="str">
        <f t="shared" si="4"/>
        <v>contact</v>
      </c>
    </row>
    <row r="998" spans="1:11" x14ac:dyDescent="0.25">
      <c r="A998" s="13" t="s">
        <v>2280</v>
      </c>
      <c r="B998" s="13" t="s">
        <v>2263</v>
      </c>
      <c r="C998" s="13" t="s">
        <v>940</v>
      </c>
      <c r="D998" s="13" t="s">
        <v>2264</v>
      </c>
      <c r="E998" s="16" t="s">
        <v>13</v>
      </c>
      <c r="F998" s="16" t="s">
        <v>12</v>
      </c>
      <c r="G998" s="16" t="s">
        <v>2281</v>
      </c>
      <c r="H998" s="16" t="s">
        <v>2281</v>
      </c>
      <c r="I998" s="16">
        <v>1247</v>
      </c>
      <c r="J998" s="16">
        <v>1137</v>
      </c>
      <c r="K998" s="18" t="str">
        <f t="shared" si="4"/>
        <v>contact</v>
      </c>
    </row>
    <row r="999" spans="1:11" x14ac:dyDescent="0.25">
      <c r="A999" s="13" t="s">
        <v>2282</v>
      </c>
      <c r="B999" s="13" t="s">
        <v>2263</v>
      </c>
      <c r="C999" s="13" t="s">
        <v>546</v>
      </c>
      <c r="D999" s="13" t="s">
        <v>2283</v>
      </c>
      <c r="E999" s="16" t="s">
        <v>53</v>
      </c>
      <c r="F999" s="16" t="s">
        <v>12</v>
      </c>
      <c r="G999" s="16" t="s">
        <v>434</v>
      </c>
      <c r="H999" s="16" t="s">
        <v>434</v>
      </c>
      <c r="I999" s="16">
        <v>2601</v>
      </c>
      <c r="J999" s="16">
        <v>2208</v>
      </c>
      <c r="K999" s="18" t="str">
        <f>HYPERLINK("mailto:cihangirerem@hotmail.com", "contact")</f>
        <v>contact</v>
      </c>
    </row>
    <row r="1000" spans="1:11" x14ac:dyDescent="0.25">
      <c r="A1000" s="13" t="s">
        <v>2284</v>
      </c>
      <c r="B1000" s="13" t="s">
        <v>2263</v>
      </c>
      <c r="C1000" s="13" t="s">
        <v>520</v>
      </c>
      <c r="D1000" s="13" t="s">
        <v>2264</v>
      </c>
      <c r="E1000" s="16" t="s">
        <v>13</v>
      </c>
      <c r="F1000" s="16" t="s">
        <v>12</v>
      </c>
      <c r="G1000" s="16" t="s">
        <v>501</v>
      </c>
      <c r="H1000" s="16" t="s">
        <v>501</v>
      </c>
      <c r="I1000" s="16">
        <v>1473</v>
      </c>
      <c r="J1000" s="16">
        <v>1401</v>
      </c>
      <c r="K1000" s="18" t="str">
        <f>HYPERLINK("mailto:ncdrisc@imperial.ac.uk", "contact")</f>
        <v>contact</v>
      </c>
    </row>
    <row r="1001" spans="1:11" x14ac:dyDescent="0.25">
      <c r="A1001" s="13" t="s">
        <v>2285</v>
      </c>
      <c r="B1001" s="13" t="s">
        <v>2263</v>
      </c>
      <c r="C1001" s="13" t="s">
        <v>612</v>
      </c>
      <c r="D1001" s="13" t="s">
        <v>2286</v>
      </c>
      <c r="E1001" s="16" t="s">
        <v>41</v>
      </c>
      <c r="F1001" s="16" t="s">
        <v>40</v>
      </c>
      <c r="G1001" s="16" t="s">
        <v>431</v>
      </c>
      <c r="H1001" s="16" t="s">
        <v>431</v>
      </c>
      <c r="I1001" s="16">
        <v>8441</v>
      </c>
      <c r="J1001" s="16">
        <v>4187</v>
      </c>
      <c r="K1001" s="18" t="str">
        <f>HYPERLINK("mailto:duyguislek@hotmail.com", "contact")</f>
        <v>contact</v>
      </c>
    </row>
    <row r="1002" spans="1:11" x14ac:dyDescent="0.25">
      <c r="A1002" s="13" t="s">
        <v>2287</v>
      </c>
      <c r="B1002" s="13" t="s">
        <v>2263</v>
      </c>
      <c r="C1002" s="13" t="s">
        <v>880</v>
      </c>
      <c r="D1002" s="13" t="s">
        <v>2264</v>
      </c>
      <c r="E1002" s="16" t="s">
        <v>13</v>
      </c>
      <c r="F1002" s="16" t="s">
        <v>12</v>
      </c>
      <c r="G1002" s="16" t="s">
        <v>441</v>
      </c>
      <c r="H1002" s="16" t="s">
        <v>441</v>
      </c>
      <c r="I1002" s="16">
        <v>1473</v>
      </c>
      <c r="J1002" s="16">
        <v>1401</v>
      </c>
      <c r="K1002" s="18" t="str">
        <f>HYPERLINK("mailto:ncdrisc@imperial.ac.uk", "contact")</f>
        <v>contact</v>
      </c>
    </row>
    <row r="1003" spans="1:11" x14ac:dyDescent="0.25">
      <c r="A1003" s="13" t="s">
        <v>2288</v>
      </c>
      <c r="B1003" s="13" t="s">
        <v>2263</v>
      </c>
      <c r="C1003" s="13" t="s">
        <v>670</v>
      </c>
      <c r="D1003" s="13" t="s">
        <v>2264</v>
      </c>
      <c r="E1003" s="16" t="s">
        <v>13</v>
      </c>
      <c r="F1003" s="16" t="s">
        <v>12</v>
      </c>
      <c r="G1003" s="16" t="s">
        <v>2289</v>
      </c>
      <c r="H1003" s="16" t="s">
        <v>2289</v>
      </c>
      <c r="I1003" s="16">
        <v>1474</v>
      </c>
      <c r="J1003" s="16">
        <v>1403</v>
      </c>
      <c r="K1003" s="18" t="str">
        <f>HYPERLINK("mailto:ncdrisc@imperial.ac.uk", "contact")</f>
        <v>contact</v>
      </c>
    </row>
    <row r="1004" spans="1:11" x14ac:dyDescent="0.25">
      <c r="A1004" s="13" t="s">
        <v>2290</v>
      </c>
      <c r="B1004" s="13" t="s">
        <v>2263</v>
      </c>
      <c r="C1004" s="13" t="s">
        <v>554</v>
      </c>
      <c r="D1004" s="13" t="s">
        <v>2291</v>
      </c>
      <c r="E1004" s="16" t="s">
        <v>13</v>
      </c>
      <c r="F1004" s="16" t="s">
        <v>40</v>
      </c>
      <c r="G1004" s="16" t="s">
        <v>434</v>
      </c>
      <c r="H1004" s="16" t="s">
        <v>434</v>
      </c>
      <c r="I1004" s="16">
        <v>9943</v>
      </c>
      <c r="J1004" s="16">
        <v>5840</v>
      </c>
      <c r="K1004" s="18" t="str">
        <f>HYPERLINK("mailto:ncdrisc@imperial.ac.uk", "contact")</f>
        <v>contact</v>
      </c>
    </row>
    <row r="1005" spans="1:11" x14ac:dyDescent="0.25">
      <c r="A1005" s="13" t="s">
        <v>2292</v>
      </c>
      <c r="B1005" s="13" t="s">
        <v>2263</v>
      </c>
      <c r="C1005" s="13" t="s">
        <v>554</v>
      </c>
      <c r="D1005" s="13" t="s">
        <v>2291</v>
      </c>
      <c r="E1005" s="16" t="s">
        <v>13</v>
      </c>
      <c r="F1005" s="16" t="s">
        <v>468</v>
      </c>
      <c r="G1005" s="16" t="s">
        <v>434</v>
      </c>
      <c r="H1005" s="16" t="s">
        <v>434</v>
      </c>
      <c r="I1005" s="16">
        <v>6578</v>
      </c>
      <c r="J1005" s="16">
        <v>3863</v>
      </c>
      <c r="K1005" s="18" t="str">
        <f>HYPERLINK("mailto:ncdrisc@imperial.ac.uk", "contact")</f>
        <v>contact</v>
      </c>
    </row>
    <row r="1006" spans="1:11" x14ac:dyDescent="0.25">
      <c r="A1006" s="13" t="s">
        <v>2293</v>
      </c>
      <c r="B1006" s="13" t="s">
        <v>2263</v>
      </c>
      <c r="C1006" s="13" t="s">
        <v>643</v>
      </c>
      <c r="D1006" s="13" t="s">
        <v>2294</v>
      </c>
      <c r="E1006" s="16" t="s">
        <v>53</v>
      </c>
      <c r="F1006" s="16" t="s">
        <v>12</v>
      </c>
      <c r="G1006" s="16" t="s">
        <v>434</v>
      </c>
      <c r="H1006" s="16" t="s">
        <v>434</v>
      </c>
      <c r="I1006" s="16">
        <v>2125</v>
      </c>
      <c r="J1006" s="16">
        <v>1574</v>
      </c>
      <c r="K1006" s="18" t="str">
        <f>HYPERLINK("mailto:irfannuhoglu@ktu.edu.tr", "contact")</f>
        <v>contact</v>
      </c>
    </row>
    <row r="1007" spans="1:11" x14ac:dyDescent="0.25">
      <c r="A1007" s="13" t="s">
        <v>2295</v>
      </c>
      <c r="B1007" s="13" t="s">
        <v>2263</v>
      </c>
      <c r="C1007" s="13" t="s">
        <v>562</v>
      </c>
      <c r="D1007" s="13" t="s">
        <v>2264</v>
      </c>
      <c r="E1007" s="16" t="s">
        <v>13</v>
      </c>
      <c r="F1007" s="16" t="s">
        <v>12</v>
      </c>
      <c r="G1007" s="16" t="s">
        <v>441</v>
      </c>
      <c r="H1007" s="16" t="s">
        <v>441</v>
      </c>
      <c r="I1007" s="16">
        <v>1115</v>
      </c>
      <c r="J1007" s="16">
        <v>1028</v>
      </c>
      <c r="K1007" s="18" t="str">
        <f>HYPERLINK("mailto:ncdrisc@imperial.ac.uk", "contact")</f>
        <v>contact</v>
      </c>
    </row>
    <row r="1008" spans="1:11" x14ac:dyDescent="0.25">
      <c r="A1008" s="13" t="s">
        <v>2296</v>
      </c>
      <c r="B1008" s="13" t="s">
        <v>2263</v>
      </c>
      <c r="C1008" s="13" t="s">
        <v>570</v>
      </c>
      <c r="D1008" s="13" t="s">
        <v>2264</v>
      </c>
      <c r="E1008" s="16" t="s">
        <v>13</v>
      </c>
      <c r="F1008" s="16" t="s">
        <v>12</v>
      </c>
      <c r="G1008" s="16" t="s">
        <v>2297</v>
      </c>
      <c r="H1008" s="16" t="s">
        <v>2297</v>
      </c>
      <c r="I1008" s="16">
        <v>756</v>
      </c>
      <c r="J1008" s="16">
        <v>712</v>
      </c>
      <c r="K1008" s="18" t="str">
        <f>HYPERLINK("mailto:ncdrisc@imperial.ac.uk", "contact")</f>
        <v>contact</v>
      </c>
    </row>
    <row r="1009" spans="1:11" x14ac:dyDescent="0.25">
      <c r="A1009" s="13" t="s">
        <v>319</v>
      </c>
      <c r="B1009" s="13" t="s">
        <v>2263</v>
      </c>
      <c r="C1009" s="13" t="s">
        <v>463</v>
      </c>
      <c r="D1009" s="13" t="s">
        <v>380</v>
      </c>
      <c r="E1009" s="16" t="s">
        <v>13</v>
      </c>
      <c r="F1009" s="16" t="s">
        <v>12</v>
      </c>
      <c r="G1009" s="16" t="s">
        <v>394</v>
      </c>
      <c r="H1009" s="16" t="s">
        <v>394</v>
      </c>
      <c r="I1009" s="16">
        <v>3493</v>
      </c>
      <c r="J1009" s="16">
        <v>2369</v>
      </c>
      <c r="K1009" s="17" t="s">
        <v>383</v>
      </c>
    </row>
    <row r="1010" spans="1:11" x14ac:dyDescent="0.25">
      <c r="A1010" s="13" t="s">
        <v>322</v>
      </c>
      <c r="B1010" s="13" t="s">
        <v>323</v>
      </c>
      <c r="C1010" s="13" t="s">
        <v>489</v>
      </c>
      <c r="D1010" s="13" t="s">
        <v>380</v>
      </c>
      <c r="E1010" s="16" t="s">
        <v>13</v>
      </c>
      <c r="F1010" s="16" t="s">
        <v>12</v>
      </c>
      <c r="G1010" s="16" t="s">
        <v>381</v>
      </c>
      <c r="H1010" s="16" t="s">
        <v>381</v>
      </c>
      <c r="I1010" s="16">
        <v>616</v>
      </c>
      <c r="J1010" s="16">
        <v>525</v>
      </c>
      <c r="K1010" s="17" t="s">
        <v>383</v>
      </c>
    </row>
    <row r="1011" spans="1:11" x14ac:dyDescent="0.25">
      <c r="A1011" s="13" t="s">
        <v>2298</v>
      </c>
      <c r="B1011" s="13" t="s">
        <v>2299</v>
      </c>
      <c r="C1011" s="13" t="s">
        <v>1551</v>
      </c>
      <c r="D1011" s="13" t="s">
        <v>2300</v>
      </c>
      <c r="E1011" s="16" t="s">
        <v>13</v>
      </c>
      <c r="F1011" s="16" t="s">
        <v>12</v>
      </c>
      <c r="G1011" s="16" t="s">
        <v>394</v>
      </c>
      <c r="H1011" s="16" t="s">
        <v>394</v>
      </c>
      <c r="I1011" s="16">
        <v>2608</v>
      </c>
      <c r="J1011" s="16">
        <v>2598</v>
      </c>
      <c r="K1011" s="18" t="str">
        <f t="shared" ref="K1011:K1016" si="5">HYPERLINK("mailto:ncdrisc@imperial.ac.uk", "contact")</f>
        <v>contact</v>
      </c>
    </row>
    <row r="1012" spans="1:11" x14ac:dyDescent="0.25">
      <c r="A1012" s="13" t="s">
        <v>2301</v>
      </c>
      <c r="B1012" s="13" t="s">
        <v>2299</v>
      </c>
      <c r="C1012" s="13" t="s">
        <v>931</v>
      </c>
      <c r="D1012" s="13" t="s">
        <v>2302</v>
      </c>
      <c r="E1012" s="16" t="s">
        <v>41</v>
      </c>
      <c r="F1012" s="16" t="s">
        <v>12</v>
      </c>
      <c r="G1012" s="16" t="s">
        <v>743</v>
      </c>
      <c r="H1012" s="16" t="s">
        <v>743</v>
      </c>
      <c r="I1012" s="16">
        <v>822</v>
      </c>
      <c r="J1012" s="16">
        <v>779</v>
      </c>
      <c r="K1012" s="18" t="str">
        <f t="shared" si="5"/>
        <v>contact</v>
      </c>
    </row>
    <row r="1013" spans="1:11" x14ac:dyDescent="0.25">
      <c r="A1013" s="13" t="s">
        <v>2303</v>
      </c>
      <c r="B1013" s="13" t="s">
        <v>2299</v>
      </c>
      <c r="C1013" s="13" t="s">
        <v>684</v>
      </c>
      <c r="D1013" s="13" t="s">
        <v>2304</v>
      </c>
      <c r="E1013" s="16" t="s">
        <v>41</v>
      </c>
      <c r="F1013" s="16" t="s">
        <v>12</v>
      </c>
      <c r="G1013" s="16" t="s">
        <v>1899</v>
      </c>
      <c r="H1013" s="16" t="s">
        <v>1899</v>
      </c>
      <c r="I1013" s="16">
        <v>1053</v>
      </c>
      <c r="J1013" s="16">
        <v>540</v>
      </c>
      <c r="K1013" s="18" t="str">
        <f t="shared" si="5"/>
        <v>contact</v>
      </c>
    </row>
    <row r="1014" spans="1:11" x14ac:dyDescent="0.25">
      <c r="A1014" s="13" t="s">
        <v>2305</v>
      </c>
      <c r="B1014" s="13" t="s">
        <v>2299</v>
      </c>
      <c r="C1014" s="13" t="s">
        <v>455</v>
      </c>
      <c r="D1014" s="13" t="s">
        <v>2306</v>
      </c>
      <c r="E1014" s="16" t="s">
        <v>41</v>
      </c>
      <c r="F1014" s="16" t="s">
        <v>12</v>
      </c>
      <c r="G1014" s="16" t="s">
        <v>2307</v>
      </c>
      <c r="H1014" s="16" t="s">
        <v>2307</v>
      </c>
      <c r="I1014" s="16">
        <v>198</v>
      </c>
      <c r="J1014" s="16">
        <v>387</v>
      </c>
      <c r="K1014" s="18" t="str">
        <f t="shared" si="5"/>
        <v>contact</v>
      </c>
    </row>
    <row r="1015" spans="1:11" x14ac:dyDescent="0.25">
      <c r="A1015" s="13" t="s">
        <v>2308</v>
      </c>
      <c r="B1015" s="13" t="s">
        <v>2299</v>
      </c>
      <c r="C1015" s="13" t="s">
        <v>390</v>
      </c>
      <c r="D1015" s="13" t="s">
        <v>2300</v>
      </c>
      <c r="E1015" s="16" t="s">
        <v>13</v>
      </c>
      <c r="F1015" s="16" t="s">
        <v>12</v>
      </c>
      <c r="G1015" s="16" t="s">
        <v>531</v>
      </c>
      <c r="H1015" s="16" t="s">
        <v>531</v>
      </c>
      <c r="I1015" s="16">
        <v>754</v>
      </c>
      <c r="J1015" s="16">
        <v>796</v>
      </c>
      <c r="K1015" s="18" t="str">
        <f t="shared" si="5"/>
        <v>contact</v>
      </c>
    </row>
    <row r="1016" spans="1:11" x14ac:dyDescent="0.25">
      <c r="A1016" s="13" t="s">
        <v>2309</v>
      </c>
      <c r="B1016" s="13" t="s">
        <v>2299</v>
      </c>
      <c r="C1016" s="13" t="s">
        <v>666</v>
      </c>
      <c r="D1016" s="13" t="s">
        <v>2310</v>
      </c>
      <c r="E1016" s="16" t="s">
        <v>13</v>
      </c>
      <c r="F1016" s="16" t="s">
        <v>12</v>
      </c>
      <c r="G1016" s="16" t="s">
        <v>724</v>
      </c>
      <c r="H1016" s="16" t="s">
        <v>724</v>
      </c>
      <c r="I1016" s="16">
        <v>432</v>
      </c>
      <c r="J1016" s="16">
        <v>590</v>
      </c>
      <c r="K1016" s="18" t="str">
        <f t="shared" si="5"/>
        <v>contact</v>
      </c>
    </row>
    <row r="1017" spans="1:11" x14ac:dyDescent="0.25">
      <c r="A1017" s="13" t="s">
        <v>2311</v>
      </c>
      <c r="B1017" s="13" t="s">
        <v>2299</v>
      </c>
      <c r="C1017" s="13" t="s">
        <v>493</v>
      </c>
      <c r="D1017" s="13" t="s">
        <v>2312</v>
      </c>
      <c r="E1017" s="16" t="s">
        <v>13</v>
      </c>
      <c r="F1017" s="16" t="s">
        <v>12</v>
      </c>
      <c r="G1017" s="16" t="s">
        <v>394</v>
      </c>
      <c r="H1017" s="16" t="s">
        <v>394</v>
      </c>
      <c r="I1017" s="16">
        <v>3215</v>
      </c>
      <c r="J1017" s="16">
        <v>2944</v>
      </c>
      <c r="K1017" s="18" t="str">
        <f>HYPERLINK("mailto:stchiou@ym.edu.tw; shuti.chiou@gmail.com", "contact")</f>
        <v>contact</v>
      </c>
    </row>
    <row r="1018" spans="1:11" x14ac:dyDescent="0.25">
      <c r="A1018" s="13" t="s">
        <v>2313</v>
      </c>
      <c r="B1018" s="13" t="s">
        <v>2299</v>
      </c>
      <c r="C1018" s="13" t="s">
        <v>628</v>
      </c>
      <c r="D1018" s="13" t="s">
        <v>2314</v>
      </c>
      <c r="E1018" s="16" t="s">
        <v>41</v>
      </c>
      <c r="F1018" s="16" t="s">
        <v>40</v>
      </c>
      <c r="G1018" s="16" t="s">
        <v>473</v>
      </c>
      <c r="H1018" s="16" t="s">
        <v>473</v>
      </c>
      <c r="I1018" s="16">
        <v>1212</v>
      </c>
      <c r="J1018" s="16">
        <v>1147</v>
      </c>
      <c r="K1018" s="18" t="str">
        <f>HYPERLINK("mailto:ncdrisc@imperial.ac.uk", "contact")</f>
        <v>contact</v>
      </c>
    </row>
    <row r="1019" spans="1:11" x14ac:dyDescent="0.25">
      <c r="A1019" s="13" t="s">
        <v>2315</v>
      </c>
      <c r="B1019" s="13" t="s">
        <v>2299</v>
      </c>
      <c r="C1019" s="13" t="s">
        <v>496</v>
      </c>
      <c r="D1019" s="13" t="s">
        <v>2310</v>
      </c>
      <c r="E1019" s="16" t="s">
        <v>13</v>
      </c>
      <c r="F1019" s="16" t="s">
        <v>12</v>
      </c>
      <c r="G1019" s="16" t="s">
        <v>2316</v>
      </c>
      <c r="H1019" s="16" t="s">
        <v>2316</v>
      </c>
      <c r="I1019" s="16">
        <v>604</v>
      </c>
      <c r="J1019" s="16">
        <v>679</v>
      </c>
      <c r="K1019" s="18" t="str">
        <f>HYPERLINK("mailto:ncdrisc@imperial.ac.uk", "contact")</f>
        <v>contact</v>
      </c>
    </row>
    <row r="1020" spans="1:11" x14ac:dyDescent="0.25">
      <c r="A1020" s="13" t="s">
        <v>2317</v>
      </c>
      <c r="B1020" s="13" t="s">
        <v>2299</v>
      </c>
      <c r="C1020" s="13" t="s">
        <v>475</v>
      </c>
      <c r="D1020" s="13" t="s">
        <v>2300</v>
      </c>
      <c r="E1020" s="16" t="s">
        <v>13</v>
      </c>
      <c r="F1020" s="16" t="s">
        <v>12</v>
      </c>
      <c r="G1020" s="16" t="s">
        <v>770</v>
      </c>
      <c r="H1020" s="16" t="s">
        <v>770</v>
      </c>
      <c r="I1020" s="16">
        <v>1363</v>
      </c>
      <c r="J1020" s="16">
        <v>1327</v>
      </c>
      <c r="K1020" s="18" t="str">
        <f>HYPERLINK("mailto:ncdrisc@imperial.ac.uk", "contact")</f>
        <v>contact</v>
      </c>
    </row>
    <row r="1021" spans="1:11" x14ac:dyDescent="0.25">
      <c r="A1021" s="13" t="s">
        <v>2318</v>
      </c>
      <c r="B1021" s="13" t="s">
        <v>2299</v>
      </c>
      <c r="C1021" s="13" t="s">
        <v>488</v>
      </c>
      <c r="D1021" s="13" t="s">
        <v>2312</v>
      </c>
      <c r="E1021" s="16" t="s">
        <v>13</v>
      </c>
      <c r="F1021" s="16" t="s">
        <v>12</v>
      </c>
      <c r="G1021" s="16" t="s">
        <v>434</v>
      </c>
      <c r="H1021" s="16" t="s">
        <v>434</v>
      </c>
      <c r="I1021" s="16">
        <v>2508</v>
      </c>
      <c r="J1021" s="16">
        <v>2174</v>
      </c>
      <c r="K1021" s="18" t="str">
        <f>HYPERLINK("mailto:stchiou@ym.edu.tw; shuti.chiou@gmail.com", "contact")</f>
        <v>contact</v>
      </c>
    </row>
    <row r="1022" spans="1:11" x14ac:dyDescent="0.25">
      <c r="A1022" s="13" t="s">
        <v>2319</v>
      </c>
      <c r="B1022" s="13" t="s">
        <v>2299</v>
      </c>
      <c r="C1022" s="13" t="s">
        <v>1212</v>
      </c>
      <c r="D1022" s="13" t="s">
        <v>2300</v>
      </c>
      <c r="E1022" s="16" t="s">
        <v>13</v>
      </c>
      <c r="F1022" s="16" t="s">
        <v>12</v>
      </c>
      <c r="G1022" s="16" t="s">
        <v>2320</v>
      </c>
      <c r="H1022" s="16" t="s">
        <v>2320</v>
      </c>
      <c r="I1022" s="16">
        <v>2861</v>
      </c>
      <c r="J1022" s="16">
        <v>2863</v>
      </c>
      <c r="K1022" s="18" t="str">
        <f>HYPERLINK("mailto:ywwang@hpa.gov.tw", "contact")</f>
        <v>contact</v>
      </c>
    </row>
    <row r="1023" spans="1:11" x14ac:dyDescent="0.25">
      <c r="A1023" s="13" t="s">
        <v>2321</v>
      </c>
      <c r="B1023" s="13" t="s">
        <v>2299</v>
      </c>
      <c r="C1023" s="13" t="s">
        <v>1615</v>
      </c>
      <c r="D1023" s="13" t="s">
        <v>2300</v>
      </c>
      <c r="E1023" s="16" t="s">
        <v>13</v>
      </c>
      <c r="F1023" s="16" t="s">
        <v>12</v>
      </c>
      <c r="G1023" s="16" t="s">
        <v>2320</v>
      </c>
      <c r="H1023" s="16" t="s">
        <v>2320</v>
      </c>
      <c r="I1023" s="16">
        <v>3399</v>
      </c>
      <c r="J1023" s="16">
        <v>3379</v>
      </c>
      <c r="K1023" s="18" t="str">
        <f>HYPERLINK("mailto:ywwang@hpa.gov.tw", "contact")</f>
        <v>contact</v>
      </c>
    </row>
    <row r="1024" spans="1:11" x14ac:dyDescent="0.25">
      <c r="A1024" s="13" t="s">
        <v>2322</v>
      </c>
      <c r="B1024" s="13" t="s">
        <v>326</v>
      </c>
      <c r="C1024" s="13" t="s">
        <v>1643</v>
      </c>
      <c r="D1024" s="13" t="s">
        <v>2323</v>
      </c>
      <c r="E1024" s="16" t="s">
        <v>41</v>
      </c>
      <c r="F1024" s="16" t="s">
        <v>468</v>
      </c>
      <c r="G1024" s="16" t="s">
        <v>694</v>
      </c>
      <c r="H1024" s="16" t="s">
        <v>394</v>
      </c>
      <c r="I1024" s="16">
        <v>4283</v>
      </c>
      <c r="J1024" s="16">
        <v>3301</v>
      </c>
      <c r="K1024" s="18" t="str">
        <f>HYPERLINK("mailto:ncdrisc@imperial.ac.uk", "contact")</f>
        <v>contact</v>
      </c>
    </row>
    <row r="1025" spans="1:11" x14ac:dyDescent="0.25">
      <c r="A1025" s="13" t="s">
        <v>2324</v>
      </c>
      <c r="B1025" s="13" t="s">
        <v>326</v>
      </c>
      <c r="C1025" s="13" t="s">
        <v>684</v>
      </c>
      <c r="D1025" s="13" t="s">
        <v>2325</v>
      </c>
      <c r="E1025" s="16" t="s">
        <v>41</v>
      </c>
      <c r="F1025" s="16" t="s">
        <v>468</v>
      </c>
      <c r="G1025" s="16" t="s">
        <v>708</v>
      </c>
      <c r="H1025" s="16" t="s">
        <v>708</v>
      </c>
      <c r="I1025" s="16">
        <v>527</v>
      </c>
      <c r="J1025" s="16">
        <v>401</v>
      </c>
      <c r="K1025" s="18" t="str">
        <f>HYPERLINK("mailto:ncdrisc@imperial.ac.uk", "contact")</f>
        <v>contact</v>
      </c>
    </row>
    <row r="1026" spans="1:11" x14ac:dyDescent="0.25">
      <c r="A1026" s="13" t="s">
        <v>2326</v>
      </c>
      <c r="B1026" s="13" t="s">
        <v>326</v>
      </c>
      <c r="C1026" s="13" t="s">
        <v>684</v>
      </c>
      <c r="D1026" s="13" t="s">
        <v>2325</v>
      </c>
      <c r="E1026" s="16" t="s">
        <v>41</v>
      </c>
      <c r="F1026" s="16" t="s">
        <v>40</v>
      </c>
      <c r="G1026" s="16" t="s">
        <v>708</v>
      </c>
      <c r="H1026" s="16" t="s">
        <v>708</v>
      </c>
      <c r="I1026" s="16">
        <v>438</v>
      </c>
      <c r="J1026" s="16">
        <v>332</v>
      </c>
      <c r="K1026" s="18" t="str">
        <f>HYPERLINK("mailto:ncdrisc@imperial.ac.uk", "contact")</f>
        <v>contact</v>
      </c>
    </row>
    <row r="1027" spans="1:11" x14ac:dyDescent="0.25">
      <c r="A1027" s="13" t="s">
        <v>325</v>
      </c>
      <c r="B1027" s="13" t="s">
        <v>326</v>
      </c>
      <c r="C1027" s="13" t="s">
        <v>499</v>
      </c>
      <c r="D1027" s="13" t="s">
        <v>380</v>
      </c>
      <c r="E1027" s="16" t="s">
        <v>53</v>
      </c>
      <c r="F1027" s="16" t="s">
        <v>12</v>
      </c>
      <c r="G1027" s="16" t="s">
        <v>398</v>
      </c>
      <c r="H1027" s="16" t="s">
        <v>398</v>
      </c>
      <c r="I1027" s="16">
        <v>1524</v>
      </c>
      <c r="J1027" s="16">
        <v>1011</v>
      </c>
      <c r="K1027" s="17" t="s">
        <v>383</v>
      </c>
    </row>
    <row r="1028" spans="1:11" x14ac:dyDescent="0.25">
      <c r="A1028" s="13" t="s">
        <v>327</v>
      </c>
      <c r="B1028" s="13" t="s">
        <v>326</v>
      </c>
      <c r="C1028" s="13" t="s">
        <v>439</v>
      </c>
      <c r="D1028" s="13" t="s">
        <v>380</v>
      </c>
      <c r="E1028" s="16" t="s">
        <v>13</v>
      </c>
      <c r="F1028" s="16" t="s">
        <v>12</v>
      </c>
      <c r="G1028" s="16" t="s">
        <v>398</v>
      </c>
      <c r="H1028" s="16" t="s">
        <v>398</v>
      </c>
      <c r="I1028" s="16">
        <v>2849</v>
      </c>
      <c r="J1028" s="16">
        <v>2601</v>
      </c>
      <c r="K1028" s="17" t="s">
        <v>383</v>
      </c>
    </row>
    <row r="1029" spans="1:11" x14ac:dyDescent="0.25">
      <c r="A1029" s="13" t="s">
        <v>2327</v>
      </c>
      <c r="B1029" s="13" t="s">
        <v>326</v>
      </c>
      <c r="C1029" s="13" t="s">
        <v>1198</v>
      </c>
      <c r="D1029" s="13" t="s">
        <v>380</v>
      </c>
      <c r="E1029" s="16" t="s">
        <v>13</v>
      </c>
      <c r="F1029" s="16" t="s">
        <v>12</v>
      </c>
      <c r="G1029" s="16" t="s">
        <v>381</v>
      </c>
      <c r="H1029" s="16" t="s">
        <v>381</v>
      </c>
      <c r="I1029" s="16">
        <v>1945</v>
      </c>
      <c r="J1029" s="16">
        <v>1459</v>
      </c>
      <c r="K1029" s="17" t="s">
        <v>383</v>
      </c>
    </row>
    <row r="1030" spans="1:11" x14ac:dyDescent="0.25">
      <c r="A1030" s="13" t="s">
        <v>329</v>
      </c>
      <c r="B1030" s="13" t="s">
        <v>330</v>
      </c>
      <c r="C1030" s="13" t="s">
        <v>600</v>
      </c>
      <c r="D1030" s="13" t="s">
        <v>380</v>
      </c>
      <c r="E1030" s="16" t="s">
        <v>13</v>
      </c>
      <c r="F1030" s="16" t="s">
        <v>12</v>
      </c>
      <c r="G1030" s="16" t="s">
        <v>381</v>
      </c>
      <c r="H1030" s="16" t="s">
        <v>381</v>
      </c>
      <c r="I1030" s="16">
        <v>2132</v>
      </c>
      <c r="J1030" s="16">
        <v>1570</v>
      </c>
      <c r="K1030" s="17" t="s">
        <v>383</v>
      </c>
    </row>
    <row r="1031" spans="1:11" x14ac:dyDescent="0.25">
      <c r="A1031" s="13" t="s">
        <v>331</v>
      </c>
      <c r="B1031" s="13" t="s">
        <v>330</v>
      </c>
      <c r="C1031" s="13" t="s">
        <v>1198</v>
      </c>
      <c r="D1031" s="13" t="s">
        <v>380</v>
      </c>
      <c r="E1031" s="16" t="s">
        <v>13</v>
      </c>
      <c r="F1031" s="16" t="s">
        <v>12</v>
      </c>
      <c r="G1031" s="16" t="s">
        <v>381</v>
      </c>
      <c r="H1031" s="16" t="s">
        <v>381</v>
      </c>
      <c r="I1031" s="16">
        <v>2069</v>
      </c>
      <c r="J1031" s="16">
        <v>1426</v>
      </c>
      <c r="K1031" s="17" t="s">
        <v>383</v>
      </c>
    </row>
    <row r="1032" spans="1:11" x14ac:dyDescent="0.25">
      <c r="A1032" s="13" t="s">
        <v>333</v>
      </c>
      <c r="B1032" s="13" t="s">
        <v>334</v>
      </c>
      <c r="C1032" s="13" t="s">
        <v>511</v>
      </c>
      <c r="D1032" s="13" t="s">
        <v>380</v>
      </c>
      <c r="E1032" s="16" t="s">
        <v>13</v>
      </c>
      <c r="F1032" s="16" t="s">
        <v>12</v>
      </c>
      <c r="G1032" s="16" t="s">
        <v>381</v>
      </c>
      <c r="H1032" s="16" t="s">
        <v>381</v>
      </c>
      <c r="I1032" s="16">
        <v>2662</v>
      </c>
      <c r="J1032" s="16">
        <v>1610</v>
      </c>
      <c r="K1032" s="17" t="s">
        <v>383</v>
      </c>
    </row>
    <row r="1033" spans="1:11" x14ac:dyDescent="0.25">
      <c r="A1033" s="13" t="s">
        <v>2328</v>
      </c>
      <c r="B1033" s="13" t="s">
        <v>337</v>
      </c>
      <c r="C1033" s="13" t="s">
        <v>452</v>
      </c>
      <c r="D1033" s="13" t="s">
        <v>2329</v>
      </c>
      <c r="E1033" s="16" t="s">
        <v>13</v>
      </c>
      <c r="F1033" s="16" t="s">
        <v>12</v>
      </c>
      <c r="G1033" s="16" t="s">
        <v>770</v>
      </c>
      <c r="H1033" s="16" t="s">
        <v>770</v>
      </c>
      <c r="I1033" s="16">
        <v>574</v>
      </c>
      <c r="J1033" s="16">
        <v>449</v>
      </c>
      <c r="K1033" s="18" t="str">
        <f>HYPERLINK("mailto:ncdrisc@imperial.ac.uk", "contact")</f>
        <v>contact</v>
      </c>
    </row>
    <row r="1034" spans="1:11" x14ac:dyDescent="0.25">
      <c r="A1034" s="13" t="s">
        <v>2330</v>
      </c>
      <c r="B1034" s="13" t="s">
        <v>337</v>
      </c>
      <c r="C1034" s="13" t="s">
        <v>400</v>
      </c>
      <c r="D1034" s="13" t="s">
        <v>401</v>
      </c>
      <c r="E1034" s="16" t="s">
        <v>41</v>
      </c>
      <c r="F1034" s="16" t="s">
        <v>40</v>
      </c>
      <c r="G1034" s="16" t="s">
        <v>402</v>
      </c>
      <c r="H1034" s="16" t="s">
        <v>402</v>
      </c>
      <c r="I1034" s="16">
        <v>903</v>
      </c>
      <c r="J1034" s="16">
        <v>639</v>
      </c>
      <c r="K1034" s="18" t="str">
        <f>HYPERLINK("mailto:arubinstein@gmail.com", "contact")</f>
        <v>contact</v>
      </c>
    </row>
    <row r="1035" spans="1:11" x14ac:dyDescent="0.25">
      <c r="A1035" s="13" t="s">
        <v>336</v>
      </c>
      <c r="B1035" s="13" t="s">
        <v>337</v>
      </c>
      <c r="C1035" s="13" t="s">
        <v>490</v>
      </c>
      <c r="D1035" s="13" t="s">
        <v>380</v>
      </c>
      <c r="E1035" s="16" t="s">
        <v>13</v>
      </c>
      <c r="F1035" s="16" t="s">
        <v>40</v>
      </c>
      <c r="G1035" s="16" t="s">
        <v>708</v>
      </c>
      <c r="H1035" s="16" t="s">
        <v>708</v>
      </c>
      <c r="I1035" s="16">
        <v>1468</v>
      </c>
      <c r="J1035" s="16">
        <v>872</v>
      </c>
      <c r="K1035" s="17" t="s">
        <v>383</v>
      </c>
    </row>
    <row r="1036" spans="1:11" x14ac:dyDescent="0.25">
      <c r="A1036" s="13" t="s">
        <v>2331</v>
      </c>
      <c r="B1036" s="13" t="s">
        <v>337</v>
      </c>
      <c r="C1036" s="13" t="s">
        <v>1726</v>
      </c>
      <c r="D1036" s="13" t="s">
        <v>2332</v>
      </c>
      <c r="E1036" s="16" t="s">
        <v>41</v>
      </c>
      <c r="F1036" s="16" t="s">
        <v>40</v>
      </c>
      <c r="G1036" s="16" t="s">
        <v>770</v>
      </c>
      <c r="H1036" s="16" t="s">
        <v>770</v>
      </c>
      <c r="I1036" s="16">
        <v>193</v>
      </c>
      <c r="J1036" s="16">
        <v>130</v>
      </c>
      <c r="K1036" s="18" t="str">
        <f>HYPERLINK("mailto:jboggia@hc.edu.uy; ppboggia@gmail.com", "contact")</f>
        <v>contact</v>
      </c>
    </row>
    <row r="1037" spans="1:11" x14ac:dyDescent="0.25">
      <c r="A1037" s="13" t="s">
        <v>339</v>
      </c>
      <c r="B1037" s="13" t="s">
        <v>340</v>
      </c>
      <c r="C1037" s="13" t="s">
        <v>2333</v>
      </c>
      <c r="D1037" s="13" t="s">
        <v>2334</v>
      </c>
      <c r="E1037" s="16" t="s">
        <v>13</v>
      </c>
      <c r="F1037" s="16" t="s">
        <v>12</v>
      </c>
      <c r="G1037" s="16" t="s">
        <v>812</v>
      </c>
      <c r="H1037" s="16" t="s">
        <v>812</v>
      </c>
      <c r="I1037" s="16">
        <v>6236</v>
      </c>
      <c r="J1037" s="16">
        <v>5594</v>
      </c>
      <c r="K1037" s="17" t="s">
        <v>383</v>
      </c>
    </row>
    <row r="1038" spans="1:11" x14ac:dyDescent="0.25">
      <c r="A1038" s="13" t="s">
        <v>2335</v>
      </c>
      <c r="B1038" s="13" t="s">
        <v>340</v>
      </c>
      <c r="C1038" s="13" t="s">
        <v>1639</v>
      </c>
      <c r="D1038" s="13" t="s">
        <v>2336</v>
      </c>
      <c r="E1038" s="16" t="s">
        <v>53</v>
      </c>
      <c r="F1038" s="16" t="s">
        <v>40</v>
      </c>
      <c r="G1038" s="16" t="s">
        <v>2337</v>
      </c>
      <c r="H1038" s="16" t="s">
        <v>2337</v>
      </c>
      <c r="I1038" s="16">
        <v>2633</v>
      </c>
      <c r="J1038" s="16">
        <v>2198</v>
      </c>
      <c r="K1038" s="18" t="str">
        <f>HYPERLINK("mailto:ncdrisc@imperial.ac.uk", "contact")</f>
        <v>contact</v>
      </c>
    </row>
    <row r="1039" spans="1:11" x14ac:dyDescent="0.25">
      <c r="A1039" s="13" t="s">
        <v>2338</v>
      </c>
      <c r="B1039" s="13" t="s">
        <v>340</v>
      </c>
      <c r="C1039" s="13" t="s">
        <v>2339</v>
      </c>
      <c r="D1039" s="13" t="s">
        <v>2340</v>
      </c>
      <c r="E1039" s="16" t="s">
        <v>53</v>
      </c>
      <c r="F1039" s="16" t="s">
        <v>12</v>
      </c>
      <c r="G1039" s="16" t="s">
        <v>2341</v>
      </c>
      <c r="H1039" s="16" t="s">
        <v>2341</v>
      </c>
      <c r="I1039" s="16">
        <v>6222</v>
      </c>
      <c r="J1039" s="16">
        <v>5051</v>
      </c>
      <c r="K1039" s="18" t="str">
        <f>HYPERLINK("mailto:ncdrisc@imperial.ac.uk", "contact")</f>
        <v>contact</v>
      </c>
    </row>
    <row r="1040" spans="1:11" x14ac:dyDescent="0.25">
      <c r="A1040" s="13" t="s">
        <v>2342</v>
      </c>
      <c r="B1040" s="13" t="s">
        <v>340</v>
      </c>
      <c r="C1040" s="13" t="s">
        <v>1540</v>
      </c>
      <c r="D1040" s="13" t="s">
        <v>2343</v>
      </c>
      <c r="E1040" s="16" t="s">
        <v>53</v>
      </c>
      <c r="F1040" s="16" t="s">
        <v>12</v>
      </c>
      <c r="G1040" s="16" t="s">
        <v>531</v>
      </c>
      <c r="H1040" s="16" t="s">
        <v>531</v>
      </c>
      <c r="I1040" s="16">
        <v>3321</v>
      </c>
      <c r="J1040" s="16">
        <v>2462</v>
      </c>
      <c r="K1040" s="18" t="str">
        <f>HYPERLINK("mailto:ncdrisc@imperial.ac.uk", "contact")</f>
        <v>contact</v>
      </c>
    </row>
    <row r="1041" spans="1:11" x14ac:dyDescent="0.25">
      <c r="A1041" s="13" t="s">
        <v>2344</v>
      </c>
      <c r="B1041" s="13" t="s">
        <v>340</v>
      </c>
      <c r="C1041" s="13" t="s">
        <v>1002</v>
      </c>
      <c r="D1041" s="13" t="s">
        <v>2340</v>
      </c>
      <c r="E1041" s="16" t="s">
        <v>53</v>
      </c>
      <c r="F1041" s="16" t="s">
        <v>12</v>
      </c>
      <c r="G1041" s="16" t="s">
        <v>2345</v>
      </c>
      <c r="H1041" s="16" t="s">
        <v>2345</v>
      </c>
      <c r="I1041" s="16">
        <v>5631</v>
      </c>
      <c r="J1041" s="16">
        <v>4546</v>
      </c>
      <c r="K1041" s="18" t="str">
        <f>HYPERLINK("mailto:ncdrisc@imperial.ac.uk", "contact")</f>
        <v>contact</v>
      </c>
    </row>
    <row r="1042" spans="1:11" x14ac:dyDescent="0.25">
      <c r="A1042" s="13" t="s">
        <v>343</v>
      </c>
      <c r="B1042" s="13" t="s">
        <v>340</v>
      </c>
      <c r="C1042" s="13" t="s">
        <v>2346</v>
      </c>
      <c r="D1042" s="13" t="s">
        <v>2347</v>
      </c>
      <c r="E1042" s="16" t="s">
        <v>13</v>
      </c>
      <c r="F1042" s="16" t="s">
        <v>12</v>
      </c>
      <c r="G1042" s="16" t="s">
        <v>434</v>
      </c>
      <c r="H1042" s="16" t="s">
        <v>434</v>
      </c>
      <c r="I1042" s="16">
        <v>9702</v>
      </c>
      <c r="J1042" s="16">
        <v>8806</v>
      </c>
      <c r="K1042" s="17" t="s">
        <v>383</v>
      </c>
    </row>
    <row r="1043" spans="1:11" x14ac:dyDescent="0.25">
      <c r="A1043" s="13" t="s">
        <v>2348</v>
      </c>
      <c r="B1043" s="13" t="s">
        <v>340</v>
      </c>
      <c r="C1043" s="13" t="s">
        <v>663</v>
      </c>
      <c r="D1043" s="13" t="s">
        <v>2336</v>
      </c>
      <c r="E1043" s="16" t="s">
        <v>53</v>
      </c>
      <c r="F1043" s="16" t="s">
        <v>40</v>
      </c>
      <c r="G1043" s="16" t="s">
        <v>2349</v>
      </c>
      <c r="H1043" s="16" t="s">
        <v>2349</v>
      </c>
      <c r="I1043" s="16">
        <v>1979</v>
      </c>
      <c r="J1043" s="16">
        <v>1670</v>
      </c>
      <c r="K1043" s="18" t="str">
        <f t="shared" ref="K1043:K1051" si="6">HYPERLINK("mailto:ncdrisc@imperial.ac.uk", "contact")</f>
        <v>contact</v>
      </c>
    </row>
    <row r="1044" spans="1:11" x14ac:dyDescent="0.25">
      <c r="A1044" s="13" t="s">
        <v>2350</v>
      </c>
      <c r="B1044" s="13" t="s">
        <v>340</v>
      </c>
      <c r="C1044" s="13" t="s">
        <v>663</v>
      </c>
      <c r="D1044" s="13" t="s">
        <v>2343</v>
      </c>
      <c r="E1044" s="16" t="s">
        <v>53</v>
      </c>
      <c r="F1044" s="16" t="s">
        <v>12</v>
      </c>
      <c r="G1044" s="16" t="s">
        <v>531</v>
      </c>
      <c r="H1044" s="16" t="s">
        <v>531</v>
      </c>
      <c r="I1044" s="16">
        <v>2971</v>
      </c>
      <c r="J1044" s="16">
        <v>2105</v>
      </c>
      <c r="K1044" s="18" t="str">
        <f t="shared" si="6"/>
        <v>contact</v>
      </c>
    </row>
    <row r="1045" spans="1:11" x14ac:dyDescent="0.25">
      <c r="A1045" s="13" t="s">
        <v>2351</v>
      </c>
      <c r="B1045" s="13" t="s">
        <v>340</v>
      </c>
      <c r="C1045" s="13" t="s">
        <v>603</v>
      </c>
      <c r="D1045" s="13" t="s">
        <v>2340</v>
      </c>
      <c r="E1045" s="16" t="s">
        <v>53</v>
      </c>
      <c r="F1045" s="16" t="s">
        <v>12</v>
      </c>
      <c r="G1045" s="16" t="s">
        <v>2352</v>
      </c>
      <c r="H1045" s="16" t="s">
        <v>2352</v>
      </c>
      <c r="I1045" s="16">
        <v>5019</v>
      </c>
      <c r="J1045" s="16">
        <v>4004</v>
      </c>
      <c r="K1045" s="18" t="str">
        <f t="shared" si="6"/>
        <v>contact</v>
      </c>
    </row>
    <row r="1046" spans="1:11" x14ac:dyDescent="0.25">
      <c r="A1046" s="13" t="s">
        <v>2353</v>
      </c>
      <c r="B1046" s="13" t="s">
        <v>340</v>
      </c>
      <c r="C1046" s="13" t="s">
        <v>681</v>
      </c>
      <c r="D1046" s="13" t="s">
        <v>2354</v>
      </c>
      <c r="E1046" s="16" t="s">
        <v>41</v>
      </c>
      <c r="F1046" s="16" t="s">
        <v>468</v>
      </c>
      <c r="G1046" s="16" t="s">
        <v>2355</v>
      </c>
      <c r="H1046" s="16" t="s">
        <v>2355</v>
      </c>
      <c r="I1046" s="16">
        <v>790</v>
      </c>
      <c r="J1046" s="16">
        <v>515</v>
      </c>
      <c r="K1046" s="18" t="str">
        <f t="shared" si="6"/>
        <v>contact</v>
      </c>
    </row>
    <row r="1047" spans="1:11" x14ac:dyDescent="0.25">
      <c r="A1047" s="13" t="s">
        <v>2356</v>
      </c>
      <c r="B1047" s="13" t="s">
        <v>340</v>
      </c>
      <c r="C1047" s="13" t="s">
        <v>681</v>
      </c>
      <c r="D1047" s="13" t="s">
        <v>2336</v>
      </c>
      <c r="E1047" s="16" t="s">
        <v>53</v>
      </c>
      <c r="F1047" s="16" t="s">
        <v>40</v>
      </c>
      <c r="G1047" s="16" t="s">
        <v>2357</v>
      </c>
      <c r="H1047" s="16" t="s">
        <v>2357</v>
      </c>
      <c r="I1047" s="16">
        <v>1923</v>
      </c>
      <c r="J1047" s="16">
        <v>1595</v>
      </c>
      <c r="K1047" s="18" t="str">
        <f t="shared" si="6"/>
        <v>contact</v>
      </c>
    </row>
    <row r="1048" spans="1:11" x14ac:dyDescent="0.25">
      <c r="A1048" s="13" t="s">
        <v>2358</v>
      </c>
      <c r="B1048" s="13" t="s">
        <v>340</v>
      </c>
      <c r="C1048" s="13" t="s">
        <v>899</v>
      </c>
      <c r="D1048" s="13" t="s">
        <v>2340</v>
      </c>
      <c r="E1048" s="16" t="s">
        <v>53</v>
      </c>
      <c r="F1048" s="16" t="s">
        <v>12</v>
      </c>
      <c r="G1048" s="16" t="s">
        <v>845</v>
      </c>
      <c r="H1048" s="16" t="s">
        <v>845</v>
      </c>
      <c r="I1048" s="16">
        <v>4497</v>
      </c>
      <c r="J1048" s="16">
        <v>3561</v>
      </c>
      <c r="K1048" s="18" t="str">
        <f t="shared" si="6"/>
        <v>contact</v>
      </c>
    </row>
    <row r="1049" spans="1:11" x14ac:dyDescent="0.25">
      <c r="A1049" s="13" t="s">
        <v>2359</v>
      </c>
      <c r="B1049" s="13" t="s">
        <v>340</v>
      </c>
      <c r="C1049" s="13" t="s">
        <v>533</v>
      </c>
      <c r="D1049" s="13" t="s">
        <v>2343</v>
      </c>
      <c r="E1049" s="16" t="s">
        <v>53</v>
      </c>
      <c r="F1049" s="16" t="s">
        <v>12</v>
      </c>
      <c r="G1049" s="16" t="s">
        <v>1579</v>
      </c>
      <c r="H1049" s="16" t="s">
        <v>1579</v>
      </c>
      <c r="I1049" s="16">
        <v>2504</v>
      </c>
      <c r="J1049" s="16">
        <v>1567</v>
      </c>
      <c r="K1049" s="18" t="str">
        <f t="shared" si="6"/>
        <v>contact</v>
      </c>
    </row>
    <row r="1050" spans="1:11" x14ac:dyDescent="0.25">
      <c r="A1050" s="13" t="s">
        <v>2360</v>
      </c>
      <c r="B1050" s="13" t="s">
        <v>340</v>
      </c>
      <c r="C1050" s="13" t="s">
        <v>533</v>
      </c>
      <c r="D1050" s="13" t="s">
        <v>2361</v>
      </c>
      <c r="E1050" s="16" t="s">
        <v>53</v>
      </c>
      <c r="F1050" s="16" t="s">
        <v>12</v>
      </c>
      <c r="G1050" s="16" t="s">
        <v>2362</v>
      </c>
      <c r="H1050" s="16"/>
      <c r="I1050" s="16">
        <v>3240</v>
      </c>
      <c r="J1050" s="16"/>
      <c r="K1050" s="18" t="str">
        <f t="shared" si="6"/>
        <v>contact</v>
      </c>
    </row>
    <row r="1051" spans="1:11" x14ac:dyDescent="0.25">
      <c r="A1051" s="13" t="s">
        <v>2363</v>
      </c>
      <c r="B1051" s="13" t="s">
        <v>340</v>
      </c>
      <c r="C1051" s="13" t="s">
        <v>2364</v>
      </c>
      <c r="D1051" s="13" t="s">
        <v>2361</v>
      </c>
      <c r="E1051" s="16" t="s">
        <v>53</v>
      </c>
      <c r="F1051" s="16" t="s">
        <v>12</v>
      </c>
      <c r="G1051" s="16" t="s">
        <v>2362</v>
      </c>
      <c r="H1051" s="16"/>
      <c r="I1051" s="16">
        <v>2862</v>
      </c>
      <c r="J1051" s="16"/>
      <c r="K1051" s="18" t="str">
        <f t="shared" si="6"/>
        <v>contact</v>
      </c>
    </row>
    <row r="1052" spans="1:11" x14ac:dyDescent="0.25">
      <c r="A1052" s="13" t="s">
        <v>344</v>
      </c>
      <c r="B1052" s="13" t="s">
        <v>340</v>
      </c>
      <c r="C1052" s="13" t="s">
        <v>390</v>
      </c>
      <c r="D1052" s="13" t="s">
        <v>2365</v>
      </c>
      <c r="E1052" s="16" t="s">
        <v>13</v>
      </c>
      <c r="F1052" s="16" t="s">
        <v>12</v>
      </c>
      <c r="G1052" s="16" t="s">
        <v>394</v>
      </c>
      <c r="H1052" s="16" t="s">
        <v>394</v>
      </c>
      <c r="I1052" s="16">
        <v>2586</v>
      </c>
      <c r="J1052" s="16">
        <v>2546</v>
      </c>
      <c r="K1052" s="17" t="s">
        <v>383</v>
      </c>
    </row>
    <row r="1053" spans="1:11" x14ac:dyDescent="0.25">
      <c r="A1053" s="13" t="s">
        <v>2366</v>
      </c>
      <c r="B1053" s="13" t="s">
        <v>340</v>
      </c>
      <c r="C1053" s="13" t="s">
        <v>1075</v>
      </c>
      <c r="D1053" s="13" t="s">
        <v>2361</v>
      </c>
      <c r="E1053" s="16" t="s">
        <v>53</v>
      </c>
      <c r="F1053" s="16" t="s">
        <v>12</v>
      </c>
      <c r="G1053" s="16" t="s">
        <v>2367</v>
      </c>
      <c r="H1053" s="16"/>
      <c r="I1053" s="16">
        <v>2694</v>
      </c>
      <c r="J1053" s="16"/>
      <c r="K1053" s="18" t="str">
        <f>HYPERLINK("mailto:ncdrisc@imperial.ac.uk", "contact")</f>
        <v>contact</v>
      </c>
    </row>
    <row r="1054" spans="1:11" x14ac:dyDescent="0.25">
      <c r="A1054" s="13" t="s">
        <v>2368</v>
      </c>
      <c r="B1054" s="13" t="s">
        <v>340</v>
      </c>
      <c r="C1054" s="13" t="s">
        <v>688</v>
      </c>
      <c r="D1054" s="13" t="s">
        <v>2336</v>
      </c>
      <c r="E1054" s="16" t="s">
        <v>53</v>
      </c>
      <c r="F1054" s="16" t="s">
        <v>40</v>
      </c>
      <c r="G1054" s="16" t="s">
        <v>2369</v>
      </c>
      <c r="H1054" s="16" t="s">
        <v>2369</v>
      </c>
      <c r="I1054" s="16">
        <v>1823</v>
      </c>
      <c r="J1054" s="16">
        <v>1474</v>
      </c>
      <c r="K1054" s="18" t="str">
        <f>HYPERLINK("mailto:ncdrisc@imperial.ac.uk", "contact")</f>
        <v>contact</v>
      </c>
    </row>
    <row r="1055" spans="1:11" x14ac:dyDescent="0.25">
      <c r="A1055" s="13" t="s">
        <v>2370</v>
      </c>
      <c r="B1055" s="13" t="s">
        <v>340</v>
      </c>
      <c r="C1055" s="13" t="s">
        <v>843</v>
      </c>
      <c r="D1055" s="13" t="s">
        <v>2361</v>
      </c>
      <c r="E1055" s="16" t="s">
        <v>53</v>
      </c>
      <c r="F1055" s="16" t="s">
        <v>12</v>
      </c>
      <c r="G1055" s="16" t="s">
        <v>2371</v>
      </c>
      <c r="H1055" s="16"/>
      <c r="I1055" s="16">
        <v>2658</v>
      </c>
      <c r="J1055" s="16"/>
      <c r="K1055" s="18" t="str">
        <f>HYPERLINK("mailto:ncdrisc@imperial.ac.uk", "contact")</f>
        <v>contact</v>
      </c>
    </row>
    <row r="1056" spans="1:11" x14ac:dyDescent="0.25">
      <c r="A1056" s="13" t="s">
        <v>345</v>
      </c>
      <c r="B1056" s="13" t="s">
        <v>340</v>
      </c>
      <c r="C1056" s="13" t="s">
        <v>940</v>
      </c>
      <c r="D1056" s="13" t="s">
        <v>2372</v>
      </c>
      <c r="E1056" s="16" t="s">
        <v>13</v>
      </c>
      <c r="F1056" s="16" t="s">
        <v>12</v>
      </c>
      <c r="G1056" s="16" t="s">
        <v>394</v>
      </c>
      <c r="H1056" s="16" t="s">
        <v>394</v>
      </c>
      <c r="I1056" s="16">
        <v>2800</v>
      </c>
      <c r="J1056" s="16">
        <v>2844</v>
      </c>
      <c r="K1056" s="17" t="s">
        <v>383</v>
      </c>
    </row>
    <row r="1057" spans="1:11" x14ac:dyDescent="0.25">
      <c r="A1057" s="13" t="s">
        <v>346</v>
      </c>
      <c r="B1057" s="13" t="s">
        <v>340</v>
      </c>
      <c r="C1057" s="13" t="s">
        <v>920</v>
      </c>
      <c r="D1057" s="13" t="s">
        <v>2373</v>
      </c>
      <c r="E1057" s="16" t="s">
        <v>13</v>
      </c>
      <c r="F1057" s="16" t="s">
        <v>12</v>
      </c>
      <c r="G1057" s="16" t="s">
        <v>394</v>
      </c>
      <c r="H1057" s="16" t="s">
        <v>394</v>
      </c>
      <c r="I1057" s="16">
        <v>2654</v>
      </c>
      <c r="J1057" s="16">
        <v>2695</v>
      </c>
      <c r="K1057" s="17" t="s">
        <v>383</v>
      </c>
    </row>
    <row r="1058" spans="1:11" x14ac:dyDescent="0.25">
      <c r="A1058" s="13" t="s">
        <v>2374</v>
      </c>
      <c r="B1058" s="13" t="s">
        <v>340</v>
      </c>
      <c r="C1058" s="13" t="s">
        <v>409</v>
      </c>
      <c r="D1058" s="13" t="s">
        <v>2375</v>
      </c>
      <c r="E1058" s="16" t="s">
        <v>41</v>
      </c>
      <c r="F1058" s="16" t="s">
        <v>40</v>
      </c>
      <c r="G1058" s="16" t="s">
        <v>434</v>
      </c>
      <c r="H1058" s="16" t="s">
        <v>434</v>
      </c>
      <c r="I1058" s="16">
        <v>1129</v>
      </c>
      <c r="J1058" s="16">
        <v>824</v>
      </c>
      <c r="K1058" s="18" t="str">
        <f>HYPERLINK("mailto:ncdrisc@imperial.ac.uk", "contact")</f>
        <v>contact</v>
      </c>
    </row>
    <row r="1059" spans="1:11" x14ac:dyDescent="0.25">
      <c r="A1059" s="13" t="s">
        <v>2376</v>
      </c>
      <c r="B1059" s="13" t="s">
        <v>340</v>
      </c>
      <c r="C1059" s="13" t="s">
        <v>520</v>
      </c>
      <c r="D1059" s="13" t="s">
        <v>2336</v>
      </c>
      <c r="E1059" s="16" t="s">
        <v>53</v>
      </c>
      <c r="F1059" s="16" t="s">
        <v>40</v>
      </c>
      <c r="G1059" s="16" t="s">
        <v>2201</v>
      </c>
      <c r="H1059" s="16" t="s">
        <v>2201</v>
      </c>
      <c r="I1059" s="16">
        <v>2010</v>
      </c>
      <c r="J1059" s="16">
        <v>1531</v>
      </c>
      <c r="K1059" s="18" t="str">
        <f>HYPERLINK("mailto:ncdrisc@imperial.ac.uk", "contact")</f>
        <v>contact</v>
      </c>
    </row>
    <row r="1060" spans="1:11" x14ac:dyDescent="0.25">
      <c r="A1060" s="13" t="s">
        <v>2377</v>
      </c>
      <c r="B1060" s="13" t="s">
        <v>340</v>
      </c>
      <c r="C1060" s="13" t="s">
        <v>520</v>
      </c>
      <c r="D1060" s="13" t="s">
        <v>2343</v>
      </c>
      <c r="E1060" s="16" t="s">
        <v>53</v>
      </c>
      <c r="F1060" s="16" t="s">
        <v>12</v>
      </c>
      <c r="G1060" s="16" t="s">
        <v>2378</v>
      </c>
      <c r="H1060" s="16" t="s">
        <v>2378</v>
      </c>
      <c r="I1060" s="16">
        <v>1018</v>
      </c>
      <c r="J1060" s="16">
        <v>536</v>
      </c>
      <c r="K1060" s="18" t="str">
        <f>HYPERLINK("mailto:ncdrisc@imperial.ac.uk", "contact")</f>
        <v>contact</v>
      </c>
    </row>
    <row r="1061" spans="1:11" x14ac:dyDescent="0.25">
      <c r="A1061" s="13" t="s">
        <v>347</v>
      </c>
      <c r="B1061" s="13" t="s">
        <v>340</v>
      </c>
      <c r="C1061" s="13" t="s">
        <v>520</v>
      </c>
      <c r="D1061" s="13" t="s">
        <v>2379</v>
      </c>
      <c r="E1061" s="16" t="s">
        <v>13</v>
      </c>
      <c r="F1061" s="16" t="s">
        <v>12</v>
      </c>
      <c r="G1061" s="16" t="s">
        <v>394</v>
      </c>
      <c r="H1061" s="16" t="s">
        <v>394</v>
      </c>
      <c r="I1061" s="16">
        <v>2519</v>
      </c>
      <c r="J1061" s="16">
        <v>2671</v>
      </c>
      <c r="K1061" s="17" t="s">
        <v>383</v>
      </c>
    </row>
    <row r="1062" spans="1:11" x14ac:dyDescent="0.25">
      <c r="A1062" s="13" t="s">
        <v>348</v>
      </c>
      <c r="B1062" s="13" t="s">
        <v>340</v>
      </c>
      <c r="C1062" s="13" t="s">
        <v>880</v>
      </c>
      <c r="D1062" s="13" t="s">
        <v>2380</v>
      </c>
      <c r="E1062" s="16" t="s">
        <v>13</v>
      </c>
      <c r="F1062" s="16" t="s">
        <v>12</v>
      </c>
      <c r="G1062" s="16" t="s">
        <v>394</v>
      </c>
      <c r="H1062" s="16" t="s">
        <v>394</v>
      </c>
      <c r="I1062" s="16">
        <v>3100</v>
      </c>
      <c r="J1062" s="16">
        <v>3063</v>
      </c>
      <c r="K1062" s="17" t="s">
        <v>383</v>
      </c>
    </row>
    <row r="1063" spans="1:11" x14ac:dyDescent="0.25">
      <c r="A1063" s="13" t="s">
        <v>2381</v>
      </c>
      <c r="B1063" s="13" t="s">
        <v>340</v>
      </c>
      <c r="C1063" s="13" t="s">
        <v>712</v>
      </c>
      <c r="D1063" s="13" t="s">
        <v>2382</v>
      </c>
      <c r="E1063" s="16" t="s">
        <v>13</v>
      </c>
      <c r="F1063" s="16" t="s">
        <v>12</v>
      </c>
      <c r="G1063" s="16" t="s">
        <v>2383</v>
      </c>
      <c r="H1063" s="16" t="s">
        <v>2383</v>
      </c>
      <c r="I1063" s="16">
        <v>2761</v>
      </c>
      <c r="J1063" s="16">
        <v>2353</v>
      </c>
      <c r="K1063" s="18" t="str">
        <f>HYPERLINK("mailto:ncdrisc@imperial.ac.uk", "contact")</f>
        <v>contact</v>
      </c>
    </row>
    <row r="1064" spans="1:11" x14ac:dyDescent="0.25">
      <c r="A1064" s="13" t="s">
        <v>349</v>
      </c>
      <c r="B1064" s="13" t="s">
        <v>340</v>
      </c>
      <c r="C1064" s="13" t="s">
        <v>670</v>
      </c>
      <c r="D1064" s="13" t="s">
        <v>2384</v>
      </c>
      <c r="E1064" s="16" t="s">
        <v>13</v>
      </c>
      <c r="F1064" s="16" t="s">
        <v>12</v>
      </c>
      <c r="G1064" s="16" t="s">
        <v>394</v>
      </c>
      <c r="H1064" s="16" t="s">
        <v>394</v>
      </c>
      <c r="I1064" s="16">
        <v>3281</v>
      </c>
      <c r="J1064" s="16">
        <v>3174</v>
      </c>
      <c r="K1064" s="17" t="s">
        <v>383</v>
      </c>
    </row>
    <row r="1065" spans="1:11" x14ac:dyDescent="0.25">
      <c r="A1065" s="13" t="s">
        <v>2385</v>
      </c>
      <c r="B1065" s="13" t="s">
        <v>340</v>
      </c>
      <c r="C1065" s="13" t="s">
        <v>594</v>
      </c>
      <c r="D1065" s="13" t="s">
        <v>2336</v>
      </c>
      <c r="E1065" s="16" t="s">
        <v>53</v>
      </c>
      <c r="F1065" s="16" t="s">
        <v>40</v>
      </c>
      <c r="G1065" s="16" t="s">
        <v>2386</v>
      </c>
      <c r="H1065" s="16" t="s">
        <v>2386</v>
      </c>
      <c r="I1065" s="16">
        <v>1971</v>
      </c>
      <c r="J1065" s="16">
        <v>1510</v>
      </c>
      <c r="K1065" s="18" t="str">
        <f>HYPERLINK("mailto:ncdrisc@imperial.ac.uk", "contact")</f>
        <v>contact</v>
      </c>
    </row>
    <row r="1066" spans="1:11" x14ac:dyDescent="0.25">
      <c r="A1066" s="13" t="s">
        <v>2387</v>
      </c>
      <c r="B1066" s="13" t="s">
        <v>340</v>
      </c>
      <c r="C1066" s="13" t="s">
        <v>590</v>
      </c>
      <c r="D1066" s="13" t="s">
        <v>2340</v>
      </c>
      <c r="E1066" s="16" t="s">
        <v>53</v>
      </c>
      <c r="F1066" s="16" t="s">
        <v>12</v>
      </c>
      <c r="G1066" s="16" t="s">
        <v>2388</v>
      </c>
      <c r="H1066" s="16" t="s">
        <v>2388</v>
      </c>
      <c r="I1066" s="16">
        <v>2210</v>
      </c>
      <c r="J1066" s="16">
        <v>1605</v>
      </c>
      <c r="K1066" s="18" t="str">
        <f>HYPERLINK("mailto:ncdrisc@imperial.ac.uk", "contact")</f>
        <v>contact</v>
      </c>
    </row>
    <row r="1067" spans="1:11" x14ac:dyDescent="0.25">
      <c r="A1067" s="13" t="s">
        <v>350</v>
      </c>
      <c r="B1067" s="13" t="s">
        <v>340</v>
      </c>
      <c r="C1067" s="13" t="s">
        <v>400</v>
      </c>
      <c r="D1067" s="13" t="s">
        <v>2389</v>
      </c>
      <c r="E1067" s="16" t="s">
        <v>13</v>
      </c>
      <c r="F1067" s="16" t="s">
        <v>12</v>
      </c>
      <c r="G1067" s="16" t="s">
        <v>394</v>
      </c>
      <c r="H1067" s="16" t="s">
        <v>394</v>
      </c>
      <c r="I1067" s="16">
        <v>2907</v>
      </c>
      <c r="J1067" s="16">
        <v>2894</v>
      </c>
      <c r="K1067" s="17" t="s">
        <v>383</v>
      </c>
    </row>
    <row r="1068" spans="1:11" x14ac:dyDescent="0.25">
      <c r="A1068" s="13" t="s">
        <v>351</v>
      </c>
      <c r="B1068" s="13" t="s">
        <v>340</v>
      </c>
      <c r="C1068" s="13" t="s">
        <v>386</v>
      </c>
      <c r="D1068" s="13" t="s">
        <v>2390</v>
      </c>
      <c r="E1068" s="16" t="s">
        <v>13</v>
      </c>
      <c r="F1068" s="16" t="s">
        <v>12</v>
      </c>
      <c r="G1068" s="16" t="s">
        <v>394</v>
      </c>
      <c r="H1068" s="16" t="s">
        <v>394</v>
      </c>
      <c r="I1068" s="16">
        <v>3128</v>
      </c>
      <c r="J1068" s="16">
        <v>2914</v>
      </c>
      <c r="K1068" s="17" t="s">
        <v>383</v>
      </c>
    </row>
    <row r="1069" spans="1:11" x14ac:dyDescent="0.25">
      <c r="A1069" s="13" t="s">
        <v>352</v>
      </c>
      <c r="B1069" s="13" t="s">
        <v>340</v>
      </c>
      <c r="C1069" s="13" t="s">
        <v>580</v>
      </c>
      <c r="D1069" s="13" t="s">
        <v>2391</v>
      </c>
      <c r="E1069" s="16" t="s">
        <v>13</v>
      </c>
      <c r="F1069" s="16" t="s">
        <v>12</v>
      </c>
      <c r="G1069" s="16" t="s">
        <v>394</v>
      </c>
      <c r="H1069" s="16" t="s">
        <v>394</v>
      </c>
      <c r="I1069" s="16">
        <v>3030</v>
      </c>
      <c r="J1069" s="16">
        <v>2886</v>
      </c>
      <c r="K1069" s="17" t="s">
        <v>383</v>
      </c>
    </row>
    <row r="1070" spans="1:11" x14ac:dyDescent="0.25">
      <c r="A1070" s="13" t="s">
        <v>353</v>
      </c>
      <c r="B1070" s="13" t="s">
        <v>340</v>
      </c>
      <c r="C1070" s="13" t="s">
        <v>393</v>
      </c>
      <c r="D1070" s="13" t="s">
        <v>2392</v>
      </c>
      <c r="E1070" s="16" t="s">
        <v>13</v>
      </c>
      <c r="F1070" s="16" t="s">
        <v>12</v>
      </c>
      <c r="G1070" s="16" t="s">
        <v>394</v>
      </c>
      <c r="H1070" s="16" t="s">
        <v>394</v>
      </c>
      <c r="I1070" s="16">
        <v>2959</v>
      </c>
      <c r="J1070" s="16">
        <v>2839</v>
      </c>
      <c r="K1070" s="17" t="s">
        <v>383</v>
      </c>
    </row>
    <row r="1071" spans="1:11" x14ac:dyDescent="0.25">
      <c r="A1071" s="13" t="s">
        <v>354</v>
      </c>
      <c r="B1071" s="13" t="s">
        <v>340</v>
      </c>
      <c r="C1071" s="13" t="s">
        <v>836</v>
      </c>
      <c r="D1071" s="13" t="s">
        <v>2393</v>
      </c>
      <c r="E1071" s="16" t="s">
        <v>53</v>
      </c>
      <c r="F1071" s="16" t="s">
        <v>12</v>
      </c>
      <c r="G1071" s="16" t="s">
        <v>394</v>
      </c>
      <c r="H1071" s="16" t="s">
        <v>394</v>
      </c>
      <c r="I1071" s="16">
        <v>1923</v>
      </c>
      <c r="J1071" s="16">
        <v>1878</v>
      </c>
      <c r="K1071" s="17" t="s">
        <v>383</v>
      </c>
    </row>
    <row r="1072" spans="1:11" x14ac:dyDescent="0.25">
      <c r="A1072" s="13" t="s">
        <v>356</v>
      </c>
      <c r="B1072" s="13" t="s">
        <v>357</v>
      </c>
      <c r="C1072" s="13" t="s">
        <v>600</v>
      </c>
      <c r="D1072" s="13" t="s">
        <v>380</v>
      </c>
      <c r="E1072" s="16" t="s">
        <v>13</v>
      </c>
      <c r="F1072" s="16" t="s">
        <v>12</v>
      </c>
      <c r="G1072" s="16" t="s">
        <v>708</v>
      </c>
      <c r="H1072" s="16" t="s">
        <v>708</v>
      </c>
      <c r="I1072" s="16">
        <v>2176</v>
      </c>
      <c r="J1072" s="16">
        <v>1543</v>
      </c>
      <c r="K1072" s="17" t="s">
        <v>383</v>
      </c>
    </row>
    <row r="1073" spans="1:11" x14ac:dyDescent="0.25">
      <c r="A1073" s="13" t="s">
        <v>2394</v>
      </c>
      <c r="B1073" s="13" t="s">
        <v>357</v>
      </c>
      <c r="C1073" s="13" t="s">
        <v>580</v>
      </c>
      <c r="D1073" s="13" t="s">
        <v>2395</v>
      </c>
      <c r="E1073" s="16" t="s">
        <v>53</v>
      </c>
      <c r="F1073" s="16" t="s">
        <v>12</v>
      </c>
      <c r="G1073" s="16" t="s">
        <v>501</v>
      </c>
      <c r="H1073" s="16" t="s">
        <v>501</v>
      </c>
      <c r="I1073" s="16">
        <v>1511</v>
      </c>
      <c r="J1073" s="16">
        <v>714</v>
      </c>
      <c r="K1073" s="18" t="str">
        <f>HYPERLINK("mailto:annaalieva@yahoo.com", "contact")</f>
        <v>contact</v>
      </c>
    </row>
    <row r="1074" spans="1:11" x14ac:dyDescent="0.25">
      <c r="A1074" s="13" t="s">
        <v>358</v>
      </c>
      <c r="B1074" s="13" t="s">
        <v>357</v>
      </c>
      <c r="C1074" s="13" t="s">
        <v>511</v>
      </c>
      <c r="D1074" s="13" t="s">
        <v>380</v>
      </c>
      <c r="E1074" s="16" t="s">
        <v>13</v>
      </c>
      <c r="F1074" s="16" t="s">
        <v>12</v>
      </c>
      <c r="G1074" s="16" t="s">
        <v>381</v>
      </c>
      <c r="H1074" s="16" t="s">
        <v>381</v>
      </c>
      <c r="I1074" s="16">
        <v>2260</v>
      </c>
      <c r="J1074" s="16">
        <v>1488</v>
      </c>
      <c r="K1074" s="17" t="s">
        <v>383</v>
      </c>
    </row>
    <row r="1075" spans="1:11" x14ac:dyDescent="0.25">
      <c r="A1075" s="13" t="s">
        <v>360</v>
      </c>
      <c r="B1075" s="13" t="s">
        <v>361</v>
      </c>
      <c r="C1075" s="13" t="s">
        <v>386</v>
      </c>
      <c r="D1075" s="13" t="s">
        <v>380</v>
      </c>
      <c r="E1075" s="16" t="s">
        <v>13</v>
      </c>
      <c r="F1075" s="16" t="s">
        <v>12</v>
      </c>
      <c r="G1075" s="16" t="s">
        <v>381</v>
      </c>
      <c r="H1075" s="16" t="s">
        <v>381</v>
      </c>
      <c r="I1075" s="16">
        <v>1923</v>
      </c>
      <c r="J1075" s="16">
        <v>1544</v>
      </c>
      <c r="K1075" s="17" t="s">
        <v>383</v>
      </c>
    </row>
    <row r="1076" spans="1:11" x14ac:dyDescent="0.25">
      <c r="A1076" s="13" t="s">
        <v>2396</v>
      </c>
      <c r="B1076" s="13" t="s">
        <v>2397</v>
      </c>
      <c r="C1076" s="13" t="s">
        <v>666</v>
      </c>
      <c r="D1076" s="13" t="s">
        <v>2398</v>
      </c>
      <c r="E1076" s="16" t="s">
        <v>53</v>
      </c>
      <c r="F1076" s="16" t="s">
        <v>12</v>
      </c>
      <c r="G1076" s="16" t="s">
        <v>414</v>
      </c>
      <c r="H1076" s="16" t="s">
        <v>414</v>
      </c>
      <c r="I1076" s="16">
        <v>2552</v>
      </c>
      <c r="J1076" s="16">
        <v>1120</v>
      </c>
      <c r="K1076" s="18" t="str">
        <f>HYPERLINK("mailto:ncdrisc@imperial.ac.uk", "contact")</f>
        <v>contact</v>
      </c>
    </row>
    <row r="1077" spans="1:11" x14ac:dyDescent="0.25">
      <c r="A1077" s="13" t="s">
        <v>2399</v>
      </c>
      <c r="B1077" s="13" t="s">
        <v>2397</v>
      </c>
      <c r="C1077" s="13" t="s">
        <v>1014</v>
      </c>
      <c r="D1077" s="13" t="s">
        <v>2400</v>
      </c>
      <c r="E1077" s="16" t="s">
        <v>41</v>
      </c>
      <c r="F1077" s="16" t="s">
        <v>40</v>
      </c>
      <c r="G1077" s="16" t="s">
        <v>1836</v>
      </c>
      <c r="H1077" s="16" t="s">
        <v>1836</v>
      </c>
      <c r="I1077" s="16">
        <v>1609</v>
      </c>
      <c r="J1077" s="16">
        <v>787</v>
      </c>
      <c r="K1077" s="18" t="str">
        <f>HYPERLINK("mailto:gladys.maestre@utrgv.edu ", "contact")</f>
        <v>contact</v>
      </c>
    </row>
    <row r="1078" spans="1:11" x14ac:dyDescent="0.25">
      <c r="A1078" s="13" t="s">
        <v>2401</v>
      </c>
      <c r="B1078" s="13" t="s">
        <v>2397</v>
      </c>
      <c r="C1078" s="13" t="s">
        <v>396</v>
      </c>
      <c r="D1078" s="13" t="s">
        <v>397</v>
      </c>
      <c r="E1078" s="16" t="s">
        <v>41</v>
      </c>
      <c r="F1078" s="16" t="s">
        <v>40</v>
      </c>
      <c r="G1078" s="16" t="s">
        <v>398</v>
      </c>
      <c r="H1078" s="16" t="s">
        <v>398</v>
      </c>
      <c r="I1078" s="16">
        <v>1135</v>
      </c>
      <c r="J1078" s="16">
        <v>713</v>
      </c>
      <c r="K1078" s="18" t="str">
        <f>HYPERLINK("mailto:pboisson@intramed.net", "contact")</f>
        <v>contact</v>
      </c>
    </row>
    <row r="1079" spans="1:11" x14ac:dyDescent="0.25">
      <c r="A1079" s="13" t="s">
        <v>2402</v>
      </c>
      <c r="B1079" s="13" t="s">
        <v>2397</v>
      </c>
      <c r="C1079" s="13" t="s">
        <v>520</v>
      </c>
      <c r="D1079" s="13" t="s">
        <v>2403</v>
      </c>
      <c r="E1079" s="16" t="s">
        <v>41</v>
      </c>
      <c r="F1079" s="16" t="s">
        <v>40</v>
      </c>
      <c r="G1079" s="16" t="s">
        <v>788</v>
      </c>
      <c r="H1079" s="16" t="s">
        <v>788</v>
      </c>
      <c r="I1079" s="16">
        <v>331</v>
      </c>
      <c r="J1079" s="16">
        <v>114</v>
      </c>
      <c r="K1079" s="18" t="str">
        <f>HYPERLINK("mailto:imperiabrajkovich@gmail.com", "contact")</f>
        <v>contact</v>
      </c>
    </row>
    <row r="1080" spans="1:11" x14ac:dyDescent="0.25">
      <c r="A1080" s="13" t="s">
        <v>2404</v>
      </c>
      <c r="B1080" s="13" t="s">
        <v>2397</v>
      </c>
      <c r="C1080" s="13" t="s">
        <v>880</v>
      </c>
      <c r="D1080" s="13" t="s">
        <v>2405</v>
      </c>
      <c r="E1080" s="16" t="s">
        <v>41</v>
      </c>
      <c r="F1080" s="16" t="s">
        <v>40</v>
      </c>
      <c r="G1080" s="16" t="s">
        <v>434</v>
      </c>
      <c r="H1080" s="16" t="s">
        <v>434</v>
      </c>
      <c r="I1080" s="16">
        <v>229</v>
      </c>
      <c r="J1080" s="16">
        <v>107</v>
      </c>
      <c r="K1080" s="18" t="str">
        <f>HYPERLINK("mailto:Nietoramfis@gmail.com", "contact")</f>
        <v>contact</v>
      </c>
    </row>
    <row r="1081" spans="1:11" x14ac:dyDescent="0.25">
      <c r="A1081" s="13" t="s">
        <v>2406</v>
      </c>
      <c r="B1081" s="13" t="s">
        <v>2397</v>
      </c>
      <c r="C1081" s="13" t="s">
        <v>712</v>
      </c>
      <c r="D1081" s="13" t="s">
        <v>2405</v>
      </c>
      <c r="E1081" s="16" t="s">
        <v>41</v>
      </c>
      <c r="F1081" s="16" t="s">
        <v>468</v>
      </c>
      <c r="G1081" s="16" t="s">
        <v>434</v>
      </c>
      <c r="H1081" s="16" t="s">
        <v>434</v>
      </c>
      <c r="I1081" s="16">
        <v>89</v>
      </c>
      <c r="J1081" s="16">
        <v>51</v>
      </c>
      <c r="K1081" s="18" t="str">
        <f>HYPERLINK("mailto:Nietoramfis@gmail.com", "contact")</f>
        <v>contact</v>
      </c>
    </row>
    <row r="1082" spans="1:11" x14ac:dyDescent="0.25">
      <c r="A1082" s="13" t="s">
        <v>2407</v>
      </c>
      <c r="B1082" s="13" t="s">
        <v>2397</v>
      </c>
      <c r="C1082" s="13" t="s">
        <v>594</v>
      </c>
      <c r="D1082" s="13" t="s">
        <v>2408</v>
      </c>
      <c r="E1082" s="16" t="s">
        <v>41</v>
      </c>
      <c r="F1082" s="16" t="s">
        <v>40</v>
      </c>
      <c r="G1082" s="16" t="s">
        <v>526</v>
      </c>
      <c r="H1082" s="16" t="s">
        <v>526</v>
      </c>
      <c r="I1082" s="16">
        <v>13</v>
      </c>
      <c r="J1082" s="16">
        <v>12</v>
      </c>
      <c r="K1082" s="18" t="str">
        <f>HYPERLINK("mailto:paolimariela@gmail.com", "contact")</f>
        <v>contact</v>
      </c>
    </row>
    <row r="1083" spans="1:11" x14ac:dyDescent="0.25">
      <c r="A1083" s="13" t="s">
        <v>2409</v>
      </c>
      <c r="B1083" s="13" t="s">
        <v>2397</v>
      </c>
      <c r="C1083" s="13" t="s">
        <v>594</v>
      </c>
      <c r="D1083" s="13" t="s">
        <v>2405</v>
      </c>
      <c r="E1083" s="16" t="s">
        <v>41</v>
      </c>
      <c r="F1083" s="16" t="s">
        <v>40</v>
      </c>
      <c r="G1083" s="16" t="s">
        <v>434</v>
      </c>
      <c r="H1083" s="16" t="s">
        <v>434</v>
      </c>
      <c r="I1083" s="16">
        <v>154</v>
      </c>
      <c r="J1083" s="16">
        <v>51</v>
      </c>
      <c r="K1083" s="18" t="str">
        <f>HYPERLINK("mailto:Nietoramfis@gmail.com", "contact")</f>
        <v>contact</v>
      </c>
    </row>
    <row r="1084" spans="1:11" x14ac:dyDescent="0.25">
      <c r="A1084" s="13" t="s">
        <v>2410</v>
      </c>
      <c r="B1084" s="13" t="s">
        <v>2397</v>
      </c>
      <c r="C1084" s="13" t="s">
        <v>739</v>
      </c>
      <c r="D1084" s="13" t="s">
        <v>2411</v>
      </c>
      <c r="E1084" s="16" t="s">
        <v>13</v>
      </c>
      <c r="F1084" s="16" t="s">
        <v>12</v>
      </c>
      <c r="G1084" s="16" t="s">
        <v>434</v>
      </c>
      <c r="H1084" s="16" t="s">
        <v>434</v>
      </c>
      <c r="I1084" s="16">
        <v>2347</v>
      </c>
      <c r="J1084" s="16">
        <v>1059</v>
      </c>
      <c r="K1084" s="18" t="str">
        <f>HYPERLINK("mailto:Nietoramfis@gmail.com", "contact")</f>
        <v>contact</v>
      </c>
    </row>
    <row r="1085" spans="1:11" x14ac:dyDescent="0.25">
      <c r="A1085" s="13" t="s">
        <v>2412</v>
      </c>
      <c r="B1085" s="13" t="s">
        <v>2397</v>
      </c>
      <c r="C1085" s="13" t="s">
        <v>651</v>
      </c>
      <c r="D1085" s="13" t="s">
        <v>2413</v>
      </c>
      <c r="E1085" s="16" t="s">
        <v>41</v>
      </c>
      <c r="F1085" s="16" t="s">
        <v>40</v>
      </c>
      <c r="G1085" s="16" t="s">
        <v>441</v>
      </c>
      <c r="H1085" s="16" t="s">
        <v>441</v>
      </c>
      <c r="I1085" s="16">
        <v>292</v>
      </c>
      <c r="J1085" s="16">
        <v>116</v>
      </c>
      <c r="K1085" s="18" t="str">
        <f>HYPERLINK("mailto:gladys.maestre@utrgv.edu ", "contact")</f>
        <v>contact</v>
      </c>
    </row>
    <row r="1086" spans="1:11" x14ac:dyDescent="0.25">
      <c r="A1086" s="13" t="s">
        <v>2414</v>
      </c>
      <c r="B1086" s="13" t="s">
        <v>2397</v>
      </c>
      <c r="C1086" s="13" t="s">
        <v>814</v>
      </c>
      <c r="D1086" s="13" t="s">
        <v>2415</v>
      </c>
      <c r="E1086" s="16" t="s">
        <v>13</v>
      </c>
      <c r="F1086" s="16" t="s">
        <v>12</v>
      </c>
      <c r="G1086" s="16" t="s">
        <v>2416</v>
      </c>
      <c r="H1086" s="16" t="s">
        <v>2416</v>
      </c>
      <c r="I1086" s="16">
        <v>890</v>
      </c>
      <c r="J1086" s="16">
        <v>354</v>
      </c>
      <c r="K1086" s="18" t="str">
        <f>HYPERLINK("mailto:nietoramfis@gmail.com", "contact")</f>
        <v>contact</v>
      </c>
    </row>
    <row r="1087" spans="1:11" x14ac:dyDescent="0.25">
      <c r="A1087" s="13" t="s">
        <v>2417</v>
      </c>
      <c r="B1087" s="13" t="s">
        <v>364</v>
      </c>
      <c r="C1087" s="13" t="s">
        <v>1537</v>
      </c>
      <c r="D1087" s="13" t="s">
        <v>2418</v>
      </c>
      <c r="E1087" s="16" t="s">
        <v>41</v>
      </c>
      <c r="F1087" s="16" t="s">
        <v>12</v>
      </c>
      <c r="G1087" s="16" t="s">
        <v>1405</v>
      </c>
      <c r="H1087" s="16" t="s">
        <v>1405</v>
      </c>
      <c r="I1087" s="16">
        <v>2061</v>
      </c>
      <c r="J1087" s="16">
        <v>1712</v>
      </c>
      <c r="K1087" s="18" t="str">
        <f>HYPERLINK("mailto:ncdrisc@imperial.ac.uk", "contact")</f>
        <v>contact</v>
      </c>
    </row>
    <row r="1088" spans="1:11" x14ac:dyDescent="0.25">
      <c r="A1088" s="13" t="s">
        <v>2419</v>
      </c>
      <c r="B1088" s="13" t="s">
        <v>364</v>
      </c>
      <c r="C1088" s="13" t="s">
        <v>776</v>
      </c>
      <c r="D1088" s="13" t="s">
        <v>2420</v>
      </c>
      <c r="E1088" s="16" t="s">
        <v>41</v>
      </c>
      <c r="F1088" s="16" t="s">
        <v>12</v>
      </c>
      <c r="G1088" s="16" t="s">
        <v>414</v>
      </c>
      <c r="H1088" s="16" t="s">
        <v>414</v>
      </c>
      <c r="I1088" s="16">
        <v>2001</v>
      </c>
      <c r="J1088" s="16">
        <v>654</v>
      </c>
      <c r="K1088" s="18" t="str">
        <f>HYPERLINK("mailto:ncdrisc@imperial.ac.uk", "contact")</f>
        <v>contact</v>
      </c>
    </row>
    <row r="1089" spans="1:11" x14ac:dyDescent="0.25">
      <c r="A1089" s="13" t="s">
        <v>2421</v>
      </c>
      <c r="B1089" s="13" t="s">
        <v>364</v>
      </c>
      <c r="C1089" s="13" t="s">
        <v>628</v>
      </c>
      <c r="D1089" s="13" t="s">
        <v>2422</v>
      </c>
      <c r="E1089" s="16" t="s">
        <v>41</v>
      </c>
      <c r="F1089" s="16" t="s">
        <v>40</v>
      </c>
      <c r="G1089" s="16" t="s">
        <v>398</v>
      </c>
      <c r="H1089" s="16" t="s">
        <v>398</v>
      </c>
      <c r="I1089" s="16">
        <v>1029</v>
      </c>
      <c r="J1089" s="16">
        <v>887</v>
      </c>
      <c r="K1089" s="18" t="str">
        <f>HYPERLINK("mailto:oanhtrinh66@gmail.com", "contact")</f>
        <v>contact</v>
      </c>
    </row>
    <row r="1090" spans="1:11" x14ac:dyDescent="0.25">
      <c r="A1090" s="13" t="s">
        <v>2423</v>
      </c>
      <c r="B1090" s="13" t="s">
        <v>364</v>
      </c>
      <c r="C1090" s="13" t="s">
        <v>712</v>
      </c>
      <c r="D1090" s="13" t="s">
        <v>2424</v>
      </c>
      <c r="E1090" s="16" t="s">
        <v>53</v>
      </c>
      <c r="F1090" s="16" t="s">
        <v>12</v>
      </c>
      <c r="G1090" s="16" t="s">
        <v>414</v>
      </c>
      <c r="H1090" s="16" t="s">
        <v>414</v>
      </c>
      <c r="I1090" s="16">
        <v>1357</v>
      </c>
      <c r="J1090" s="16">
        <v>795</v>
      </c>
      <c r="K1090" s="18" t="str">
        <f>HYPERLINK("mailto:quangtm@gmail.com", "contact")</f>
        <v>contact</v>
      </c>
    </row>
    <row r="1091" spans="1:11" x14ac:dyDescent="0.25">
      <c r="A1091" s="13" t="s">
        <v>363</v>
      </c>
      <c r="B1091" s="13" t="s">
        <v>364</v>
      </c>
      <c r="C1091" s="13" t="s">
        <v>639</v>
      </c>
      <c r="D1091" s="13" t="s">
        <v>380</v>
      </c>
      <c r="E1091" s="16" t="s">
        <v>13</v>
      </c>
      <c r="F1091" s="16" t="s">
        <v>12</v>
      </c>
      <c r="G1091" s="16" t="s">
        <v>398</v>
      </c>
      <c r="H1091" s="16" t="s">
        <v>398</v>
      </c>
      <c r="I1091" s="16">
        <v>7754</v>
      </c>
      <c r="J1091" s="16">
        <v>6677</v>
      </c>
      <c r="K1091" s="17" t="s">
        <v>383</v>
      </c>
    </row>
    <row r="1092" spans="1:11" x14ac:dyDescent="0.25">
      <c r="A1092" s="13" t="s">
        <v>2425</v>
      </c>
      <c r="B1092" s="13" t="s">
        <v>364</v>
      </c>
      <c r="C1092" s="13" t="s">
        <v>439</v>
      </c>
      <c r="D1092" s="13" t="s">
        <v>2426</v>
      </c>
      <c r="E1092" s="16" t="s">
        <v>13</v>
      </c>
      <c r="F1092" s="16" t="s">
        <v>12</v>
      </c>
      <c r="G1092" s="16" t="s">
        <v>2427</v>
      </c>
      <c r="H1092" s="16" t="s">
        <v>2427</v>
      </c>
      <c r="I1092" s="16">
        <v>3869</v>
      </c>
      <c r="J1092" s="16">
        <v>3495</v>
      </c>
      <c r="K1092" s="18" t="str">
        <f>HYPERLINK("mailto:bsnguyenthanhchung@gmail.com", "contact")</f>
        <v>contact</v>
      </c>
    </row>
    <row r="1093" spans="1:11" x14ac:dyDescent="0.25">
      <c r="A1093" s="13" t="s">
        <v>365</v>
      </c>
      <c r="B1093" s="13" t="s">
        <v>364</v>
      </c>
      <c r="C1093" s="13" t="s">
        <v>489</v>
      </c>
      <c r="D1093" s="13" t="s">
        <v>380</v>
      </c>
      <c r="E1093" s="16" t="s">
        <v>13</v>
      </c>
      <c r="F1093" s="16" t="s">
        <v>12</v>
      </c>
      <c r="G1093" s="16" t="s">
        <v>381</v>
      </c>
      <c r="H1093" s="16" t="s">
        <v>381</v>
      </c>
      <c r="I1093" s="16">
        <v>2043</v>
      </c>
      <c r="J1093" s="16">
        <v>1669</v>
      </c>
      <c r="K1093" s="17" t="s">
        <v>383</v>
      </c>
    </row>
    <row r="1094" spans="1:11" x14ac:dyDescent="0.25">
      <c r="A1094" s="13" t="s">
        <v>366</v>
      </c>
      <c r="B1094" s="13" t="s">
        <v>364</v>
      </c>
      <c r="C1094" s="13" t="s">
        <v>491</v>
      </c>
      <c r="D1094" s="13" t="s">
        <v>380</v>
      </c>
      <c r="E1094" s="16" t="s">
        <v>13</v>
      </c>
      <c r="F1094" s="16" t="s">
        <v>12</v>
      </c>
      <c r="G1094" s="16" t="s">
        <v>394</v>
      </c>
      <c r="H1094" s="16" t="s">
        <v>394</v>
      </c>
      <c r="I1094" s="16">
        <v>2172</v>
      </c>
      <c r="J1094" s="16">
        <v>2200</v>
      </c>
      <c r="K1094" s="17" t="s">
        <v>383</v>
      </c>
    </row>
    <row r="1095" spans="1:11" x14ac:dyDescent="0.25">
      <c r="A1095" s="13" t="s">
        <v>2428</v>
      </c>
      <c r="B1095" s="13" t="s">
        <v>369</v>
      </c>
      <c r="C1095" s="13" t="s">
        <v>455</v>
      </c>
      <c r="D1095" s="13" t="s">
        <v>2429</v>
      </c>
      <c r="E1095" s="16" t="s">
        <v>13</v>
      </c>
      <c r="F1095" s="16" t="s">
        <v>12</v>
      </c>
      <c r="G1095" s="16" t="s">
        <v>1664</v>
      </c>
      <c r="H1095" s="16" t="s">
        <v>1664</v>
      </c>
      <c r="I1095" s="16">
        <v>179</v>
      </c>
      <c r="J1095" s="16">
        <v>185</v>
      </c>
      <c r="K1095" s="18" t="str">
        <f>HYPERLINK("mailto:ncdrisc@imperial.ac.uk", "contact")</f>
        <v>contact</v>
      </c>
    </row>
    <row r="1096" spans="1:11" x14ac:dyDescent="0.25">
      <c r="A1096" s="13" t="s">
        <v>368</v>
      </c>
      <c r="B1096" s="13" t="s">
        <v>369</v>
      </c>
      <c r="C1096" s="13" t="s">
        <v>499</v>
      </c>
      <c r="D1096" s="13" t="s">
        <v>380</v>
      </c>
      <c r="E1096" s="16" t="s">
        <v>13</v>
      </c>
      <c r="F1096" s="16" t="s">
        <v>12</v>
      </c>
      <c r="G1096" s="16" t="s">
        <v>398</v>
      </c>
      <c r="H1096" s="16" t="s">
        <v>398</v>
      </c>
      <c r="I1096" s="16">
        <v>2236</v>
      </c>
      <c r="J1096" s="16">
        <v>2312</v>
      </c>
      <c r="K1096" s="17" t="s">
        <v>383</v>
      </c>
    </row>
    <row r="1097" spans="1:11" x14ac:dyDescent="0.25">
      <c r="A1097" s="13" t="s">
        <v>2430</v>
      </c>
      <c r="B1097" s="13" t="s">
        <v>372</v>
      </c>
      <c r="C1097" s="13" t="s">
        <v>449</v>
      </c>
      <c r="D1097" s="13" t="s">
        <v>2431</v>
      </c>
      <c r="E1097" s="16" t="s">
        <v>53</v>
      </c>
      <c r="F1097" s="16" t="s">
        <v>468</v>
      </c>
      <c r="G1097" s="16" t="s">
        <v>414</v>
      </c>
      <c r="H1097" s="16" t="s">
        <v>414</v>
      </c>
      <c r="I1097" s="16">
        <v>495</v>
      </c>
      <c r="J1097" s="16">
        <v>466</v>
      </c>
      <c r="K1097" s="18" t="str">
        <f>HYPERLINK("mailto:dianna.magliano@bakeridi.edu.au", "contact")</f>
        <v>contact</v>
      </c>
    </row>
    <row r="1098" spans="1:11" x14ac:dyDescent="0.25">
      <c r="A1098" s="13" t="s">
        <v>2432</v>
      </c>
      <c r="B1098" s="13" t="s">
        <v>372</v>
      </c>
      <c r="C1098" s="13" t="s">
        <v>449</v>
      </c>
      <c r="D1098" s="13" t="s">
        <v>2431</v>
      </c>
      <c r="E1098" s="16" t="s">
        <v>53</v>
      </c>
      <c r="F1098" s="16" t="s">
        <v>40</v>
      </c>
      <c r="G1098" s="16" t="s">
        <v>414</v>
      </c>
      <c r="H1098" s="16" t="s">
        <v>414</v>
      </c>
      <c r="I1098" s="16">
        <v>443</v>
      </c>
      <c r="J1098" s="16">
        <v>328</v>
      </c>
      <c r="K1098" s="18" t="str">
        <f>HYPERLINK("mailto:dianna.magliano@bakeridi.edu.au", "contact")</f>
        <v>contact</v>
      </c>
    </row>
    <row r="1099" spans="1:11" x14ac:dyDescent="0.25">
      <c r="A1099" s="13" t="s">
        <v>2433</v>
      </c>
      <c r="B1099" s="13" t="s">
        <v>372</v>
      </c>
      <c r="C1099" s="13" t="s">
        <v>917</v>
      </c>
      <c r="D1099" s="13" t="s">
        <v>407</v>
      </c>
      <c r="E1099" s="16" t="s">
        <v>13</v>
      </c>
      <c r="F1099" s="16" t="s">
        <v>12</v>
      </c>
      <c r="G1099" s="16" t="s">
        <v>408</v>
      </c>
      <c r="H1099" s="16" t="s">
        <v>408</v>
      </c>
      <c r="I1099" s="16">
        <v>153</v>
      </c>
      <c r="J1099" s="16">
        <v>145</v>
      </c>
      <c r="K1099" s="18" t="str">
        <f>HYPERLINK("mailto:Stephen_McGarvey@brown.edu", "contact")</f>
        <v>contact</v>
      </c>
    </row>
    <row r="1100" spans="1:11" x14ac:dyDescent="0.25">
      <c r="A1100" s="13" t="s">
        <v>371</v>
      </c>
      <c r="B1100" s="13" t="s">
        <v>372</v>
      </c>
      <c r="C1100" s="13" t="s">
        <v>493</v>
      </c>
      <c r="D1100" s="13" t="s">
        <v>380</v>
      </c>
      <c r="E1100" s="16" t="s">
        <v>13</v>
      </c>
      <c r="F1100" s="16" t="s">
        <v>12</v>
      </c>
      <c r="G1100" s="16" t="s">
        <v>398</v>
      </c>
      <c r="H1100" s="16" t="s">
        <v>398</v>
      </c>
      <c r="I1100" s="16">
        <v>1339</v>
      </c>
      <c r="J1100" s="16">
        <v>1188</v>
      </c>
      <c r="K1100" s="17" t="s">
        <v>383</v>
      </c>
    </row>
    <row r="1101" spans="1:11" x14ac:dyDescent="0.25">
      <c r="A1101" s="13" t="s">
        <v>2434</v>
      </c>
      <c r="B1101" s="13" t="s">
        <v>372</v>
      </c>
      <c r="C1101" s="13" t="s">
        <v>554</v>
      </c>
      <c r="D1101" s="13" t="s">
        <v>2435</v>
      </c>
      <c r="E1101" s="16" t="s">
        <v>13</v>
      </c>
      <c r="F1101" s="16" t="s">
        <v>12</v>
      </c>
      <c r="G1101" s="16" t="s">
        <v>2436</v>
      </c>
      <c r="H1101" s="16" t="s">
        <v>2436</v>
      </c>
      <c r="I1101" s="16">
        <v>2056</v>
      </c>
      <c r="J1101" s="16">
        <v>1404</v>
      </c>
      <c r="K1101" s="18" t="str">
        <f>HYPERLINK("mailto:Stephen_McGarvey@brown.edu", "contact")</f>
        <v>contact</v>
      </c>
    </row>
    <row r="1102" spans="1:11" x14ac:dyDescent="0.25">
      <c r="A1102" s="13" t="s">
        <v>2437</v>
      </c>
      <c r="B1102" s="13" t="s">
        <v>2438</v>
      </c>
      <c r="C1102" s="13" t="s">
        <v>612</v>
      </c>
      <c r="D1102" s="13" t="s">
        <v>2439</v>
      </c>
      <c r="E1102" s="16" t="s">
        <v>13</v>
      </c>
      <c r="F1102" s="16" t="s">
        <v>468</v>
      </c>
      <c r="G1102" s="16" t="s">
        <v>1845</v>
      </c>
      <c r="H1102" s="16" t="s">
        <v>1845</v>
      </c>
      <c r="I1102" s="16">
        <v>2408</v>
      </c>
      <c r="J1102" s="16">
        <v>2358</v>
      </c>
      <c r="K1102" s="18" t="str">
        <f>HYPERLINK("mailto:pa.modesti@unifi.it", "contact")</f>
        <v>contact</v>
      </c>
    </row>
    <row r="1103" spans="1:11" x14ac:dyDescent="0.25">
      <c r="A1103" s="13" t="s">
        <v>2440</v>
      </c>
      <c r="B1103" s="13" t="s">
        <v>2438</v>
      </c>
      <c r="C1103" s="13" t="s">
        <v>612</v>
      </c>
      <c r="D1103" s="13" t="s">
        <v>2439</v>
      </c>
      <c r="E1103" s="16" t="s">
        <v>13</v>
      </c>
      <c r="F1103" s="16" t="s">
        <v>40</v>
      </c>
      <c r="G1103" s="16" t="s">
        <v>1845</v>
      </c>
      <c r="H1103" s="16" t="s">
        <v>1845</v>
      </c>
      <c r="I1103" s="16">
        <v>2432</v>
      </c>
      <c r="J1103" s="16">
        <v>2351</v>
      </c>
      <c r="K1103" s="18" t="str">
        <f>HYPERLINK("mailto:pa.modesti@unifi.it", "contact")</f>
        <v>contact</v>
      </c>
    </row>
    <row r="1104" spans="1:11" x14ac:dyDescent="0.25">
      <c r="A1104" s="13" t="s">
        <v>2441</v>
      </c>
      <c r="B1104" s="13" t="s">
        <v>2442</v>
      </c>
      <c r="C1104" s="13" t="s">
        <v>712</v>
      </c>
      <c r="D1104" s="13" t="s">
        <v>2443</v>
      </c>
      <c r="E1104" s="16" t="s">
        <v>41</v>
      </c>
      <c r="F1104" s="16" t="s">
        <v>40</v>
      </c>
      <c r="G1104" s="16" t="s">
        <v>2250</v>
      </c>
      <c r="H1104" s="16" t="s">
        <v>2250</v>
      </c>
      <c r="I1104" s="16">
        <v>494</v>
      </c>
      <c r="J1104" s="16">
        <v>140</v>
      </c>
      <c r="K1104" s="18" t="str">
        <f>HYPERLINK("mailto:MatshaT@cput.ac.za", "contact")</f>
        <v>contact</v>
      </c>
    </row>
    <row r="1105" spans="1:11" x14ac:dyDescent="0.25">
      <c r="A1105" s="13" t="s">
        <v>2444</v>
      </c>
      <c r="B1105" s="13" t="s">
        <v>2442</v>
      </c>
      <c r="C1105" s="13" t="s">
        <v>400</v>
      </c>
      <c r="D1105" s="13" t="s">
        <v>2445</v>
      </c>
      <c r="E1105" s="16" t="s">
        <v>13</v>
      </c>
      <c r="F1105" s="16" t="s">
        <v>12</v>
      </c>
      <c r="G1105" s="16" t="s">
        <v>394</v>
      </c>
      <c r="H1105" s="16" t="s">
        <v>394</v>
      </c>
      <c r="I1105" s="16">
        <v>8081</v>
      </c>
      <c r="J1105" s="16">
        <v>5576</v>
      </c>
      <c r="K1105" s="18" t="str">
        <f>HYPERLINK("mailto:rsewpaul@hsrc.ac.za", "contact")</f>
        <v>contact</v>
      </c>
    </row>
    <row r="1106" spans="1:11" x14ac:dyDescent="0.25">
      <c r="A1106" s="13" t="s">
        <v>2446</v>
      </c>
      <c r="B1106" s="13" t="s">
        <v>2442</v>
      </c>
      <c r="C1106" s="13" t="s">
        <v>814</v>
      </c>
      <c r="D1106" s="13" t="s">
        <v>2447</v>
      </c>
      <c r="E1106" s="16" t="s">
        <v>41</v>
      </c>
      <c r="F1106" s="16" t="s">
        <v>12</v>
      </c>
      <c r="G1106" s="16" t="s">
        <v>394</v>
      </c>
      <c r="H1106" s="16" t="s">
        <v>394</v>
      </c>
      <c r="I1106" s="16">
        <v>10976</v>
      </c>
      <c r="J1106" s="16">
        <v>4874</v>
      </c>
      <c r="K1106" s="18" t="str">
        <f>HYPERLINK("mailto:mark.siedner@ahri.org", "contact")</f>
        <v>contact</v>
      </c>
    </row>
    <row r="1107" spans="1:11" x14ac:dyDescent="0.25">
      <c r="A1107" s="13" t="s">
        <v>374</v>
      </c>
      <c r="B1107" s="13" t="s">
        <v>375</v>
      </c>
      <c r="C1107" s="13" t="s">
        <v>479</v>
      </c>
      <c r="D1107" s="13" t="s">
        <v>380</v>
      </c>
      <c r="E1107" s="16" t="s">
        <v>53</v>
      </c>
      <c r="F1107" s="16" t="s">
        <v>40</v>
      </c>
      <c r="G1107" s="16" t="s">
        <v>414</v>
      </c>
      <c r="H1107" s="16" t="s">
        <v>414</v>
      </c>
      <c r="I1107" s="16">
        <v>1219</v>
      </c>
      <c r="J1107" s="16">
        <v>631</v>
      </c>
      <c r="K1107" s="17" t="s">
        <v>383</v>
      </c>
    </row>
    <row r="1108" spans="1:11" x14ac:dyDescent="0.25">
      <c r="A1108" s="13" t="s">
        <v>376</v>
      </c>
      <c r="B1108" s="13" t="s">
        <v>375</v>
      </c>
      <c r="C1108" s="13" t="s">
        <v>463</v>
      </c>
      <c r="D1108" s="13" t="s">
        <v>380</v>
      </c>
      <c r="E1108" s="16" t="s">
        <v>13</v>
      </c>
      <c r="F1108" s="16" t="s">
        <v>12</v>
      </c>
      <c r="G1108" s="16" t="s">
        <v>381</v>
      </c>
      <c r="H1108" s="16" t="s">
        <v>381</v>
      </c>
      <c r="I1108" s="16">
        <v>2513</v>
      </c>
      <c r="J1108" s="16">
        <v>1614</v>
      </c>
      <c r="K1108" s="17" t="s">
        <v>383</v>
      </c>
    </row>
    <row r="1109" spans="1:11" x14ac:dyDescent="0.25">
      <c r="A1109" s="13" t="s">
        <v>2448</v>
      </c>
      <c r="B1109" s="13" t="s">
        <v>2449</v>
      </c>
      <c r="C1109" s="13" t="s">
        <v>628</v>
      </c>
      <c r="D1109" s="13" t="s">
        <v>2450</v>
      </c>
      <c r="E1109" s="16" t="s">
        <v>13</v>
      </c>
      <c r="F1109" s="16" t="s">
        <v>12</v>
      </c>
      <c r="G1109" s="16" t="s">
        <v>414</v>
      </c>
      <c r="H1109" s="16" t="s">
        <v>414</v>
      </c>
      <c r="I1109" s="16">
        <v>1393</v>
      </c>
      <c r="J1109" s="16">
        <v>444</v>
      </c>
      <c r="K1109" s="18" t="str">
        <f>HYPERLINK("mailto:ncdrisc@imperial.ac.uk", "contact")</f>
        <v>contact</v>
      </c>
    </row>
  </sheetData>
  <autoFilter ref="A1:K1139" xr:uid="{B46F73B9-EFFF-4BB3-9B8C-B95D96A051E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7946-4C19-4C8C-B1E3-95BDC9265EC0}">
  <dimension ref="A1:R1936"/>
  <sheetViews>
    <sheetView zoomScaleNormal="100" workbookViewId="0"/>
  </sheetViews>
  <sheetFormatPr defaultColWidth="8.85546875" defaultRowHeight="15" x14ac:dyDescent="0.25"/>
  <cols>
    <col min="1" max="18" width="8.85546875" customWidth="1"/>
    <col min="19" max="16384" width="8.85546875" style="25"/>
  </cols>
  <sheetData>
    <row r="1" spans="1:18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2477</v>
      </c>
      <c r="G1" s="24" t="s">
        <v>2476</v>
      </c>
      <c r="H1" s="24" t="s">
        <v>2479</v>
      </c>
      <c r="I1" s="24" t="s">
        <v>2478</v>
      </c>
      <c r="J1" s="24" t="s">
        <v>2475</v>
      </c>
      <c r="K1" s="24" t="s">
        <v>2480</v>
      </c>
      <c r="L1" s="24" t="s">
        <v>2481</v>
      </c>
      <c r="M1" s="24" t="s">
        <v>2482</v>
      </c>
      <c r="N1" s="24" t="s">
        <v>5</v>
      </c>
      <c r="O1" s="24" t="s">
        <v>6</v>
      </c>
      <c r="P1" s="24" t="s">
        <v>7</v>
      </c>
      <c r="Q1" s="24" t="s">
        <v>8</v>
      </c>
      <c r="R1" s="24" t="s">
        <v>9</v>
      </c>
    </row>
    <row r="2" spans="1:18" x14ac:dyDescent="0.25">
      <c r="A2" t="s">
        <v>10</v>
      </c>
      <c r="B2" t="s">
        <v>11</v>
      </c>
      <c r="C2" t="s">
        <v>12</v>
      </c>
      <c r="D2">
        <v>2</v>
      </c>
      <c r="E2">
        <v>19</v>
      </c>
      <c r="F2">
        <v>2.92184854457169E-2</v>
      </c>
      <c r="G2">
        <v>151</v>
      </c>
      <c r="H2">
        <v>7.4592803535452501E-2</v>
      </c>
      <c r="I2">
        <v>130</v>
      </c>
      <c r="L2">
        <v>3.7496712645517502E-2</v>
      </c>
      <c r="M2">
        <v>5.5594163731830598E-2</v>
      </c>
      <c r="N2">
        <v>2018</v>
      </c>
      <c r="O2" t="s">
        <v>13</v>
      </c>
      <c r="P2" t="s">
        <v>14</v>
      </c>
      <c r="Q2" t="s">
        <v>15</v>
      </c>
      <c r="R2" t="s">
        <v>15</v>
      </c>
    </row>
    <row r="3" spans="1:18" x14ac:dyDescent="0.25">
      <c r="A3" t="s">
        <v>10</v>
      </c>
      <c r="B3" t="s">
        <v>11</v>
      </c>
      <c r="C3" t="s">
        <v>12</v>
      </c>
      <c r="D3">
        <v>2</v>
      </c>
      <c r="E3">
        <v>25</v>
      </c>
      <c r="F3">
        <v>2.6388639909234301E-2</v>
      </c>
      <c r="G3">
        <v>504</v>
      </c>
      <c r="H3">
        <v>0.106559933301073</v>
      </c>
      <c r="I3">
        <v>429</v>
      </c>
      <c r="L3">
        <v>4.5843643799876502E-2</v>
      </c>
      <c r="M3">
        <v>4.3911451626923698E-2</v>
      </c>
      <c r="N3">
        <v>2018</v>
      </c>
      <c r="O3" t="s">
        <v>13</v>
      </c>
      <c r="P3" t="s">
        <v>14</v>
      </c>
      <c r="Q3" t="s">
        <v>15</v>
      </c>
      <c r="R3" t="s">
        <v>15</v>
      </c>
    </row>
    <row r="4" spans="1:18" x14ac:dyDescent="0.25">
      <c r="A4" t="s">
        <v>10</v>
      </c>
      <c r="B4" t="s">
        <v>11</v>
      </c>
      <c r="C4" t="s">
        <v>12</v>
      </c>
      <c r="D4">
        <v>2</v>
      </c>
      <c r="E4">
        <v>35</v>
      </c>
      <c r="F4">
        <v>3.6329303732364801E-2</v>
      </c>
      <c r="G4">
        <v>396</v>
      </c>
      <c r="H4">
        <v>0.186471619278057</v>
      </c>
      <c r="I4">
        <v>347</v>
      </c>
      <c r="L4">
        <v>5.4208036102953501E-2</v>
      </c>
      <c r="M4">
        <v>3.30282892124482E-2</v>
      </c>
      <c r="N4">
        <v>2018</v>
      </c>
      <c r="O4" t="s">
        <v>13</v>
      </c>
      <c r="P4" t="s">
        <v>14</v>
      </c>
      <c r="Q4" t="s">
        <v>15</v>
      </c>
      <c r="R4" t="s">
        <v>15</v>
      </c>
    </row>
    <row r="5" spans="1:18" x14ac:dyDescent="0.25">
      <c r="A5" t="s">
        <v>10</v>
      </c>
      <c r="B5" t="s">
        <v>11</v>
      </c>
      <c r="C5" t="s">
        <v>12</v>
      </c>
      <c r="D5">
        <v>2</v>
      </c>
      <c r="E5">
        <v>45</v>
      </c>
      <c r="F5">
        <v>8.6394493272212394E-2</v>
      </c>
      <c r="G5">
        <v>341</v>
      </c>
      <c r="H5">
        <v>0.170166655759934</v>
      </c>
      <c r="I5">
        <v>290</v>
      </c>
      <c r="L5">
        <v>6.1990254085392903E-2</v>
      </c>
      <c r="M5">
        <v>6.6923460234574406E-2</v>
      </c>
      <c r="N5">
        <v>2018</v>
      </c>
      <c r="O5" t="s">
        <v>13</v>
      </c>
      <c r="P5" t="s">
        <v>14</v>
      </c>
      <c r="Q5" t="s">
        <v>15</v>
      </c>
      <c r="R5" t="s">
        <v>15</v>
      </c>
    </row>
    <row r="6" spans="1:18" x14ac:dyDescent="0.25">
      <c r="A6" t="s">
        <v>10</v>
      </c>
      <c r="B6" t="s">
        <v>11</v>
      </c>
      <c r="C6" t="s">
        <v>12</v>
      </c>
      <c r="D6">
        <v>2</v>
      </c>
      <c r="E6">
        <v>55</v>
      </c>
      <c r="F6">
        <v>8.6557341968273693E-2</v>
      </c>
      <c r="G6">
        <v>222</v>
      </c>
      <c r="H6">
        <v>0.300051351319781</v>
      </c>
      <c r="I6">
        <v>183</v>
      </c>
      <c r="L6">
        <v>8.75037887212161E-2</v>
      </c>
      <c r="M6">
        <v>4.2471514001241301E-2</v>
      </c>
      <c r="N6">
        <v>2018</v>
      </c>
      <c r="O6" t="s">
        <v>13</v>
      </c>
      <c r="P6" t="s">
        <v>14</v>
      </c>
      <c r="Q6" t="s">
        <v>15</v>
      </c>
      <c r="R6" t="s">
        <v>15</v>
      </c>
    </row>
    <row r="7" spans="1:18" x14ac:dyDescent="0.25">
      <c r="A7" t="s">
        <v>10</v>
      </c>
      <c r="B7" t="s">
        <v>11</v>
      </c>
      <c r="C7" t="s">
        <v>12</v>
      </c>
      <c r="D7">
        <v>2</v>
      </c>
      <c r="E7">
        <v>65</v>
      </c>
      <c r="F7">
        <v>0.100094670564678</v>
      </c>
      <c r="G7">
        <v>113</v>
      </c>
      <c r="H7">
        <v>0.363849360250108</v>
      </c>
      <c r="I7">
        <v>93</v>
      </c>
      <c r="L7">
        <v>5.96325588782314E-2</v>
      </c>
      <c r="M7">
        <v>2.2339463012823399E-2</v>
      </c>
      <c r="N7">
        <v>2018</v>
      </c>
      <c r="O7" t="s">
        <v>13</v>
      </c>
      <c r="P7" t="s">
        <v>14</v>
      </c>
      <c r="Q7" t="s">
        <v>15</v>
      </c>
      <c r="R7" t="s">
        <v>15</v>
      </c>
    </row>
    <row r="8" spans="1:18" x14ac:dyDescent="0.25">
      <c r="A8" t="s">
        <v>10</v>
      </c>
      <c r="B8" t="s">
        <v>11</v>
      </c>
      <c r="C8" t="s">
        <v>12</v>
      </c>
      <c r="D8">
        <v>1</v>
      </c>
      <c r="E8">
        <v>19</v>
      </c>
      <c r="F8">
        <v>4.0738729635884201E-2</v>
      </c>
      <c r="G8">
        <v>141</v>
      </c>
      <c r="H8">
        <v>2.5491923417051698E-2</v>
      </c>
      <c r="I8">
        <v>118</v>
      </c>
      <c r="L8">
        <v>4.2154615821664902E-2</v>
      </c>
      <c r="M8">
        <v>0.291144715250998</v>
      </c>
      <c r="N8">
        <v>2018</v>
      </c>
      <c r="O8" t="s">
        <v>13</v>
      </c>
      <c r="P8" t="s">
        <v>14</v>
      </c>
      <c r="Q8" t="s">
        <v>15</v>
      </c>
      <c r="R8" t="s">
        <v>15</v>
      </c>
    </row>
    <row r="9" spans="1:18" x14ac:dyDescent="0.25">
      <c r="A9" t="s">
        <v>10</v>
      </c>
      <c r="B9" t="s">
        <v>11</v>
      </c>
      <c r="C9" t="s">
        <v>12</v>
      </c>
      <c r="D9">
        <v>1</v>
      </c>
      <c r="E9">
        <v>25</v>
      </c>
      <c r="F9">
        <v>5.2157149331795501E-2</v>
      </c>
      <c r="G9">
        <v>558</v>
      </c>
      <c r="H9">
        <v>7.1563192182034593E-2</v>
      </c>
      <c r="I9">
        <v>500</v>
      </c>
      <c r="L9">
        <v>4.5743485750337001E-2</v>
      </c>
      <c r="M9">
        <v>0.10462534053167399</v>
      </c>
      <c r="N9">
        <v>2018</v>
      </c>
      <c r="O9" t="s">
        <v>13</v>
      </c>
      <c r="P9" t="s">
        <v>14</v>
      </c>
      <c r="Q9" t="s">
        <v>15</v>
      </c>
      <c r="R9" t="s">
        <v>15</v>
      </c>
    </row>
    <row r="10" spans="1:18" x14ac:dyDescent="0.25">
      <c r="A10" t="s">
        <v>10</v>
      </c>
      <c r="B10" t="s">
        <v>11</v>
      </c>
      <c r="C10" t="s">
        <v>12</v>
      </c>
      <c r="D10">
        <v>1</v>
      </c>
      <c r="E10">
        <v>35</v>
      </c>
      <c r="F10">
        <v>6.4979202050489002E-2</v>
      </c>
      <c r="G10">
        <v>347</v>
      </c>
      <c r="H10">
        <v>9.6034561652814404E-2</v>
      </c>
      <c r="I10">
        <v>315</v>
      </c>
      <c r="L10">
        <v>5.6565040221713297E-2</v>
      </c>
      <c r="M10">
        <v>0.10621432470862401</v>
      </c>
      <c r="N10">
        <v>2018</v>
      </c>
      <c r="O10" t="s">
        <v>13</v>
      </c>
      <c r="P10" t="s">
        <v>14</v>
      </c>
      <c r="Q10" t="s">
        <v>15</v>
      </c>
      <c r="R10" t="s">
        <v>15</v>
      </c>
    </row>
    <row r="11" spans="1:18" x14ac:dyDescent="0.25">
      <c r="A11" t="s">
        <v>10</v>
      </c>
      <c r="B11" t="s">
        <v>11</v>
      </c>
      <c r="C11" t="s">
        <v>12</v>
      </c>
      <c r="D11">
        <v>1</v>
      </c>
      <c r="E11">
        <v>45</v>
      </c>
      <c r="F11">
        <v>6.2500776362581195E-2</v>
      </c>
      <c r="G11">
        <v>391</v>
      </c>
      <c r="H11">
        <v>0.19093764094165899</v>
      </c>
      <c r="I11">
        <v>347</v>
      </c>
      <c r="L11">
        <v>5.65672391737038E-2</v>
      </c>
      <c r="M11">
        <v>4.1989363014185398E-2</v>
      </c>
      <c r="N11">
        <v>2018</v>
      </c>
      <c r="O11" t="s">
        <v>13</v>
      </c>
      <c r="P11" t="s">
        <v>14</v>
      </c>
      <c r="Q11" t="s">
        <v>15</v>
      </c>
      <c r="R11" t="s">
        <v>15</v>
      </c>
    </row>
    <row r="12" spans="1:18" x14ac:dyDescent="0.25">
      <c r="A12" t="s">
        <v>10</v>
      </c>
      <c r="B12" t="s">
        <v>11</v>
      </c>
      <c r="C12" t="s">
        <v>12</v>
      </c>
      <c r="D12">
        <v>1</v>
      </c>
      <c r="E12">
        <v>55</v>
      </c>
      <c r="F12">
        <v>6.0377052001575497E-2</v>
      </c>
      <c r="G12">
        <v>253</v>
      </c>
      <c r="H12">
        <v>0.23411597362903699</v>
      </c>
      <c r="I12">
        <v>220</v>
      </c>
      <c r="L12">
        <v>6.9282411369133406E-2</v>
      </c>
      <c r="M12">
        <v>4.0079744446845797E-2</v>
      </c>
      <c r="N12">
        <v>2018</v>
      </c>
      <c r="O12" t="s">
        <v>13</v>
      </c>
      <c r="P12" t="s">
        <v>14</v>
      </c>
      <c r="Q12" t="s">
        <v>15</v>
      </c>
      <c r="R12" t="s">
        <v>15</v>
      </c>
    </row>
    <row r="13" spans="1:18" x14ac:dyDescent="0.25">
      <c r="A13" t="s">
        <v>10</v>
      </c>
      <c r="B13" t="s">
        <v>11</v>
      </c>
      <c r="C13" t="s">
        <v>12</v>
      </c>
      <c r="D13">
        <v>1</v>
      </c>
      <c r="E13">
        <v>65</v>
      </c>
      <c r="F13">
        <v>3.6870395807268599E-2</v>
      </c>
      <c r="G13">
        <v>303</v>
      </c>
      <c r="H13">
        <v>0.26827246485973599</v>
      </c>
      <c r="I13">
        <v>253</v>
      </c>
      <c r="L13">
        <v>0.11451984153827501</v>
      </c>
      <c r="M13">
        <v>4.6675013111365397E-2</v>
      </c>
      <c r="N13">
        <v>2018</v>
      </c>
      <c r="O13" t="s">
        <v>13</v>
      </c>
      <c r="P13" t="s">
        <v>14</v>
      </c>
      <c r="Q13" t="s">
        <v>15</v>
      </c>
      <c r="R13" t="s">
        <v>15</v>
      </c>
    </row>
    <row r="14" spans="1:18" x14ac:dyDescent="0.25">
      <c r="A14" t="s">
        <v>16</v>
      </c>
      <c r="B14" t="s">
        <v>17</v>
      </c>
      <c r="C14" t="s">
        <v>12</v>
      </c>
      <c r="D14">
        <v>2</v>
      </c>
      <c r="E14">
        <v>19</v>
      </c>
      <c r="F14">
        <v>0</v>
      </c>
      <c r="G14">
        <v>43</v>
      </c>
      <c r="H14">
        <v>1.22838828638939E-2</v>
      </c>
      <c r="I14">
        <v>27</v>
      </c>
      <c r="L14">
        <v>0.16201903537971199</v>
      </c>
      <c r="M14">
        <v>0</v>
      </c>
      <c r="N14">
        <v>2018</v>
      </c>
      <c r="O14" t="s">
        <v>13</v>
      </c>
      <c r="P14" t="s">
        <v>18</v>
      </c>
      <c r="Q14" t="s">
        <v>19</v>
      </c>
      <c r="R14" t="s">
        <v>20</v>
      </c>
    </row>
    <row r="15" spans="1:18" x14ac:dyDescent="0.25">
      <c r="A15" t="s">
        <v>16</v>
      </c>
      <c r="B15" t="s">
        <v>17</v>
      </c>
      <c r="C15" t="s">
        <v>12</v>
      </c>
      <c r="D15">
        <v>2</v>
      </c>
      <c r="E15">
        <v>25</v>
      </c>
      <c r="F15">
        <v>2.2134987197874101E-2</v>
      </c>
      <c r="G15">
        <v>481</v>
      </c>
      <c r="H15">
        <v>5.0134466545001699E-2</v>
      </c>
      <c r="I15">
        <v>297</v>
      </c>
      <c r="L15">
        <v>3.8665231593480502E-2</v>
      </c>
      <c r="M15">
        <v>7.8836114213406597E-2</v>
      </c>
      <c r="N15">
        <v>2018</v>
      </c>
      <c r="O15" t="s">
        <v>13</v>
      </c>
      <c r="P15" t="s">
        <v>18</v>
      </c>
      <c r="Q15" t="s">
        <v>19</v>
      </c>
      <c r="R15" t="s">
        <v>20</v>
      </c>
    </row>
    <row r="16" spans="1:18" x14ac:dyDescent="0.25">
      <c r="A16" t="s">
        <v>16</v>
      </c>
      <c r="B16" t="s">
        <v>17</v>
      </c>
      <c r="C16" t="s">
        <v>12</v>
      </c>
      <c r="D16">
        <v>2</v>
      </c>
      <c r="E16">
        <v>35</v>
      </c>
      <c r="F16">
        <v>5.62127597793637E-2</v>
      </c>
      <c r="G16">
        <v>932</v>
      </c>
      <c r="H16">
        <v>0.100278261318692</v>
      </c>
      <c r="I16">
        <v>584</v>
      </c>
      <c r="L16">
        <v>2.8350722540637599E-2</v>
      </c>
      <c r="M16">
        <v>4.4596687214551102E-2</v>
      </c>
      <c r="N16">
        <v>2018</v>
      </c>
      <c r="O16" t="s">
        <v>13</v>
      </c>
      <c r="P16" t="s">
        <v>18</v>
      </c>
      <c r="Q16" t="s">
        <v>19</v>
      </c>
      <c r="R16" t="s">
        <v>20</v>
      </c>
    </row>
    <row r="17" spans="1:18" x14ac:dyDescent="0.25">
      <c r="A17" t="s">
        <v>16</v>
      </c>
      <c r="B17" t="s">
        <v>17</v>
      </c>
      <c r="C17" t="s">
        <v>12</v>
      </c>
      <c r="D17">
        <v>2</v>
      </c>
      <c r="E17">
        <v>45</v>
      </c>
      <c r="F17">
        <v>0.13409470622425201</v>
      </c>
      <c r="G17">
        <v>542</v>
      </c>
      <c r="H17">
        <v>0.16302250227715101</v>
      </c>
      <c r="I17">
        <v>340</v>
      </c>
      <c r="L17">
        <v>2.9409403297649701E-2</v>
      </c>
      <c r="M17">
        <v>4.32302739343213E-2</v>
      </c>
      <c r="N17">
        <v>2018</v>
      </c>
      <c r="O17" t="s">
        <v>13</v>
      </c>
      <c r="P17" t="s">
        <v>18</v>
      </c>
      <c r="Q17" t="s">
        <v>19</v>
      </c>
      <c r="R17" t="s">
        <v>20</v>
      </c>
    </row>
    <row r="18" spans="1:18" x14ac:dyDescent="0.25">
      <c r="A18" t="s">
        <v>16</v>
      </c>
      <c r="B18" t="s">
        <v>17</v>
      </c>
      <c r="C18" t="s">
        <v>12</v>
      </c>
      <c r="D18">
        <v>2</v>
      </c>
      <c r="E18">
        <v>55</v>
      </c>
      <c r="F18">
        <v>0.30444615283288301</v>
      </c>
      <c r="G18">
        <v>199</v>
      </c>
      <c r="H18">
        <v>0.200446879061903</v>
      </c>
      <c r="I18">
        <v>80</v>
      </c>
      <c r="L18">
        <v>2.56404326874567E-2</v>
      </c>
      <c r="M18">
        <v>4.8247723942768599E-2</v>
      </c>
      <c r="N18">
        <v>2018</v>
      </c>
      <c r="O18" t="s">
        <v>13</v>
      </c>
      <c r="P18" t="s">
        <v>18</v>
      </c>
      <c r="Q18" t="s">
        <v>19</v>
      </c>
      <c r="R18" t="s">
        <v>20</v>
      </c>
    </row>
    <row r="19" spans="1:18" x14ac:dyDescent="0.25">
      <c r="A19" t="s">
        <v>16</v>
      </c>
      <c r="B19" t="s">
        <v>17</v>
      </c>
      <c r="C19" t="s">
        <v>12</v>
      </c>
      <c r="D19">
        <v>2</v>
      </c>
      <c r="E19">
        <v>65</v>
      </c>
      <c r="F19">
        <v>0.285384273156154</v>
      </c>
      <c r="G19">
        <v>99</v>
      </c>
      <c r="H19">
        <v>0.233882114128243</v>
      </c>
      <c r="I19">
        <v>35</v>
      </c>
      <c r="L19">
        <v>3.2078165303655301E-2</v>
      </c>
      <c r="M19">
        <v>4.3939385520749101E-2</v>
      </c>
      <c r="N19">
        <v>2018</v>
      </c>
      <c r="O19" t="s">
        <v>13</v>
      </c>
      <c r="P19" t="s">
        <v>18</v>
      </c>
      <c r="Q19" t="s">
        <v>19</v>
      </c>
      <c r="R19" t="s">
        <v>20</v>
      </c>
    </row>
    <row r="20" spans="1:18" x14ac:dyDescent="0.25">
      <c r="A20" t="s">
        <v>16</v>
      </c>
      <c r="B20" t="s">
        <v>17</v>
      </c>
      <c r="C20" t="s">
        <v>12</v>
      </c>
      <c r="D20">
        <v>2</v>
      </c>
      <c r="E20">
        <v>75</v>
      </c>
      <c r="F20">
        <v>0.63805367426343995</v>
      </c>
      <c r="G20">
        <v>50</v>
      </c>
      <c r="H20">
        <v>0.24179826518428599</v>
      </c>
      <c r="I20">
        <v>11</v>
      </c>
      <c r="L20">
        <v>2.0192959341732299E-2</v>
      </c>
      <c r="M20">
        <v>5.7647546878639502E-2</v>
      </c>
      <c r="N20">
        <v>2018</v>
      </c>
      <c r="O20" t="s">
        <v>13</v>
      </c>
      <c r="P20" t="s">
        <v>18</v>
      </c>
      <c r="Q20" t="s">
        <v>19</v>
      </c>
      <c r="R20" t="s">
        <v>20</v>
      </c>
    </row>
    <row r="21" spans="1:18" x14ac:dyDescent="0.25">
      <c r="A21" t="s">
        <v>16</v>
      </c>
      <c r="B21" t="s">
        <v>17</v>
      </c>
      <c r="C21" t="s">
        <v>12</v>
      </c>
      <c r="D21">
        <v>2</v>
      </c>
      <c r="E21">
        <v>84.91</v>
      </c>
      <c r="F21">
        <v>0.33319900135368702</v>
      </c>
      <c r="G21">
        <v>10</v>
      </c>
      <c r="H21">
        <v>0.46829804947834702</v>
      </c>
      <c r="I21">
        <v>4</v>
      </c>
      <c r="L21">
        <v>8.4193953234715194E-2</v>
      </c>
      <c r="M21">
        <v>5.5677784570433299E-2</v>
      </c>
      <c r="N21">
        <v>2018</v>
      </c>
      <c r="O21" t="s">
        <v>13</v>
      </c>
      <c r="P21" t="s">
        <v>18</v>
      </c>
      <c r="Q21" t="s">
        <v>19</v>
      </c>
      <c r="R21" t="s">
        <v>20</v>
      </c>
    </row>
    <row r="22" spans="1:18" x14ac:dyDescent="0.25">
      <c r="A22" t="s">
        <v>16</v>
      </c>
      <c r="B22" t="s">
        <v>17</v>
      </c>
      <c r="C22" t="s">
        <v>12</v>
      </c>
      <c r="D22">
        <v>1</v>
      </c>
      <c r="E22">
        <v>19</v>
      </c>
      <c r="F22">
        <v>6.1953055902592702E-2</v>
      </c>
      <c r="G22">
        <v>36</v>
      </c>
      <c r="H22">
        <v>6.2853146361430606E-2</v>
      </c>
      <c r="I22">
        <v>22</v>
      </c>
      <c r="L22">
        <v>6.2922279944828702E-3</v>
      </c>
      <c r="M22">
        <v>1.8882015421807299E-2</v>
      </c>
      <c r="N22">
        <v>2018</v>
      </c>
      <c r="O22" t="s">
        <v>13</v>
      </c>
      <c r="P22" t="s">
        <v>18</v>
      </c>
      <c r="Q22" t="s">
        <v>19</v>
      </c>
      <c r="R22" t="s">
        <v>20</v>
      </c>
    </row>
    <row r="23" spans="1:18" x14ac:dyDescent="0.25">
      <c r="A23" t="s">
        <v>16</v>
      </c>
      <c r="B23" t="s">
        <v>17</v>
      </c>
      <c r="C23" t="s">
        <v>12</v>
      </c>
      <c r="D23">
        <v>1</v>
      </c>
      <c r="E23">
        <v>25</v>
      </c>
      <c r="F23">
        <v>1.8505669215902201E-2</v>
      </c>
      <c r="G23">
        <v>334</v>
      </c>
      <c r="H23">
        <v>6.6731265422820304E-2</v>
      </c>
      <c r="I23">
        <v>199</v>
      </c>
      <c r="L23">
        <v>3.0054740849650999E-2</v>
      </c>
      <c r="M23">
        <v>3.99704576052132E-2</v>
      </c>
      <c r="N23">
        <v>2018</v>
      </c>
      <c r="O23" t="s">
        <v>13</v>
      </c>
      <c r="P23" t="s">
        <v>18</v>
      </c>
      <c r="Q23" t="s">
        <v>19</v>
      </c>
      <c r="R23" t="s">
        <v>20</v>
      </c>
    </row>
    <row r="24" spans="1:18" x14ac:dyDescent="0.25">
      <c r="A24" t="s">
        <v>16</v>
      </c>
      <c r="B24" t="s">
        <v>17</v>
      </c>
      <c r="C24" t="s">
        <v>12</v>
      </c>
      <c r="D24">
        <v>1</v>
      </c>
      <c r="E24">
        <v>35</v>
      </c>
      <c r="F24">
        <v>5.6243030165256301E-2</v>
      </c>
      <c r="G24">
        <v>771</v>
      </c>
      <c r="H24">
        <v>9.0869188814916804E-2</v>
      </c>
      <c r="I24">
        <v>457</v>
      </c>
      <c r="L24">
        <v>4.23152878767874E-2</v>
      </c>
      <c r="M24">
        <v>7.6053130686842094E-2</v>
      </c>
      <c r="N24">
        <v>2018</v>
      </c>
      <c r="O24" t="s">
        <v>13</v>
      </c>
      <c r="P24" t="s">
        <v>18</v>
      </c>
      <c r="Q24" t="s">
        <v>19</v>
      </c>
      <c r="R24" t="s">
        <v>20</v>
      </c>
    </row>
    <row r="25" spans="1:18" x14ac:dyDescent="0.25">
      <c r="A25" t="s">
        <v>16</v>
      </c>
      <c r="B25" t="s">
        <v>17</v>
      </c>
      <c r="C25" t="s">
        <v>12</v>
      </c>
      <c r="D25">
        <v>1</v>
      </c>
      <c r="E25">
        <v>45</v>
      </c>
      <c r="F25">
        <v>0.110384175217505</v>
      </c>
      <c r="G25">
        <v>566</v>
      </c>
      <c r="H25">
        <v>0.16579592251412201</v>
      </c>
      <c r="I25">
        <v>348</v>
      </c>
      <c r="L25">
        <v>3.8813295971877798E-2</v>
      </c>
      <c r="M25">
        <v>4.9408650681995202E-2</v>
      </c>
      <c r="N25">
        <v>2018</v>
      </c>
      <c r="O25" t="s">
        <v>13</v>
      </c>
      <c r="P25" t="s">
        <v>18</v>
      </c>
      <c r="Q25" t="s">
        <v>19</v>
      </c>
      <c r="R25" t="s">
        <v>20</v>
      </c>
    </row>
    <row r="26" spans="1:18" x14ac:dyDescent="0.25">
      <c r="A26" t="s">
        <v>16</v>
      </c>
      <c r="B26" t="s">
        <v>17</v>
      </c>
      <c r="C26" t="s">
        <v>12</v>
      </c>
      <c r="D26">
        <v>1</v>
      </c>
      <c r="E26">
        <v>55</v>
      </c>
      <c r="F26">
        <v>0.24582832750359099</v>
      </c>
      <c r="G26">
        <v>278</v>
      </c>
      <c r="H26">
        <v>0.27623276455920998</v>
      </c>
      <c r="I26">
        <v>140</v>
      </c>
      <c r="L26">
        <v>3.6395626726697702E-2</v>
      </c>
      <c r="M26">
        <v>3.51520553512326E-2</v>
      </c>
      <c r="N26">
        <v>2018</v>
      </c>
      <c r="O26" t="s">
        <v>13</v>
      </c>
      <c r="P26" t="s">
        <v>18</v>
      </c>
      <c r="Q26" t="s">
        <v>19</v>
      </c>
      <c r="R26" t="s">
        <v>20</v>
      </c>
    </row>
    <row r="27" spans="1:18" x14ac:dyDescent="0.25">
      <c r="A27" t="s">
        <v>16</v>
      </c>
      <c r="B27" t="s">
        <v>17</v>
      </c>
      <c r="C27" t="s">
        <v>12</v>
      </c>
      <c r="D27">
        <v>1</v>
      </c>
      <c r="E27">
        <v>65</v>
      </c>
      <c r="F27">
        <v>0.46986333440989703</v>
      </c>
      <c r="G27">
        <v>114</v>
      </c>
      <c r="H27">
        <v>0.364711739416682</v>
      </c>
      <c r="I27">
        <v>44</v>
      </c>
      <c r="L27">
        <v>2.0631867105862199E-2</v>
      </c>
      <c r="M27">
        <v>1.66326046590905E-2</v>
      </c>
      <c r="N27">
        <v>2018</v>
      </c>
      <c r="O27" t="s">
        <v>13</v>
      </c>
      <c r="P27" t="s">
        <v>18</v>
      </c>
      <c r="Q27" t="s">
        <v>19</v>
      </c>
      <c r="R27" t="s">
        <v>20</v>
      </c>
    </row>
    <row r="28" spans="1:18" x14ac:dyDescent="0.25">
      <c r="A28" t="s">
        <v>16</v>
      </c>
      <c r="B28" t="s">
        <v>17</v>
      </c>
      <c r="C28" t="s">
        <v>12</v>
      </c>
      <c r="D28">
        <v>1</v>
      </c>
      <c r="E28">
        <v>75</v>
      </c>
      <c r="F28">
        <v>0.40732507651159799</v>
      </c>
      <c r="G28">
        <v>52</v>
      </c>
      <c r="H28">
        <v>0.11144256793615601</v>
      </c>
      <c r="I28">
        <v>21</v>
      </c>
      <c r="L28">
        <v>2.9097620747522202E-2</v>
      </c>
      <c r="M28">
        <v>0.19612780314287101</v>
      </c>
      <c r="N28">
        <v>2018</v>
      </c>
      <c r="O28" t="s">
        <v>13</v>
      </c>
      <c r="P28" t="s">
        <v>18</v>
      </c>
      <c r="Q28" t="s">
        <v>19</v>
      </c>
      <c r="R28" t="s">
        <v>20</v>
      </c>
    </row>
    <row r="29" spans="1:18" x14ac:dyDescent="0.25">
      <c r="A29" t="s">
        <v>16</v>
      </c>
      <c r="B29" t="s">
        <v>17</v>
      </c>
      <c r="C29" t="s">
        <v>12</v>
      </c>
      <c r="D29">
        <v>1</v>
      </c>
      <c r="E29">
        <v>84.91</v>
      </c>
      <c r="F29">
        <v>0.34910231090732302</v>
      </c>
      <c r="G29">
        <v>21</v>
      </c>
      <c r="H29">
        <v>0.16264724387277399</v>
      </c>
      <c r="I29">
        <v>9</v>
      </c>
      <c r="L29">
        <v>1.7470862634836101E-2</v>
      </c>
      <c r="M29">
        <v>6.1904558874877398E-2</v>
      </c>
      <c r="N29">
        <v>2018</v>
      </c>
      <c r="O29" t="s">
        <v>13</v>
      </c>
      <c r="P29" t="s">
        <v>18</v>
      </c>
      <c r="Q29" t="s">
        <v>19</v>
      </c>
      <c r="R29" t="s">
        <v>20</v>
      </c>
    </row>
    <row r="30" spans="1:18" x14ac:dyDescent="0.25">
      <c r="A30" t="s">
        <v>21</v>
      </c>
      <c r="B30" t="s">
        <v>22</v>
      </c>
      <c r="C30" t="s">
        <v>12</v>
      </c>
      <c r="D30">
        <v>2</v>
      </c>
      <c r="E30">
        <v>19</v>
      </c>
      <c r="F30">
        <v>1.28575436678081E-2</v>
      </c>
      <c r="G30">
        <v>407</v>
      </c>
      <c r="H30">
        <v>4.80787212065801E-3</v>
      </c>
      <c r="I30">
        <v>64</v>
      </c>
      <c r="L30">
        <v>2.0022606319504501E-2</v>
      </c>
      <c r="M30">
        <v>0.34159773913839597</v>
      </c>
      <c r="N30">
        <v>2018</v>
      </c>
      <c r="O30" t="s">
        <v>13</v>
      </c>
      <c r="P30" t="s">
        <v>23</v>
      </c>
      <c r="Q30" t="s">
        <v>24</v>
      </c>
      <c r="R30" t="s">
        <v>25</v>
      </c>
    </row>
    <row r="31" spans="1:18" x14ac:dyDescent="0.25">
      <c r="A31" t="s">
        <v>21</v>
      </c>
      <c r="B31" t="s">
        <v>22</v>
      </c>
      <c r="C31" t="s">
        <v>12</v>
      </c>
      <c r="D31">
        <v>2</v>
      </c>
      <c r="E31">
        <v>25</v>
      </c>
      <c r="F31">
        <v>5.5742256492725501E-3</v>
      </c>
      <c r="G31">
        <v>2690</v>
      </c>
      <c r="H31">
        <v>8.6105859729189906E-3</v>
      </c>
      <c r="I31">
        <v>461</v>
      </c>
      <c r="L31">
        <v>3.7854684332317499E-2</v>
      </c>
      <c r="M31">
        <v>0.17546695280078101</v>
      </c>
      <c r="N31">
        <v>2018</v>
      </c>
      <c r="O31" t="s">
        <v>13</v>
      </c>
      <c r="P31" t="s">
        <v>23</v>
      </c>
      <c r="Q31" t="s">
        <v>24</v>
      </c>
      <c r="R31" t="s">
        <v>25</v>
      </c>
    </row>
    <row r="32" spans="1:18" x14ac:dyDescent="0.25">
      <c r="A32" t="s">
        <v>21</v>
      </c>
      <c r="B32" t="s">
        <v>22</v>
      </c>
      <c r="C32" t="s">
        <v>12</v>
      </c>
      <c r="D32">
        <v>2</v>
      </c>
      <c r="E32">
        <v>35</v>
      </c>
      <c r="F32">
        <v>2.1904417286172199E-2</v>
      </c>
      <c r="G32">
        <v>3142</v>
      </c>
      <c r="H32">
        <v>2.6705238438164899E-2</v>
      </c>
      <c r="I32">
        <v>529</v>
      </c>
      <c r="L32">
        <v>2.5508916087394799E-2</v>
      </c>
      <c r="M32">
        <v>9.4611193841207905E-2</v>
      </c>
      <c r="N32">
        <v>2018</v>
      </c>
      <c r="O32" t="s">
        <v>13</v>
      </c>
      <c r="P32" t="s">
        <v>23</v>
      </c>
      <c r="Q32" t="s">
        <v>24</v>
      </c>
      <c r="R32" t="s">
        <v>25</v>
      </c>
    </row>
    <row r="33" spans="1:18" x14ac:dyDescent="0.25">
      <c r="A33" t="s">
        <v>21</v>
      </c>
      <c r="B33" t="s">
        <v>22</v>
      </c>
      <c r="C33" t="s">
        <v>12</v>
      </c>
      <c r="D33">
        <v>2</v>
      </c>
      <c r="E33">
        <v>45</v>
      </c>
      <c r="F33">
        <v>4.3697962804408699E-2</v>
      </c>
      <c r="G33">
        <v>2569</v>
      </c>
      <c r="H33">
        <v>4.6074576120104301E-2</v>
      </c>
      <c r="I33">
        <v>428</v>
      </c>
      <c r="L33">
        <v>1.6327241776751499E-2</v>
      </c>
      <c r="M33">
        <v>5.3145691577976703E-2</v>
      </c>
      <c r="N33">
        <v>2018</v>
      </c>
      <c r="O33" t="s">
        <v>13</v>
      </c>
      <c r="P33" t="s">
        <v>23</v>
      </c>
      <c r="Q33" t="s">
        <v>24</v>
      </c>
      <c r="R33" t="s">
        <v>25</v>
      </c>
    </row>
    <row r="34" spans="1:18" x14ac:dyDescent="0.25">
      <c r="A34" t="s">
        <v>21</v>
      </c>
      <c r="B34" t="s">
        <v>22</v>
      </c>
      <c r="C34" t="s">
        <v>12</v>
      </c>
      <c r="D34">
        <v>2</v>
      </c>
      <c r="E34">
        <v>55</v>
      </c>
      <c r="F34">
        <v>9.3507591693457001E-2</v>
      </c>
      <c r="G34">
        <v>2282</v>
      </c>
      <c r="H34">
        <v>5.0011292807308899E-2</v>
      </c>
      <c r="I34">
        <v>385</v>
      </c>
      <c r="L34">
        <v>2.7035768735916899E-2</v>
      </c>
      <c r="M34">
        <v>0.14556579800830399</v>
      </c>
      <c r="N34">
        <v>2018</v>
      </c>
      <c r="O34" t="s">
        <v>13</v>
      </c>
      <c r="P34" t="s">
        <v>23</v>
      </c>
      <c r="Q34" t="s">
        <v>24</v>
      </c>
      <c r="R34" t="s">
        <v>25</v>
      </c>
    </row>
    <row r="35" spans="1:18" x14ac:dyDescent="0.25">
      <c r="A35" t="s">
        <v>21</v>
      </c>
      <c r="B35" t="s">
        <v>22</v>
      </c>
      <c r="C35" t="s">
        <v>12</v>
      </c>
      <c r="D35">
        <v>2</v>
      </c>
      <c r="E35">
        <v>65</v>
      </c>
      <c r="F35">
        <v>0.14659042400688099</v>
      </c>
      <c r="G35">
        <v>2106</v>
      </c>
      <c r="H35">
        <v>0.133849535960535</v>
      </c>
      <c r="I35">
        <v>303</v>
      </c>
      <c r="L35">
        <v>2.4033488801256501E-2</v>
      </c>
      <c r="M35">
        <v>5.05845806004925E-2</v>
      </c>
      <c r="N35">
        <v>2018</v>
      </c>
      <c r="O35" t="s">
        <v>13</v>
      </c>
      <c r="P35" t="s">
        <v>23</v>
      </c>
      <c r="Q35" t="s">
        <v>24</v>
      </c>
      <c r="R35" t="s">
        <v>25</v>
      </c>
    </row>
    <row r="36" spans="1:18" x14ac:dyDescent="0.25">
      <c r="A36" t="s">
        <v>21</v>
      </c>
      <c r="B36" t="s">
        <v>22</v>
      </c>
      <c r="C36" t="s">
        <v>12</v>
      </c>
      <c r="D36">
        <v>2</v>
      </c>
      <c r="E36">
        <v>75</v>
      </c>
      <c r="F36">
        <v>0.123854089483041</v>
      </c>
      <c r="G36">
        <v>1465</v>
      </c>
      <c r="H36">
        <v>7.4759054096303096E-2</v>
      </c>
      <c r="I36">
        <v>241</v>
      </c>
      <c r="L36">
        <v>3.0955849735305602E-2</v>
      </c>
      <c r="M36">
        <v>0.12192603716723099</v>
      </c>
      <c r="N36">
        <v>2018</v>
      </c>
      <c r="O36" t="s">
        <v>13</v>
      </c>
      <c r="P36" t="s">
        <v>23</v>
      </c>
      <c r="Q36" t="s">
        <v>24</v>
      </c>
      <c r="R36" t="s">
        <v>25</v>
      </c>
    </row>
    <row r="37" spans="1:18" x14ac:dyDescent="0.25">
      <c r="A37" t="s">
        <v>21</v>
      </c>
      <c r="B37" t="s">
        <v>22</v>
      </c>
      <c r="C37" t="s">
        <v>12</v>
      </c>
      <c r="D37">
        <v>2</v>
      </c>
      <c r="E37">
        <v>84.91</v>
      </c>
      <c r="F37">
        <v>0.13584575650581901</v>
      </c>
      <c r="G37">
        <v>745</v>
      </c>
      <c r="H37">
        <v>7.5481213082987803E-2</v>
      </c>
      <c r="I37">
        <v>94</v>
      </c>
      <c r="L37">
        <v>3.6547288346340502E-2</v>
      </c>
      <c r="M37">
        <v>0.16782084716085899</v>
      </c>
      <c r="N37">
        <v>2018</v>
      </c>
      <c r="O37" t="s">
        <v>13</v>
      </c>
      <c r="P37" t="s">
        <v>23</v>
      </c>
      <c r="Q37" t="s">
        <v>24</v>
      </c>
      <c r="R37" t="s">
        <v>25</v>
      </c>
    </row>
    <row r="38" spans="1:18" x14ac:dyDescent="0.25">
      <c r="A38" t="s">
        <v>21</v>
      </c>
      <c r="B38" t="s">
        <v>22</v>
      </c>
      <c r="C38" t="s">
        <v>12</v>
      </c>
      <c r="D38">
        <v>1</v>
      </c>
      <c r="E38">
        <v>19</v>
      </c>
      <c r="F38">
        <v>1.4922458146929799E-2</v>
      </c>
      <c r="G38">
        <v>429</v>
      </c>
      <c r="H38">
        <v>3.3609376233829698E-3</v>
      </c>
      <c r="I38">
        <v>70</v>
      </c>
      <c r="L38">
        <v>1.1370908615149E-2</v>
      </c>
      <c r="M38">
        <v>0.31871512838876798</v>
      </c>
      <c r="N38">
        <v>2018</v>
      </c>
      <c r="O38" t="s">
        <v>13</v>
      </c>
      <c r="P38" t="s">
        <v>23</v>
      </c>
      <c r="Q38" t="s">
        <v>24</v>
      </c>
      <c r="R38" t="s">
        <v>25</v>
      </c>
    </row>
    <row r="39" spans="1:18" x14ac:dyDescent="0.25">
      <c r="A39" t="s">
        <v>21</v>
      </c>
      <c r="B39" t="s">
        <v>22</v>
      </c>
      <c r="C39" t="s">
        <v>12</v>
      </c>
      <c r="D39">
        <v>1</v>
      </c>
      <c r="E39">
        <v>25</v>
      </c>
      <c r="F39">
        <v>1.03359705384379E-2</v>
      </c>
      <c r="G39">
        <v>2245</v>
      </c>
      <c r="H39">
        <v>1.11185192705857E-2</v>
      </c>
      <c r="I39">
        <v>358</v>
      </c>
      <c r="L39">
        <v>2.70676810998404E-2</v>
      </c>
      <c r="M39">
        <v>0.14318750620152201</v>
      </c>
      <c r="N39">
        <v>2018</v>
      </c>
      <c r="O39" t="s">
        <v>13</v>
      </c>
      <c r="P39" t="s">
        <v>23</v>
      </c>
      <c r="Q39" t="s">
        <v>24</v>
      </c>
      <c r="R39" t="s">
        <v>25</v>
      </c>
    </row>
    <row r="40" spans="1:18" x14ac:dyDescent="0.25">
      <c r="A40" t="s">
        <v>21</v>
      </c>
      <c r="B40" t="s">
        <v>22</v>
      </c>
      <c r="C40" t="s">
        <v>12</v>
      </c>
      <c r="D40">
        <v>1</v>
      </c>
      <c r="E40">
        <v>35</v>
      </c>
      <c r="F40">
        <v>1.7605217662718602E-2</v>
      </c>
      <c r="G40">
        <v>2433</v>
      </c>
      <c r="H40">
        <v>2.5663426499191701E-2</v>
      </c>
      <c r="I40">
        <v>404</v>
      </c>
      <c r="L40">
        <v>3.36915452505063E-2</v>
      </c>
      <c r="M40">
        <v>0.10998231986847801</v>
      </c>
      <c r="N40">
        <v>2018</v>
      </c>
      <c r="O40" t="s">
        <v>13</v>
      </c>
      <c r="P40" t="s">
        <v>23</v>
      </c>
      <c r="Q40" t="s">
        <v>24</v>
      </c>
      <c r="R40" t="s">
        <v>25</v>
      </c>
    </row>
    <row r="41" spans="1:18" x14ac:dyDescent="0.25">
      <c r="A41" t="s">
        <v>21</v>
      </c>
      <c r="B41" t="s">
        <v>22</v>
      </c>
      <c r="C41" t="s">
        <v>12</v>
      </c>
      <c r="D41">
        <v>1</v>
      </c>
      <c r="E41">
        <v>45</v>
      </c>
      <c r="F41">
        <v>4.6646616805057502E-2</v>
      </c>
      <c r="G41">
        <v>2096</v>
      </c>
      <c r="H41">
        <v>8.9072875773246699E-2</v>
      </c>
      <c r="I41">
        <v>334</v>
      </c>
      <c r="L41">
        <v>1.8382064181513801E-2</v>
      </c>
      <c r="M41">
        <v>3.0584016380381999E-2</v>
      </c>
      <c r="N41">
        <v>2018</v>
      </c>
      <c r="O41" t="s">
        <v>13</v>
      </c>
      <c r="P41" t="s">
        <v>23</v>
      </c>
      <c r="Q41" t="s">
        <v>24</v>
      </c>
      <c r="R41" t="s">
        <v>25</v>
      </c>
    </row>
    <row r="42" spans="1:18" x14ac:dyDescent="0.25">
      <c r="A42" t="s">
        <v>21</v>
      </c>
      <c r="B42" t="s">
        <v>22</v>
      </c>
      <c r="C42" t="s">
        <v>12</v>
      </c>
      <c r="D42">
        <v>1</v>
      </c>
      <c r="E42">
        <v>55</v>
      </c>
      <c r="F42">
        <v>9.8838922859147305E-2</v>
      </c>
      <c r="G42">
        <v>1768</v>
      </c>
      <c r="H42">
        <v>8.7265373925518294E-2</v>
      </c>
      <c r="I42">
        <v>229</v>
      </c>
      <c r="L42">
        <v>1.7087983696072999E-2</v>
      </c>
      <c r="M42">
        <v>4.6375321453198802E-2</v>
      </c>
      <c r="N42">
        <v>2018</v>
      </c>
      <c r="O42" t="s">
        <v>13</v>
      </c>
      <c r="P42" t="s">
        <v>23</v>
      </c>
      <c r="Q42" t="s">
        <v>24</v>
      </c>
      <c r="R42" t="s">
        <v>25</v>
      </c>
    </row>
    <row r="43" spans="1:18" x14ac:dyDescent="0.25">
      <c r="A43" t="s">
        <v>21</v>
      </c>
      <c r="B43" t="s">
        <v>22</v>
      </c>
      <c r="C43" t="s">
        <v>12</v>
      </c>
      <c r="D43">
        <v>1</v>
      </c>
      <c r="E43">
        <v>65</v>
      </c>
      <c r="F43">
        <v>0.125580379089966</v>
      </c>
      <c r="G43">
        <v>1597</v>
      </c>
      <c r="H43">
        <v>9.3740532182387898E-2</v>
      </c>
      <c r="I43">
        <v>222</v>
      </c>
      <c r="L43">
        <v>2.9440123322176302E-2</v>
      </c>
      <c r="M43">
        <v>8.7435436218955401E-2</v>
      </c>
      <c r="N43">
        <v>2018</v>
      </c>
      <c r="O43" t="s">
        <v>13</v>
      </c>
      <c r="P43" t="s">
        <v>23</v>
      </c>
      <c r="Q43" t="s">
        <v>24</v>
      </c>
      <c r="R43" t="s">
        <v>25</v>
      </c>
    </row>
    <row r="44" spans="1:18" x14ac:dyDescent="0.25">
      <c r="A44" t="s">
        <v>21</v>
      </c>
      <c r="B44" t="s">
        <v>22</v>
      </c>
      <c r="C44" t="s">
        <v>12</v>
      </c>
      <c r="D44">
        <v>1</v>
      </c>
      <c r="E44">
        <v>75</v>
      </c>
      <c r="F44">
        <v>0.11033186657077899</v>
      </c>
      <c r="G44">
        <v>989</v>
      </c>
      <c r="H44">
        <v>0.108170820239848</v>
      </c>
      <c r="I44">
        <v>150</v>
      </c>
      <c r="L44">
        <v>3.9041667685957203E-2</v>
      </c>
      <c r="M44">
        <v>9.0832345766925907E-2</v>
      </c>
      <c r="N44">
        <v>2018</v>
      </c>
      <c r="O44" t="s">
        <v>13</v>
      </c>
      <c r="P44" t="s">
        <v>23</v>
      </c>
      <c r="Q44" t="s">
        <v>24</v>
      </c>
      <c r="R44" t="s">
        <v>25</v>
      </c>
    </row>
    <row r="45" spans="1:18" x14ac:dyDescent="0.25">
      <c r="A45" t="s">
        <v>21</v>
      </c>
      <c r="B45" t="s">
        <v>22</v>
      </c>
      <c r="C45" t="s">
        <v>12</v>
      </c>
      <c r="D45">
        <v>1</v>
      </c>
      <c r="E45">
        <v>84.91</v>
      </c>
      <c r="F45">
        <v>8.1152761119651307E-2</v>
      </c>
      <c r="G45">
        <v>368</v>
      </c>
      <c r="H45">
        <v>6.9349260345296301E-2</v>
      </c>
      <c r="I45">
        <v>39</v>
      </c>
      <c r="L45">
        <v>6.4790708194110494E-2</v>
      </c>
      <c r="M45">
        <v>0.268994875399648</v>
      </c>
      <c r="N45">
        <v>2018</v>
      </c>
      <c r="O45" t="s">
        <v>13</v>
      </c>
      <c r="P45" t="s">
        <v>23</v>
      </c>
      <c r="Q45" t="s">
        <v>24</v>
      </c>
      <c r="R45" t="s">
        <v>25</v>
      </c>
    </row>
    <row r="46" spans="1:18" x14ac:dyDescent="0.25">
      <c r="A46" t="s">
        <v>26</v>
      </c>
      <c r="B46" t="s">
        <v>27</v>
      </c>
      <c r="C46" t="s">
        <v>12</v>
      </c>
      <c r="D46">
        <v>2</v>
      </c>
      <c r="E46">
        <v>19</v>
      </c>
      <c r="F46">
        <v>0</v>
      </c>
      <c r="G46">
        <v>29</v>
      </c>
      <c r="H46">
        <v>5.2097659768410897E-3</v>
      </c>
      <c r="I46">
        <v>23</v>
      </c>
      <c r="L46">
        <v>0.13034205144880401</v>
      </c>
      <c r="M46">
        <v>0</v>
      </c>
      <c r="N46">
        <v>2016</v>
      </c>
      <c r="O46" t="s">
        <v>13</v>
      </c>
      <c r="P46" t="s">
        <v>28</v>
      </c>
      <c r="Q46" t="s">
        <v>29</v>
      </c>
      <c r="R46" t="s">
        <v>20</v>
      </c>
    </row>
    <row r="47" spans="1:18" x14ac:dyDescent="0.25">
      <c r="A47" t="s">
        <v>26</v>
      </c>
      <c r="B47" t="s">
        <v>27</v>
      </c>
      <c r="C47" t="s">
        <v>12</v>
      </c>
      <c r="D47">
        <v>2</v>
      </c>
      <c r="E47">
        <v>25</v>
      </c>
      <c r="F47">
        <v>0</v>
      </c>
      <c r="G47">
        <v>267</v>
      </c>
      <c r="H47">
        <v>1.29504283682116E-2</v>
      </c>
      <c r="I47">
        <v>195</v>
      </c>
      <c r="L47">
        <v>3.54928949141083E-2</v>
      </c>
      <c r="M47">
        <v>0</v>
      </c>
      <c r="N47">
        <v>2016</v>
      </c>
      <c r="O47" t="s">
        <v>13</v>
      </c>
      <c r="P47" t="s">
        <v>28</v>
      </c>
      <c r="Q47" t="s">
        <v>29</v>
      </c>
      <c r="R47" t="s">
        <v>20</v>
      </c>
    </row>
    <row r="48" spans="1:18" x14ac:dyDescent="0.25">
      <c r="A48" t="s">
        <v>26</v>
      </c>
      <c r="B48" t="s">
        <v>27</v>
      </c>
      <c r="C48" t="s">
        <v>12</v>
      </c>
      <c r="D48">
        <v>2</v>
      </c>
      <c r="E48">
        <v>35</v>
      </c>
      <c r="F48">
        <v>3.5840127484662401E-3</v>
      </c>
      <c r="G48">
        <v>307</v>
      </c>
      <c r="H48">
        <v>3.2905331500338003E-2</v>
      </c>
      <c r="I48">
        <v>238</v>
      </c>
      <c r="L48">
        <v>2.8861118226504799E-2</v>
      </c>
      <c r="M48">
        <v>3.3679830307117103E-2</v>
      </c>
      <c r="N48">
        <v>2016</v>
      </c>
      <c r="O48" t="s">
        <v>13</v>
      </c>
      <c r="P48" t="s">
        <v>28</v>
      </c>
      <c r="Q48" t="s">
        <v>29</v>
      </c>
      <c r="R48" t="s">
        <v>20</v>
      </c>
    </row>
    <row r="49" spans="1:18" x14ac:dyDescent="0.25">
      <c r="A49" t="s">
        <v>26</v>
      </c>
      <c r="B49" t="s">
        <v>27</v>
      </c>
      <c r="C49" t="s">
        <v>12</v>
      </c>
      <c r="D49">
        <v>2</v>
      </c>
      <c r="E49">
        <v>45</v>
      </c>
      <c r="F49">
        <v>5.2270596390551699E-3</v>
      </c>
      <c r="G49">
        <v>292</v>
      </c>
      <c r="H49">
        <v>5.9661188969806003E-2</v>
      </c>
      <c r="I49">
        <v>225</v>
      </c>
      <c r="L49">
        <v>4.4569286217703598E-2</v>
      </c>
      <c r="M49">
        <v>3.8668805620483401E-2</v>
      </c>
      <c r="N49">
        <v>2016</v>
      </c>
      <c r="O49" t="s">
        <v>13</v>
      </c>
      <c r="P49" t="s">
        <v>28</v>
      </c>
      <c r="Q49" t="s">
        <v>29</v>
      </c>
      <c r="R49" t="s">
        <v>20</v>
      </c>
    </row>
    <row r="50" spans="1:18" x14ac:dyDescent="0.25">
      <c r="A50" t="s">
        <v>26</v>
      </c>
      <c r="B50" t="s">
        <v>27</v>
      </c>
      <c r="C50" t="s">
        <v>12</v>
      </c>
      <c r="D50">
        <v>2</v>
      </c>
      <c r="E50">
        <v>55</v>
      </c>
      <c r="F50">
        <v>3.9519268829895898E-2</v>
      </c>
      <c r="G50">
        <v>380</v>
      </c>
      <c r="H50">
        <v>9.2563142563091005E-2</v>
      </c>
      <c r="I50">
        <v>295</v>
      </c>
      <c r="L50">
        <v>4.0671414430261801E-2</v>
      </c>
      <c r="M50">
        <v>6.19376050768485E-2</v>
      </c>
      <c r="N50">
        <v>2016</v>
      </c>
      <c r="O50" t="s">
        <v>13</v>
      </c>
      <c r="P50" t="s">
        <v>28</v>
      </c>
      <c r="Q50" t="s">
        <v>29</v>
      </c>
      <c r="R50" t="s">
        <v>20</v>
      </c>
    </row>
    <row r="51" spans="1:18" x14ac:dyDescent="0.25">
      <c r="A51" t="s">
        <v>26</v>
      </c>
      <c r="B51" t="s">
        <v>27</v>
      </c>
      <c r="C51" t="s">
        <v>12</v>
      </c>
      <c r="D51">
        <v>2</v>
      </c>
      <c r="E51">
        <v>65</v>
      </c>
      <c r="F51">
        <v>0.109477269941659</v>
      </c>
      <c r="G51">
        <v>307</v>
      </c>
      <c r="H51">
        <v>0.14680350850784599</v>
      </c>
      <c r="I51">
        <v>206</v>
      </c>
      <c r="L51">
        <v>2.4114805660828999E-2</v>
      </c>
      <c r="M51">
        <v>3.7874320368325699E-2</v>
      </c>
      <c r="N51">
        <v>2016</v>
      </c>
      <c r="O51" t="s">
        <v>13</v>
      </c>
      <c r="P51" t="s">
        <v>28</v>
      </c>
      <c r="Q51" t="s">
        <v>29</v>
      </c>
      <c r="R51" t="s">
        <v>20</v>
      </c>
    </row>
    <row r="52" spans="1:18" x14ac:dyDescent="0.25">
      <c r="A52" t="s">
        <v>26</v>
      </c>
      <c r="B52" t="s">
        <v>27</v>
      </c>
      <c r="C52" t="s">
        <v>12</v>
      </c>
      <c r="D52">
        <v>1</v>
      </c>
      <c r="E52">
        <v>19</v>
      </c>
      <c r="F52">
        <v>1.86118788182053E-2</v>
      </c>
      <c r="G52">
        <v>23</v>
      </c>
      <c r="H52">
        <v>0.122824850997742</v>
      </c>
      <c r="I52">
        <v>11</v>
      </c>
      <c r="L52">
        <v>1.1248514484716199E-3</v>
      </c>
      <c r="M52">
        <v>9.4716986675606404E-4</v>
      </c>
      <c r="N52">
        <v>2016</v>
      </c>
      <c r="O52" t="s">
        <v>13</v>
      </c>
      <c r="P52" t="s">
        <v>28</v>
      </c>
      <c r="Q52" t="s">
        <v>29</v>
      </c>
      <c r="R52" t="s">
        <v>20</v>
      </c>
    </row>
    <row r="53" spans="1:18" x14ac:dyDescent="0.25">
      <c r="A53" t="s">
        <v>26</v>
      </c>
      <c r="B53" t="s">
        <v>27</v>
      </c>
      <c r="C53" t="s">
        <v>12</v>
      </c>
      <c r="D53">
        <v>1</v>
      </c>
      <c r="E53">
        <v>25</v>
      </c>
      <c r="F53">
        <v>8.4389386022971601E-3</v>
      </c>
      <c r="G53">
        <v>177</v>
      </c>
      <c r="H53">
        <v>3.8504028404429E-2</v>
      </c>
      <c r="I53">
        <v>118</v>
      </c>
      <c r="L53">
        <v>1.09939233456382E-2</v>
      </c>
      <c r="M53">
        <v>1.7268872680529901E-2</v>
      </c>
      <c r="N53">
        <v>2016</v>
      </c>
      <c r="O53" t="s">
        <v>13</v>
      </c>
      <c r="P53" t="s">
        <v>28</v>
      </c>
      <c r="Q53" t="s">
        <v>29</v>
      </c>
      <c r="R53" t="s">
        <v>20</v>
      </c>
    </row>
    <row r="54" spans="1:18" x14ac:dyDescent="0.25">
      <c r="A54" t="s">
        <v>26</v>
      </c>
      <c r="B54" t="s">
        <v>27</v>
      </c>
      <c r="C54" t="s">
        <v>12</v>
      </c>
      <c r="D54">
        <v>1</v>
      </c>
      <c r="E54">
        <v>35</v>
      </c>
      <c r="F54">
        <v>0</v>
      </c>
      <c r="G54">
        <v>116</v>
      </c>
      <c r="H54">
        <v>9.5790235334516402E-2</v>
      </c>
      <c r="I54">
        <v>89</v>
      </c>
      <c r="L54">
        <v>1.16867253083551E-2</v>
      </c>
      <c r="M54">
        <v>0</v>
      </c>
      <c r="N54">
        <v>2016</v>
      </c>
      <c r="O54" t="s">
        <v>13</v>
      </c>
      <c r="P54" t="s">
        <v>28</v>
      </c>
      <c r="Q54" t="s">
        <v>29</v>
      </c>
      <c r="R54" t="s">
        <v>20</v>
      </c>
    </row>
    <row r="55" spans="1:18" x14ac:dyDescent="0.25">
      <c r="A55" t="s">
        <v>26</v>
      </c>
      <c r="B55" t="s">
        <v>27</v>
      </c>
      <c r="C55" t="s">
        <v>12</v>
      </c>
      <c r="D55">
        <v>1</v>
      </c>
      <c r="E55">
        <v>45</v>
      </c>
      <c r="F55">
        <v>1.30358475676306E-2</v>
      </c>
      <c r="G55">
        <v>130</v>
      </c>
      <c r="H55">
        <v>9.0885677943055396E-2</v>
      </c>
      <c r="I55">
        <v>88</v>
      </c>
      <c r="L55">
        <v>2.1450846622548501E-2</v>
      </c>
      <c r="M55">
        <v>1.9386991355231802E-2</v>
      </c>
      <c r="N55">
        <v>2016</v>
      </c>
      <c r="O55" t="s">
        <v>13</v>
      </c>
      <c r="P55" t="s">
        <v>28</v>
      </c>
      <c r="Q55" t="s">
        <v>29</v>
      </c>
      <c r="R55" t="s">
        <v>20</v>
      </c>
    </row>
    <row r="56" spans="1:18" x14ac:dyDescent="0.25">
      <c r="A56" t="s">
        <v>26</v>
      </c>
      <c r="B56" t="s">
        <v>27</v>
      </c>
      <c r="C56" t="s">
        <v>12</v>
      </c>
      <c r="D56">
        <v>1</v>
      </c>
      <c r="E56">
        <v>55</v>
      </c>
      <c r="F56">
        <v>7.0536881434924301E-2</v>
      </c>
      <c r="G56">
        <v>151</v>
      </c>
      <c r="H56">
        <v>0.10869632543515199</v>
      </c>
      <c r="I56">
        <v>101</v>
      </c>
      <c r="L56">
        <v>2.1039122536081499E-2</v>
      </c>
      <c r="M56">
        <v>3.6961095843757098E-2</v>
      </c>
      <c r="N56">
        <v>2016</v>
      </c>
      <c r="O56" t="s">
        <v>13</v>
      </c>
      <c r="P56" t="s">
        <v>28</v>
      </c>
      <c r="Q56" t="s">
        <v>29</v>
      </c>
      <c r="R56" t="s">
        <v>20</v>
      </c>
    </row>
    <row r="57" spans="1:18" x14ac:dyDescent="0.25">
      <c r="A57" t="s">
        <v>26</v>
      </c>
      <c r="B57" t="s">
        <v>27</v>
      </c>
      <c r="C57" t="s">
        <v>12</v>
      </c>
      <c r="D57">
        <v>1</v>
      </c>
      <c r="E57">
        <v>65</v>
      </c>
      <c r="F57">
        <v>5.54003512958414E-2</v>
      </c>
      <c r="G57">
        <v>139</v>
      </c>
      <c r="H57">
        <v>0.107215338328494</v>
      </c>
      <c r="I57">
        <v>96</v>
      </c>
      <c r="L57">
        <v>2.8440473799235901E-2</v>
      </c>
      <c r="M57">
        <v>4.2167595102738403E-2</v>
      </c>
      <c r="N57">
        <v>2016</v>
      </c>
      <c r="O57" t="s">
        <v>13</v>
      </c>
      <c r="P57" t="s">
        <v>28</v>
      </c>
      <c r="Q57" t="s">
        <v>29</v>
      </c>
      <c r="R57" t="s">
        <v>20</v>
      </c>
    </row>
    <row r="58" spans="1:18" x14ac:dyDescent="0.25">
      <c r="A58" t="s">
        <v>30</v>
      </c>
      <c r="B58" t="s">
        <v>31</v>
      </c>
      <c r="C58" t="s">
        <v>12</v>
      </c>
      <c r="D58">
        <v>2</v>
      </c>
      <c r="E58">
        <v>27.5</v>
      </c>
      <c r="F58">
        <v>3.2599150794988701E-3</v>
      </c>
      <c r="G58">
        <v>146</v>
      </c>
      <c r="H58">
        <v>0.174661024601756</v>
      </c>
      <c r="I58">
        <v>138</v>
      </c>
      <c r="L58">
        <v>4.3561728707188302E-2</v>
      </c>
      <c r="M58">
        <v>1.19865848215976E-2</v>
      </c>
      <c r="N58">
        <v>2004</v>
      </c>
      <c r="O58" t="s">
        <v>13</v>
      </c>
      <c r="P58" t="s">
        <v>32</v>
      </c>
      <c r="Q58" t="s">
        <v>33</v>
      </c>
      <c r="R58" t="s">
        <v>34</v>
      </c>
    </row>
    <row r="59" spans="1:18" x14ac:dyDescent="0.25">
      <c r="A59" t="s">
        <v>30</v>
      </c>
      <c r="B59" t="s">
        <v>31</v>
      </c>
      <c r="C59" t="s">
        <v>12</v>
      </c>
      <c r="D59">
        <v>2</v>
      </c>
      <c r="E59">
        <v>35</v>
      </c>
      <c r="F59">
        <v>2.5515743401751001E-2</v>
      </c>
      <c r="G59">
        <v>329</v>
      </c>
      <c r="H59">
        <v>0.308600273172004</v>
      </c>
      <c r="I59">
        <v>311</v>
      </c>
      <c r="L59">
        <v>4.21327005815866E-2</v>
      </c>
      <c r="M59">
        <v>1.1339175668450699E-2</v>
      </c>
      <c r="N59">
        <v>2004</v>
      </c>
      <c r="O59" t="s">
        <v>13</v>
      </c>
      <c r="P59" t="s">
        <v>32</v>
      </c>
      <c r="Q59" t="s">
        <v>33</v>
      </c>
      <c r="R59" t="s">
        <v>34</v>
      </c>
    </row>
    <row r="60" spans="1:18" x14ac:dyDescent="0.25">
      <c r="A60" t="s">
        <v>30</v>
      </c>
      <c r="B60" t="s">
        <v>31</v>
      </c>
      <c r="C60" t="s">
        <v>12</v>
      </c>
      <c r="D60">
        <v>2</v>
      </c>
      <c r="E60">
        <v>45</v>
      </c>
      <c r="F60">
        <v>6.4532462083000897E-2</v>
      </c>
      <c r="G60">
        <v>341</v>
      </c>
      <c r="H60">
        <v>0.48705708592486702</v>
      </c>
      <c r="I60">
        <v>309</v>
      </c>
      <c r="L60">
        <v>3.0129820761569101E-2</v>
      </c>
      <c r="M60">
        <v>4.8916920511262096E-3</v>
      </c>
      <c r="N60">
        <v>2004</v>
      </c>
      <c r="O60" t="s">
        <v>13</v>
      </c>
      <c r="P60" t="s">
        <v>32</v>
      </c>
      <c r="Q60" t="s">
        <v>33</v>
      </c>
      <c r="R60" t="s">
        <v>34</v>
      </c>
    </row>
    <row r="61" spans="1:18" x14ac:dyDescent="0.25">
      <c r="A61" t="s">
        <v>30</v>
      </c>
      <c r="B61" t="s">
        <v>31</v>
      </c>
      <c r="C61" t="s">
        <v>12</v>
      </c>
      <c r="D61">
        <v>2</v>
      </c>
      <c r="E61">
        <v>55</v>
      </c>
      <c r="F61">
        <v>0.17606504434151199</v>
      </c>
      <c r="G61">
        <v>179</v>
      </c>
      <c r="H61">
        <v>0.55208803621905</v>
      </c>
      <c r="I61">
        <v>140</v>
      </c>
      <c r="L61">
        <v>4.2147132118684198E-2</v>
      </c>
      <c r="M61">
        <v>7.8211690139565505E-3</v>
      </c>
      <c r="N61">
        <v>2004</v>
      </c>
      <c r="O61" t="s">
        <v>13</v>
      </c>
      <c r="P61" t="s">
        <v>32</v>
      </c>
      <c r="Q61" t="s">
        <v>33</v>
      </c>
      <c r="R61" t="s">
        <v>34</v>
      </c>
    </row>
    <row r="62" spans="1:18" x14ac:dyDescent="0.25">
      <c r="A62" t="s">
        <v>30</v>
      </c>
      <c r="B62" t="s">
        <v>31</v>
      </c>
      <c r="C62" t="s">
        <v>12</v>
      </c>
      <c r="D62">
        <v>2</v>
      </c>
      <c r="E62">
        <v>62.5</v>
      </c>
      <c r="F62">
        <v>0.217323540758915</v>
      </c>
      <c r="G62">
        <v>66</v>
      </c>
      <c r="H62">
        <v>0.53910630363317702</v>
      </c>
      <c r="I62">
        <v>47</v>
      </c>
      <c r="L62">
        <v>5.2240768493009099E-2</v>
      </c>
      <c r="M62">
        <v>1.1235188109705399E-2</v>
      </c>
      <c r="N62">
        <v>2004</v>
      </c>
      <c r="O62" t="s">
        <v>13</v>
      </c>
      <c r="P62" t="s">
        <v>32</v>
      </c>
      <c r="Q62" t="s">
        <v>33</v>
      </c>
      <c r="R62" t="s">
        <v>34</v>
      </c>
    </row>
    <row r="63" spans="1:18" x14ac:dyDescent="0.25">
      <c r="A63" t="s">
        <v>30</v>
      </c>
      <c r="B63" t="s">
        <v>31</v>
      </c>
      <c r="C63" t="s">
        <v>12</v>
      </c>
      <c r="D63">
        <v>1</v>
      </c>
      <c r="E63">
        <v>27.5</v>
      </c>
      <c r="F63">
        <v>8.3129279726761908E-3</v>
      </c>
      <c r="G63">
        <v>126</v>
      </c>
      <c r="H63">
        <v>0.24374548820678099</v>
      </c>
      <c r="I63">
        <v>118</v>
      </c>
      <c r="L63">
        <v>2.9471723032924099E-2</v>
      </c>
      <c r="M63">
        <v>7.3465432060054398E-3</v>
      </c>
      <c r="N63">
        <v>2004</v>
      </c>
      <c r="O63" t="s">
        <v>13</v>
      </c>
      <c r="P63" t="s">
        <v>32</v>
      </c>
      <c r="Q63" t="s">
        <v>33</v>
      </c>
      <c r="R63" t="s">
        <v>34</v>
      </c>
    </row>
    <row r="64" spans="1:18" x14ac:dyDescent="0.25">
      <c r="A64" t="s">
        <v>30</v>
      </c>
      <c r="B64" t="s">
        <v>31</v>
      </c>
      <c r="C64" t="s">
        <v>12</v>
      </c>
      <c r="D64">
        <v>1</v>
      </c>
      <c r="E64">
        <v>35</v>
      </c>
      <c r="F64">
        <v>7.43188802030007E-3</v>
      </c>
      <c r="G64">
        <v>278</v>
      </c>
      <c r="H64">
        <v>0.34254440387919699</v>
      </c>
      <c r="I64">
        <v>265</v>
      </c>
      <c r="L64">
        <v>3.1830932558430697E-2</v>
      </c>
      <c r="M64">
        <v>4.8617932441894704E-3</v>
      </c>
      <c r="N64">
        <v>2004</v>
      </c>
      <c r="O64" t="s">
        <v>13</v>
      </c>
      <c r="P64" t="s">
        <v>32</v>
      </c>
      <c r="Q64" t="s">
        <v>33</v>
      </c>
      <c r="R64" t="s">
        <v>34</v>
      </c>
    </row>
    <row r="65" spans="1:18" x14ac:dyDescent="0.25">
      <c r="A65" t="s">
        <v>30</v>
      </c>
      <c r="B65" t="s">
        <v>31</v>
      </c>
      <c r="C65" t="s">
        <v>12</v>
      </c>
      <c r="D65">
        <v>1</v>
      </c>
      <c r="E65">
        <v>45</v>
      </c>
      <c r="F65">
        <v>6.0629403903017902E-2</v>
      </c>
      <c r="G65">
        <v>281</v>
      </c>
      <c r="H65">
        <v>0.50079277325445604</v>
      </c>
      <c r="I65">
        <v>247</v>
      </c>
      <c r="L65">
        <v>2.4100840345993701E-2</v>
      </c>
      <c r="M65">
        <v>3.5341673380205399E-3</v>
      </c>
      <c r="N65">
        <v>2004</v>
      </c>
      <c r="O65" t="s">
        <v>13</v>
      </c>
      <c r="P65" t="s">
        <v>32</v>
      </c>
      <c r="Q65" t="s">
        <v>33</v>
      </c>
      <c r="R65" t="s">
        <v>34</v>
      </c>
    </row>
    <row r="66" spans="1:18" x14ac:dyDescent="0.25">
      <c r="A66" t="s">
        <v>30</v>
      </c>
      <c r="B66" t="s">
        <v>31</v>
      </c>
      <c r="C66" t="s">
        <v>12</v>
      </c>
      <c r="D66">
        <v>1</v>
      </c>
      <c r="E66">
        <v>55</v>
      </c>
      <c r="F66">
        <v>0.171536967641401</v>
      </c>
      <c r="G66">
        <v>188</v>
      </c>
      <c r="H66">
        <v>0.575320684297567</v>
      </c>
      <c r="I66">
        <v>151</v>
      </c>
      <c r="L66">
        <v>2.8490367626648701E-2</v>
      </c>
      <c r="M66">
        <v>4.3611346192377904E-3</v>
      </c>
      <c r="N66">
        <v>2004</v>
      </c>
      <c r="O66" t="s">
        <v>13</v>
      </c>
      <c r="P66" t="s">
        <v>32</v>
      </c>
      <c r="Q66" t="s">
        <v>33</v>
      </c>
      <c r="R66" t="s">
        <v>34</v>
      </c>
    </row>
    <row r="67" spans="1:18" x14ac:dyDescent="0.25">
      <c r="A67" t="s">
        <v>30</v>
      </c>
      <c r="B67" t="s">
        <v>31</v>
      </c>
      <c r="C67" t="s">
        <v>12</v>
      </c>
      <c r="D67">
        <v>1</v>
      </c>
      <c r="E67">
        <v>62.5</v>
      </c>
      <c r="F67">
        <v>0.214093750767688</v>
      </c>
      <c r="G67">
        <v>72</v>
      </c>
      <c r="H67">
        <v>0.56923794922689896</v>
      </c>
      <c r="I67">
        <v>54</v>
      </c>
      <c r="L67">
        <v>3.61850754110297E-2</v>
      </c>
      <c r="M67">
        <v>6.3963213110634397E-3</v>
      </c>
      <c r="N67">
        <v>2004</v>
      </c>
      <c r="O67" t="s">
        <v>13</v>
      </c>
      <c r="P67" t="s">
        <v>32</v>
      </c>
      <c r="Q67" t="s">
        <v>33</v>
      </c>
      <c r="R67" t="s">
        <v>34</v>
      </c>
    </row>
    <row r="68" spans="1:18" x14ac:dyDescent="0.25">
      <c r="A68" t="s">
        <v>35</v>
      </c>
      <c r="B68" t="s">
        <v>36</v>
      </c>
      <c r="C68" t="s">
        <v>12</v>
      </c>
      <c r="D68">
        <v>2</v>
      </c>
      <c r="E68">
        <v>19</v>
      </c>
      <c r="F68">
        <v>0</v>
      </c>
      <c r="G68">
        <v>28</v>
      </c>
      <c r="H68">
        <v>3.42771845595487E-3</v>
      </c>
      <c r="I68">
        <v>26</v>
      </c>
      <c r="L68">
        <v>0.12537749831907199</v>
      </c>
      <c r="M68">
        <v>0</v>
      </c>
      <c r="N68">
        <v>2017</v>
      </c>
      <c r="O68" t="s">
        <v>13</v>
      </c>
      <c r="P68" t="s">
        <v>37</v>
      </c>
      <c r="Q68" t="s">
        <v>29</v>
      </c>
      <c r="R68" t="s">
        <v>20</v>
      </c>
    </row>
    <row r="69" spans="1:18" x14ac:dyDescent="0.25">
      <c r="A69" t="s">
        <v>35</v>
      </c>
      <c r="B69" t="s">
        <v>36</v>
      </c>
      <c r="C69" t="s">
        <v>12</v>
      </c>
      <c r="D69">
        <v>2</v>
      </c>
      <c r="E69">
        <v>25</v>
      </c>
      <c r="F69">
        <v>9.1042313952549702E-3</v>
      </c>
      <c r="G69">
        <v>226</v>
      </c>
      <c r="H69">
        <v>3.6326536103989601E-2</v>
      </c>
      <c r="I69">
        <v>208</v>
      </c>
      <c r="L69">
        <v>1.47881520030279E-2</v>
      </c>
      <c r="M69">
        <v>2.4073747294353999E-2</v>
      </c>
      <c r="N69">
        <v>2017</v>
      </c>
      <c r="O69" t="s">
        <v>13</v>
      </c>
      <c r="P69" t="s">
        <v>37</v>
      </c>
      <c r="Q69" t="s">
        <v>29</v>
      </c>
      <c r="R69" t="s">
        <v>20</v>
      </c>
    </row>
    <row r="70" spans="1:18" x14ac:dyDescent="0.25">
      <c r="A70" t="s">
        <v>35</v>
      </c>
      <c r="B70" t="s">
        <v>36</v>
      </c>
      <c r="C70" t="s">
        <v>12</v>
      </c>
      <c r="D70">
        <v>2</v>
      </c>
      <c r="E70">
        <v>35</v>
      </c>
      <c r="F70">
        <v>1.7649131318855898E-2</v>
      </c>
      <c r="G70">
        <v>320</v>
      </c>
      <c r="H70">
        <v>5.74653292161586E-2</v>
      </c>
      <c r="I70">
        <v>293</v>
      </c>
      <c r="L70">
        <v>2.1828788228112701E-2</v>
      </c>
      <c r="M70">
        <v>3.2474548412954003E-2</v>
      </c>
      <c r="N70">
        <v>2017</v>
      </c>
      <c r="O70" t="s">
        <v>13</v>
      </c>
      <c r="P70" t="s">
        <v>37</v>
      </c>
      <c r="Q70" t="s">
        <v>29</v>
      </c>
      <c r="R70" t="s">
        <v>20</v>
      </c>
    </row>
    <row r="71" spans="1:18" x14ac:dyDescent="0.25">
      <c r="A71" t="s">
        <v>35</v>
      </c>
      <c r="B71" t="s">
        <v>36</v>
      </c>
      <c r="C71" t="s">
        <v>12</v>
      </c>
      <c r="D71">
        <v>2</v>
      </c>
      <c r="E71">
        <v>45</v>
      </c>
      <c r="F71">
        <v>3.0067355129918299E-2</v>
      </c>
      <c r="G71">
        <v>332</v>
      </c>
      <c r="H71">
        <v>7.1539628273704595E-2</v>
      </c>
      <c r="I71">
        <v>310</v>
      </c>
      <c r="L71">
        <v>3.2998783592516803E-2</v>
      </c>
      <c r="M71">
        <v>5.2071800687599402E-2</v>
      </c>
      <c r="N71">
        <v>2017</v>
      </c>
      <c r="O71" t="s">
        <v>13</v>
      </c>
      <c r="P71" t="s">
        <v>37</v>
      </c>
      <c r="Q71" t="s">
        <v>29</v>
      </c>
      <c r="R71" t="s">
        <v>20</v>
      </c>
    </row>
    <row r="72" spans="1:18" x14ac:dyDescent="0.25">
      <c r="A72" t="s">
        <v>35</v>
      </c>
      <c r="B72" t="s">
        <v>36</v>
      </c>
      <c r="C72" t="s">
        <v>12</v>
      </c>
      <c r="D72">
        <v>2</v>
      </c>
      <c r="E72">
        <v>55</v>
      </c>
      <c r="F72">
        <v>8.4014038714836398E-2</v>
      </c>
      <c r="G72">
        <v>488</v>
      </c>
      <c r="H72">
        <v>0.116089096994972</v>
      </c>
      <c r="I72">
        <v>423</v>
      </c>
      <c r="L72">
        <v>3.9798119086831202E-2</v>
      </c>
      <c r="M72">
        <v>7.0635143486951296E-2</v>
      </c>
      <c r="N72">
        <v>2017</v>
      </c>
      <c r="O72" t="s">
        <v>13</v>
      </c>
      <c r="P72" t="s">
        <v>37</v>
      </c>
      <c r="Q72" t="s">
        <v>29</v>
      </c>
      <c r="R72" t="s">
        <v>20</v>
      </c>
    </row>
    <row r="73" spans="1:18" x14ac:dyDescent="0.25">
      <c r="A73" t="s">
        <v>35</v>
      </c>
      <c r="B73" t="s">
        <v>36</v>
      </c>
      <c r="C73" t="s">
        <v>12</v>
      </c>
      <c r="D73">
        <v>2</v>
      </c>
      <c r="E73">
        <v>65</v>
      </c>
      <c r="F73">
        <v>0.20236182409679099</v>
      </c>
      <c r="G73">
        <v>248</v>
      </c>
      <c r="H73">
        <v>0.180591409182533</v>
      </c>
      <c r="I73">
        <v>189</v>
      </c>
      <c r="L73">
        <v>2.5896043190509001E-2</v>
      </c>
      <c r="M73">
        <v>4.6571366129291102E-2</v>
      </c>
      <c r="N73">
        <v>2017</v>
      </c>
      <c r="O73" t="s">
        <v>13</v>
      </c>
      <c r="P73" t="s">
        <v>37</v>
      </c>
      <c r="Q73" t="s">
        <v>29</v>
      </c>
      <c r="R73" t="s">
        <v>20</v>
      </c>
    </row>
    <row r="74" spans="1:18" x14ac:dyDescent="0.25">
      <c r="A74" t="s">
        <v>35</v>
      </c>
      <c r="B74" t="s">
        <v>36</v>
      </c>
      <c r="C74" t="s">
        <v>12</v>
      </c>
      <c r="D74">
        <v>1</v>
      </c>
      <c r="E74">
        <v>19</v>
      </c>
      <c r="F74">
        <v>0</v>
      </c>
      <c r="G74">
        <v>21</v>
      </c>
      <c r="H74">
        <v>7.5333146298997497E-3</v>
      </c>
      <c r="I74">
        <v>20</v>
      </c>
      <c r="L74">
        <v>0.14054626019598199</v>
      </c>
      <c r="M74">
        <v>0</v>
      </c>
      <c r="N74">
        <v>2017</v>
      </c>
      <c r="O74" t="s">
        <v>13</v>
      </c>
      <c r="P74" t="s">
        <v>37</v>
      </c>
      <c r="Q74" t="s">
        <v>29</v>
      </c>
      <c r="R74" t="s">
        <v>20</v>
      </c>
    </row>
    <row r="75" spans="1:18" x14ac:dyDescent="0.25">
      <c r="A75" t="s">
        <v>35</v>
      </c>
      <c r="B75" t="s">
        <v>36</v>
      </c>
      <c r="C75" t="s">
        <v>12</v>
      </c>
      <c r="D75">
        <v>1</v>
      </c>
      <c r="E75">
        <v>25</v>
      </c>
      <c r="F75">
        <v>0</v>
      </c>
      <c r="G75">
        <v>192</v>
      </c>
      <c r="H75">
        <v>3.3933919962843E-2</v>
      </c>
      <c r="I75">
        <v>181</v>
      </c>
      <c r="L75">
        <v>1.7396371598678899E-2</v>
      </c>
      <c r="M75">
        <v>0</v>
      </c>
      <c r="N75">
        <v>2017</v>
      </c>
      <c r="O75" t="s">
        <v>13</v>
      </c>
      <c r="P75" t="s">
        <v>37</v>
      </c>
      <c r="Q75" t="s">
        <v>29</v>
      </c>
      <c r="R75" t="s">
        <v>20</v>
      </c>
    </row>
    <row r="76" spans="1:18" x14ac:dyDescent="0.25">
      <c r="A76" t="s">
        <v>35</v>
      </c>
      <c r="B76" t="s">
        <v>36</v>
      </c>
      <c r="C76" t="s">
        <v>12</v>
      </c>
      <c r="D76">
        <v>1</v>
      </c>
      <c r="E76">
        <v>35</v>
      </c>
      <c r="F76">
        <v>0</v>
      </c>
      <c r="G76">
        <v>208</v>
      </c>
      <c r="H76">
        <v>4.1606508270765799E-2</v>
      </c>
      <c r="I76">
        <v>193</v>
      </c>
      <c r="L76">
        <v>3.84183229652185E-2</v>
      </c>
      <c r="M76">
        <v>0</v>
      </c>
      <c r="N76">
        <v>2017</v>
      </c>
      <c r="O76" t="s">
        <v>13</v>
      </c>
      <c r="P76" t="s">
        <v>37</v>
      </c>
      <c r="Q76" t="s">
        <v>29</v>
      </c>
      <c r="R76" t="s">
        <v>20</v>
      </c>
    </row>
    <row r="77" spans="1:18" x14ac:dyDescent="0.25">
      <c r="A77" t="s">
        <v>35</v>
      </c>
      <c r="B77" t="s">
        <v>36</v>
      </c>
      <c r="C77" t="s">
        <v>12</v>
      </c>
      <c r="D77">
        <v>1</v>
      </c>
      <c r="E77">
        <v>45</v>
      </c>
      <c r="F77">
        <v>1.58706097590477E-2</v>
      </c>
      <c r="G77">
        <v>224</v>
      </c>
      <c r="H77">
        <v>5.90356804779648E-2</v>
      </c>
      <c r="I77">
        <v>208</v>
      </c>
      <c r="L77">
        <v>7.7519899609588896E-2</v>
      </c>
      <c r="M77">
        <v>0.117995498386475</v>
      </c>
      <c r="N77">
        <v>2017</v>
      </c>
      <c r="O77" t="s">
        <v>13</v>
      </c>
      <c r="P77" t="s">
        <v>37</v>
      </c>
      <c r="Q77" t="s">
        <v>29</v>
      </c>
      <c r="R77" t="s">
        <v>20</v>
      </c>
    </row>
    <row r="78" spans="1:18" x14ac:dyDescent="0.25">
      <c r="A78" t="s">
        <v>35</v>
      </c>
      <c r="B78" t="s">
        <v>36</v>
      </c>
      <c r="C78" t="s">
        <v>12</v>
      </c>
      <c r="D78">
        <v>1</v>
      </c>
      <c r="E78">
        <v>55</v>
      </c>
      <c r="F78">
        <v>6.4576085141027598E-2</v>
      </c>
      <c r="G78">
        <v>278</v>
      </c>
      <c r="H78">
        <v>0.113246340718168</v>
      </c>
      <c r="I78">
        <v>246</v>
      </c>
      <c r="L78">
        <v>2.8862494590886099E-2</v>
      </c>
      <c r="M78">
        <v>4.2606959449592301E-2</v>
      </c>
      <c r="N78">
        <v>2017</v>
      </c>
      <c r="O78" t="s">
        <v>13</v>
      </c>
      <c r="P78" t="s">
        <v>37</v>
      </c>
      <c r="Q78" t="s">
        <v>29</v>
      </c>
      <c r="R78" t="s">
        <v>20</v>
      </c>
    </row>
    <row r="79" spans="1:18" x14ac:dyDescent="0.25">
      <c r="A79" t="s">
        <v>35</v>
      </c>
      <c r="B79" t="s">
        <v>36</v>
      </c>
      <c r="C79" t="s">
        <v>12</v>
      </c>
      <c r="D79">
        <v>1</v>
      </c>
      <c r="E79">
        <v>65</v>
      </c>
      <c r="F79">
        <v>0.12978130392604401</v>
      </c>
      <c r="G79">
        <v>213</v>
      </c>
      <c r="H79">
        <v>0.13617783222982599</v>
      </c>
      <c r="I79">
        <v>179</v>
      </c>
      <c r="L79">
        <v>3.5515513277600802E-2</v>
      </c>
      <c r="M79">
        <v>6.3328973735468405E-2</v>
      </c>
      <c r="N79">
        <v>2017</v>
      </c>
      <c r="O79" t="s">
        <v>13</v>
      </c>
      <c r="P79" t="s">
        <v>37</v>
      </c>
      <c r="Q79" t="s">
        <v>29</v>
      </c>
      <c r="R79" t="s">
        <v>20</v>
      </c>
    </row>
    <row r="80" spans="1:18" x14ac:dyDescent="0.25">
      <c r="A80" t="s">
        <v>38</v>
      </c>
      <c r="B80" t="s">
        <v>39</v>
      </c>
      <c r="C80" t="s">
        <v>40</v>
      </c>
      <c r="D80">
        <v>2</v>
      </c>
      <c r="E80">
        <v>27.5</v>
      </c>
      <c r="F80">
        <v>0</v>
      </c>
      <c r="G80">
        <v>379</v>
      </c>
      <c r="H80">
        <v>6.46735758485531E-2</v>
      </c>
      <c r="I80">
        <v>247</v>
      </c>
      <c r="L80">
        <v>3.4566751691098699E-2</v>
      </c>
      <c r="M80">
        <v>0</v>
      </c>
      <c r="N80">
        <v>2007</v>
      </c>
      <c r="O80" t="s">
        <v>41</v>
      </c>
      <c r="P80" t="s">
        <v>42</v>
      </c>
      <c r="Q80" t="s">
        <v>43</v>
      </c>
      <c r="R80" t="s">
        <v>44</v>
      </c>
    </row>
    <row r="81" spans="1:18" x14ac:dyDescent="0.25">
      <c r="A81" t="s">
        <v>38</v>
      </c>
      <c r="B81" t="s">
        <v>39</v>
      </c>
      <c r="C81" t="s">
        <v>40</v>
      </c>
      <c r="D81">
        <v>2</v>
      </c>
      <c r="E81">
        <v>35</v>
      </c>
      <c r="F81">
        <v>0</v>
      </c>
      <c r="G81">
        <v>468</v>
      </c>
      <c r="H81">
        <v>8.3221029879676098E-2</v>
      </c>
      <c r="I81">
        <v>291</v>
      </c>
      <c r="L81">
        <v>5.3498694871707601E-2</v>
      </c>
      <c r="M81">
        <v>0</v>
      </c>
      <c r="N81">
        <v>2007</v>
      </c>
      <c r="O81" t="s">
        <v>41</v>
      </c>
      <c r="P81" t="s">
        <v>42</v>
      </c>
      <c r="Q81" t="s">
        <v>43</v>
      </c>
      <c r="R81" t="s">
        <v>44</v>
      </c>
    </row>
    <row r="82" spans="1:18" x14ac:dyDescent="0.25">
      <c r="A82" t="s">
        <v>38</v>
      </c>
      <c r="B82" t="s">
        <v>39</v>
      </c>
      <c r="C82" t="s">
        <v>40</v>
      </c>
      <c r="D82">
        <v>2</v>
      </c>
      <c r="E82">
        <v>45</v>
      </c>
      <c r="F82">
        <v>1.3986013986014E-2</v>
      </c>
      <c r="G82">
        <v>286</v>
      </c>
      <c r="H82">
        <v>0.12727064847212</v>
      </c>
      <c r="I82">
        <v>199</v>
      </c>
      <c r="L82">
        <v>6.0138680164081602E-2</v>
      </c>
      <c r="M82">
        <v>3.8487690685865002E-2</v>
      </c>
      <c r="N82">
        <v>2007</v>
      </c>
      <c r="O82" t="s">
        <v>41</v>
      </c>
      <c r="P82" t="s">
        <v>42</v>
      </c>
      <c r="Q82" t="s">
        <v>43</v>
      </c>
      <c r="R82" t="s">
        <v>44</v>
      </c>
    </row>
    <row r="83" spans="1:18" x14ac:dyDescent="0.25">
      <c r="A83" t="s">
        <v>38</v>
      </c>
      <c r="B83" t="s">
        <v>39</v>
      </c>
      <c r="C83" t="s">
        <v>40</v>
      </c>
      <c r="D83">
        <v>2</v>
      </c>
      <c r="E83">
        <v>55</v>
      </c>
      <c r="F83">
        <v>2.1739130434782601E-2</v>
      </c>
      <c r="G83">
        <v>230</v>
      </c>
      <c r="H83">
        <v>0.10927133543187401</v>
      </c>
      <c r="I83">
        <v>138</v>
      </c>
      <c r="L83">
        <v>0.10767476138367001</v>
      </c>
      <c r="M83">
        <v>0.105161454238979</v>
      </c>
      <c r="N83">
        <v>2007</v>
      </c>
      <c r="O83" t="s">
        <v>41</v>
      </c>
      <c r="P83" t="s">
        <v>42</v>
      </c>
      <c r="Q83" t="s">
        <v>43</v>
      </c>
      <c r="R83" t="s">
        <v>44</v>
      </c>
    </row>
    <row r="84" spans="1:18" x14ac:dyDescent="0.25">
      <c r="A84" t="s">
        <v>38</v>
      </c>
      <c r="B84" t="s">
        <v>39</v>
      </c>
      <c r="C84" t="s">
        <v>40</v>
      </c>
      <c r="D84">
        <v>2</v>
      </c>
      <c r="E84">
        <v>62.5</v>
      </c>
      <c r="F84">
        <v>6.2068965517241399E-2</v>
      </c>
      <c r="G84">
        <v>145</v>
      </c>
      <c r="H84">
        <v>0.186314880341022</v>
      </c>
      <c r="I84">
        <v>90</v>
      </c>
      <c r="L84">
        <v>8.1415448577102506E-2</v>
      </c>
      <c r="M84">
        <v>7.1960275008124394E-2</v>
      </c>
      <c r="N84">
        <v>2007</v>
      </c>
      <c r="O84" t="s">
        <v>41</v>
      </c>
      <c r="P84" t="s">
        <v>42</v>
      </c>
      <c r="Q84" t="s">
        <v>43</v>
      </c>
      <c r="R84" t="s">
        <v>44</v>
      </c>
    </row>
    <row r="85" spans="1:18" x14ac:dyDescent="0.25">
      <c r="A85" t="s">
        <v>38</v>
      </c>
      <c r="B85" t="s">
        <v>39</v>
      </c>
      <c r="C85" t="s">
        <v>40</v>
      </c>
      <c r="D85">
        <v>1</v>
      </c>
      <c r="E85">
        <v>27.5</v>
      </c>
      <c r="F85">
        <v>4.11522633744856E-3</v>
      </c>
      <c r="G85">
        <v>243</v>
      </c>
      <c r="H85">
        <v>3.1161990538952002E-2</v>
      </c>
      <c r="I85">
        <v>151</v>
      </c>
      <c r="L85">
        <v>5.9108837209220999E-2</v>
      </c>
      <c r="M85">
        <v>7.7392557504531695E-2</v>
      </c>
      <c r="N85">
        <v>2007</v>
      </c>
      <c r="O85" t="s">
        <v>41</v>
      </c>
      <c r="P85" t="s">
        <v>42</v>
      </c>
      <c r="Q85" t="s">
        <v>43</v>
      </c>
      <c r="R85" t="s">
        <v>44</v>
      </c>
    </row>
    <row r="86" spans="1:18" x14ac:dyDescent="0.25">
      <c r="A86" t="s">
        <v>38</v>
      </c>
      <c r="B86" t="s">
        <v>39</v>
      </c>
      <c r="C86" t="s">
        <v>40</v>
      </c>
      <c r="D86">
        <v>1</v>
      </c>
      <c r="E86">
        <v>35</v>
      </c>
      <c r="F86">
        <v>3.2362459546925598E-3</v>
      </c>
      <c r="G86">
        <v>309</v>
      </c>
      <c r="H86">
        <v>6.7680940784189805E-2</v>
      </c>
      <c r="I86">
        <v>183</v>
      </c>
      <c r="L86">
        <v>4.01777187031747E-2</v>
      </c>
      <c r="M86">
        <v>2.5283702405431398E-2</v>
      </c>
      <c r="N86">
        <v>2007</v>
      </c>
      <c r="O86" t="s">
        <v>41</v>
      </c>
      <c r="P86" t="s">
        <v>42</v>
      </c>
      <c r="Q86" t="s">
        <v>43</v>
      </c>
      <c r="R86" t="s">
        <v>44</v>
      </c>
    </row>
    <row r="87" spans="1:18" x14ac:dyDescent="0.25">
      <c r="A87" t="s">
        <v>38</v>
      </c>
      <c r="B87" t="s">
        <v>39</v>
      </c>
      <c r="C87" t="s">
        <v>40</v>
      </c>
      <c r="D87">
        <v>1</v>
      </c>
      <c r="E87">
        <v>45</v>
      </c>
      <c r="F87">
        <v>9.8039215686274508E-3</v>
      </c>
      <c r="G87">
        <v>204</v>
      </c>
      <c r="H87">
        <v>0.108714203826082</v>
      </c>
      <c r="I87">
        <v>119</v>
      </c>
      <c r="L87">
        <v>6.1681306046105999E-2</v>
      </c>
      <c r="M87">
        <v>3.8723510498339497E-2</v>
      </c>
      <c r="N87">
        <v>2007</v>
      </c>
      <c r="O87" t="s">
        <v>41</v>
      </c>
      <c r="P87" t="s">
        <v>42</v>
      </c>
      <c r="Q87" t="s">
        <v>43</v>
      </c>
      <c r="R87" t="s">
        <v>44</v>
      </c>
    </row>
    <row r="88" spans="1:18" x14ac:dyDescent="0.25">
      <c r="A88" t="s">
        <v>38</v>
      </c>
      <c r="B88" t="s">
        <v>39</v>
      </c>
      <c r="C88" t="s">
        <v>40</v>
      </c>
      <c r="D88">
        <v>1</v>
      </c>
      <c r="E88">
        <v>55</v>
      </c>
      <c r="F88">
        <v>2.3622047244094498E-2</v>
      </c>
      <c r="G88">
        <v>127</v>
      </c>
      <c r="H88">
        <v>0.21058264846006</v>
      </c>
      <c r="I88">
        <v>83</v>
      </c>
      <c r="L88">
        <v>3.8360246994427902E-2</v>
      </c>
      <c r="M88">
        <v>1.69373733171428E-2</v>
      </c>
      <c r="N88">
        <v>2007</v>
      </c>
      <c r="O88" t="s">
        <v>41</v>
      </c>
      <c r="P88" t="s">
        <v>42</v>
      </c>
      <c r="Q88" t="s">
        <v>43</v>
      </c>
      <c r="R88" t="s">
        <v>44</v>
      </c>
    </row>
    <row r="89" spans="1:18" x14ac:dyDescent="0.25">
      <c r="A89" t="s">
        <v>38</v>
      </c>
      <c r="B89" t="s">
        <v>39</v>
      </c>
      <c r="C89" t="s">
        <v>40</v>
      </c>
      <c r="D89">
        <v>1</v>
      </c>
      <c r="E89">
        <v>62.5</v>
      </c>
      <c r="F89">
        <v>5.5555555555555601E-2</v>
      </c>
      <c r="G89">
        <v>72</v>
      </c>
      <c r="H89">
        <v>0.18284048643046999</v>
      </c>
      <c r="I89">
        <v>45</v>
      </c>
      <c r="L89">
        <v>5.72291668057699E-2</v>
      </c>
      <c r="M89">
        <v>4.65577009520639E-2</v>
      </c>
      <c r="N89">
        <v>2007</v>
      </c>
      <c r="O89" t="s">
        <v>41</v>
      </c>
      <c r="P89" t="s">
        <v>42</v>
      </c>
      <c r="Q89" t="s">
        <v>43</v>
      </c>
      <c r="R89" t="s">
        <v>44</v>
      </c>
    </row>
    <row r="90" spans="1:18" x14ac:dyDescent="0.25">
      <c r="A90" t="s">
        <v>38</v>
      </c>
      <c r="B90" t="s">
        <v>45</v>
      </c>
      <c r="C90" t="s">
        <v>12</v>
      </c>
      <c r="D90">
        <v>2</v>
      </c>
      <c r="E90">
        <v>27.5</v>
      </c>
      <c r="F90">
        <v>1.76991150442478E-3</v>
      </c>
      <c r="G90">
        <v>565</v>
      </c>
      <c r="H90">
        <v>8.5990959922443103E-3</v>
      </c>
      <c r="I90">
        <v>236</v>
      </c>
      <c r="L90">
        <v>9.1819048287279201E-2</v>
      </c>
      <c r="M90">
        <v>0.29659956667586901</v>
      </c>
      <c r="N90">
        <v>2008</v>
      </c>
      <c r="O90" t="s">
        <v>13</v>
      </c>
      <c r="P90" t="s">
        <v>42</v>
      </c>
      <c r="Q90" t="s">
        <v>43</v>
      </c>
      <c r="R90" t="s">
        <v>44</v>
      </c>
    </row>
    <row r="91" spans="1:18" x14ac:dyDescent="0.25">
      <c r="A91" t="s">
        <v>38</v>
      </c>
      <c r="B91" t="s">
        <v>45</v>
      </c>
      <c r="C91" t="s">
        <v>12</v>
      </c>
      <c r="D91">
        <v>2</v>
      </c>
      <c r="E91">
        <v>35</v>
      </c>
      <c r="F91">
        <v>0</v>
      </c>
      <c r="G91">
        <v>849</v>
      </c>
      <c r="H91">
        <v>1.1611261995266501E-2</v>
      </c>
      <c r="I91">
        <v>377</v>
      </c>
      <c r="L91">
        <v>0.139996852711081</v>
      </c>
      <c r="M91">
        <v>0</v>
      </c>
      <c r="N91">
        <v>2008</v>
      </c>
      <c r="O91" t="s">
        <v>13</v>
      </c>
      <c r="P91" t="s">
        <v>42</v>
      </c>
      <c r="Q91" t="s">
        <v>43</v>
      </c>
      <c r="R91" t="s">
        <v>44</v>
      </c>
    </row>
    <row r="92" spans="1:18" x14ac:dyDescent="0.25">
      <c r="A92" t="s">
        <v>38</v>
      </c>
      <c r="B92" t="s">
        <v>45</v>
      </c>
      <c r="C92" t="s">
        <v>12</v>
      </c>
      <c r="D92">
        <v>2</v>
      </c>
      <c r="E92">
        <v>45</v>
      </c>
      <c r="F92">
        <v>5.6657223796033997E-3</v>
      </c>
      <c r="G92">
        <v>706</v>
      </c>
      <c r="H92">
        <v>2.7453250028588599E-2</v>
      </c>
      <c r="I92">
        <v>354</v>
      </c>
      <c r="L92">
        <v>5.6234982049438602E-2</v>
      </c>
      <c r="M92">
        <v>0.101256509135994</v>
      </c>
      <c r="N92">
        <v>2008</v>
      </c>
      <c r="O92" t="s">
        <v>13</v>
      </c>
      <c r="P92" t="s">
        <v>42</v>
      </c>
      <c r="Q92" t="s">
        <v>43</v>
      </c>
      <c r="R92" t="s">
        <v>44</v>
      </c>
    </row>
    <row r="93" spans="1:18" x14ac:dyDescent="0.25">
      <c r="A93" t="s">
        <v>38</v>
      </c>
      <c r="B93" t="s">
        <v>45</v>
      </c>
      <c r="C93" t="s">
        <v>12</v>
      </c>
      <c r="D93">
        <v>2</v>
      </c>
      <c r="E93">
        <v>55</v>
      </c>
      <c r="F93">
        <v>7.6824583866837402E-3</v>
      </c>
      <c r="G93">
        <v>781</v>
      </c>
      <c r="H93">
        <v>5.07489937953675E-2</v>
      </c>
      <c r="I93">
        <v>371</v>
      </c>
      <c r="L93">
        <v>4.87959385982909E-2</v>
      </c>
      <c r="M93">
        <v>5.7326661974403101E-2</v>
      </c>
      <c r="N93">
        <v>2008</v>
      </c>
      <c r="O93" t="s">
        <v>13</v>
      </c>
      <c r="P93" t="s">
        <v>42</v>
      </c>
      <c r="Q93" t="s">
        <v>43</v>
      </c>
      <c r="R93" t="s">
        <v>44</v>
      </c>
    </row>
    <row r="94" spans="1:18" x14ac:dyDescent="0.25">
      <c r="A94" t="s">
        <v>38</v>
      </c>
      <c r="B94" t="s">
        <v>45</v>
      </c>
      <c r="C94" t="s">
        <v>12</v>
      </c>
      <c r="D94">
        <v>2</v>
      </c>
      <c r="E94">
        <v>62.5</v>
      </c>
      <c r="F94">
        <v>4.0816326530612197E-3</v>
      </c>
      <c r="G94">
        <v>490</v>
      </c>
      <c r="H94">
        <v>3.80311894130103E-2</v>
      </c>
      <c r="I94">
        <v>225</v>
      </c>
      <c r="L94">
        <v>6.8467066013444794E-2</v>
      </c>
      <c r="M94">
        <v>8.0171413922831794E-2</v>
      </c>
      <c r="N94">
        <v>2008</v>
      </c>
      <c r="O94" t="s">
        <v>13</v>
      </c>
      <c r="P94" t="s">
        <v>42</v>
      </c>
      <c r="Q94" t="s">
        <v>43</v>
      </c>
      <c r="R94" t="s">
        <v>44</v>
      </c>
    </row>
    <row r="95" spans="1:18" x14ac:dyDescent="0.25">
      <c r="A95" t="s">
        <v>38</v>
      </c>
      <c r="B95" t="s">
        <v>45</v>
      </c>
      <c r="C95" t="s">
        <v>12</v>
      </c>
      <c r="D95">
        <v>1</v>
      </c>
      <c r="E95">
        <v>27.5</v>
      </c>
      <c r="F95">
        <v>0</v>
      </c>
      <c r="G95">
        <v>631</v>
      </c>
      <c r="H95">
        <v>1.2952786819415699E-2</v>
      </c>
      <c r="I95">
        <v>243</v>
      </c>
      <c r="L95">
        <v>7.1355300281411294E-2</v>
      </c>
      <c r="M95">
        <v>0</v>
      </c>
      <c r="N95">
        <v>2008</v>
      </c>
      <c r="O95" t="s">
        <v>13</v>
      </c>
      <c r="P95" t="s">
        <v>42</v>
      </c>
      <c r="Q95" t="s">
        <v>43</v>
      </c>
      <c r="R95" t="s">
        <v>44</v>
      </c>
    </row>
    <row r="96" spans="1:18" x14ac:dyDescent="0.25">
      <c r="A96" t="s">
        <v>38</v>
      </c>
      <c r="B96" t="s">
        <v>45</v>
      </c>
      <c r="C96" t="s">
        <v>12</v>
      </c>
      <c r="D96">
        <v>1</v>
      </c>
      <c r="E96">
        <v>35</v>
      </c>
      <c r="F96">
        <v>1.953125E-3</v>
      </c>
      <c r="G96">
        <v>1024</v>
      </c>
      <c r="H96">
        <v>1.8059239390355201E-2</v>
      </c>
      <c r="I96">
        <v>385</v>
      </c>
      <c r="L96">
        <v>4.90882098578279E-2</v>
      </c>
      <c r="M96">
        <v>7.1524547403372496E-2</v>
      </c>
      <c r="N96">
        <v>2008</v>
      </c>
      <c r="O96" t="s">
        <v>13</v>
      </c>
      <c r="P96" t="s">
        <v>42</v>
      </c>
      <c r="Q96" t="s">
        <v>43</v>
      </c>
      <c r="R96" t="s">
        <v>44</v>
      </c>
    </row>
    <row r="97" spans="1:18" x14ac:dyDescent="0.25">
      <c r="A97" t="s">
        <v>38</v>
      </c>
      <c r="B97" t="s">
        <v>45</v>
      </c>
      <c r="C97" t="s">
        <v>12</v>
      </c>
      <c r="D97">
        <v>1</v>
      </c>
      <c r="E97">
        <v>45</v>
      </c>
      <c r="F97">
        <v>4.0871934604904602E-3</v>
      </c>
      <c r="G97">
        <v>734</v>
      </c>
      <c r="H97">
        <v>3.3334744442838703E-2</v>
      </c>
      <c r="I97">
        <v>282</v>
      </c>
      <c r="L97">
        <v>4.0176153521427803E-2</v>
      </c>
      <c r="M97">
        <v>5.0123537924811799E-2</v>
      </c>
      <c r="N97">
        <v>2008</v>
      </c>
      <c r="O97" t="s">
        <v>13</v>
      </c>
      <c r="P97" t="s">
        <v>42</v>
      </c>
      <c r="Q97" t="s">
        <v>43</v>
      </c>
      <c r="R97" t="s">
        <v>44</v>
      </c>
    </row>
    <row r="98" spans="1:18" x14ac:dyDescent="0.25">
      <c r="A98" t="s">
        <v>38</v>
      </c>
      <c r="B98" t="s">
        <v>45</v>
      </c>
      <c r="C98" t="s">
        <v>12</v>
      </c>
      <c r="D98">
        <v>1</v>
      </c>
      <c r="E98">
        <v>55</v>
      </c>
      <c r="F98">
        <v>1.2800000000000001E-2</v>
      </c>
      <c r="G98">
        <v>625</v>
      </c>
      <c r="H98">
        <v>4.7610458283842701E-2</v>
      </c>
      <c r="I98">
        <v>277</v>
      </c>
      <c r="L98">
        <v>3.3422904020453503E-2</v>
      </c>
      <c r="M98">
        <v>5.3607812732373201E-2</v>
      </c>
      <c r="N98">
        <v>2008</v>
      </c>
      <c r="O98" t="s">
        <v>13</v>
      </c>
      <c r="P98" t="s">
        <v>42</v>
      </c>
      <c r="Q98" t="s">
        <v>43</v>
      </c>
      <c r="R98" t="s">
        <v>44</v>
      </c>
    </row>
    <row r="99" spans="1:18" x14ac:dyDescent="0.25">
      <c r="A99" t="s">
        <v>38</v>
      </c>
      <c r="B99" t="s">
        <v>45</v>
      </c>
      <c r="C99" t="s">
        <v>12</v>
      </c>
      <c r="D99">
        <v>1</v>
      </c>
      <c r="E99">
        <v>62.5</v>
      </c>
      <c r="F99">
        <v>1.4018691588785E-2</v>
      </c>
      <c r="G99">
        <v>428</v>
      </c>
      <c r="H99">
        <v>3.8477949469802701E-2</v>
      </c>
      <c r="I99">
        <v>194</v>
      </c>
      <c r="L99">
        <v>3.16315957106338E-2</v>
      </c>
      <c r="M99">
        <v>6.3559305601661203E-2</v>
      </c>
      <c r="N99">
        <v>2008</v>
      </c>
      <c r="O99" t="s">
        <v>13</v>
      </c>
      <c r="P99" t="s">
        <v>42</v>
      </c>
      <c r="Q99" t="s">
        <v>43</v>
      </c>
      <c r="R99" t="s">
        <v>44</v>
      </c>
    </row>
    <row r="100" spans="1:18" x14ac:dyDescent="0.25">
      <c r="A100" t="s">
        <v>38</v>
      </c>
      <c r="B100" t="s">
        <v>46</v>
      </c>
      <c r="C100" t="s">
        <v>12</v>
      </c>
      <c r="D100">
        <v>2</v>
      </c>
      <c r="E100">
        <v>19</v>
      </c>
      <c r="F100">
        <v>0</v>
      </c>
      <c r="G100">
        <v>100</v>
      </c>
      <c r="H100">
        <v>2.63247426951536E-2</v>
      </c>
      <c r="I100">
        <v>99</v>
      </c>
      <c r="L100">
        <v>6.3081128628674807E-2</v>
      </c>
      <c r="M100">
        <v>0</v>
      </c>
      <c r="N100">
        <v>2015</v>
      </c>
      <c r="O100" t="s">
        <v>13</v>
      </c>
      <c r="P100" t="s">
        <v>42</v>
      </c>
      <c r="Q100" t="s">
        <v>43</v>
      </c>
      <c r="R100" t="s">
        <v>44</v>
      </c>
    </row>
    <row r="101" spans="1:18" x14ac:dyDescent="0.25">
      <c r="A101" t="s">
        <v>38</v>
      </c>
      <c r="B101" t="s">
        <v>46</v>
      </c>
      <c r="C101" t="s">
        <v>12</v>
      </c>
      <c r="D101">
        <v>2</v>
      </c>
      <c r="E101">
        <v>25</v>
      </c>
      <c r="F101">
        <v>0</v>
      </c>
      <c r="G101">
        <v>734</v>
      </c>
      <c r="H101">
        <v>5.2021382016140399E-2</v>
      </c>
      <c r="I101">
        <v>727</v>
      </c>
      <c r="L101">
        <v>2.3168632657269501E-2</v>
      </c>
      <c r="M101">
        <v>0</v>
      </c>
      <c r="N101">
        <v>2015</v>
      </c>
      <c r="O101" t="s">
        <v>13</v>
      </c>
      <c r="P101" t="s">
        <v>42</v>
      </c>
      <c r="Q101" t="s">
        <v>43</v>
      </c>
      <c r="R101" t="s">
        <v>44</v>
      </c>
    </row>
    <row r="102" spans="1:18" x14ac:dyDescent="0.25">
      <c r="A102" t="s">
        <v>38</v>
      </c>
      <c r="B102" t="s">
        <v>46</v>
      </c>
      <c r="C102" t="s">
        <v>12</v>
      </c>
      <c r="D102">
        <v>2</v>
      </c>
      <c r="E102">
        <v>35</v>
      </c>
      <c r="F102">
        <v>1.55900297693553E-3</v>
      </c>
      <c r="G102">
        <v>741</v>
      </c>
      <c r="H102">
        <v>5.4205074410260998E-2</v>
      </c>
      <c r="I102">
        <v>732</v>
      </c>
      <c r="L102">
        <v>2.6427723729035599E-2</v>
      </c>
      <c r="M102">
        <v>1.5870502846773601E-2</v>
      </c>
      <c r="N102">
        <v>2015</v>
      </c>
      <c r="O102" t="s">
        <v>13</v>
      </c>
      <c r="P102" t="s">
        <v>42</v>
      </c>
      <c r="Q102" t="s">
        <v>43</v>
      </c>
      <c r="R102" t="s">
        <v>44</v>
      </c>
    </row>
    <row r="103" spans="1:18" x14ac:dyDescent="0.25">
      <c r="A103" t="s">
        <v>38</v>
      </c>
      <c r="B103" t="s">
        <v>46</v>
      </c>
      <c r="C103" t="s">
        <v>12</v>
      </c>
      <c r="D103">
        <v>2</v>
      </c>
      <c r="E103">
        <v>45</v>
      </c>
      <c r="F103">
        <v>3.6907568527352699E-3</v>
      </c>
      <c r="G103">
        <v>477</v>
      </c>
      <c r="H103">
        <v>0.108691696182366</v>
      </c>
      <c r="I103">
        <v>468</v>
      </c>
      <c r="L103">
        <v>3.3548552039680997E-2</v>
      </c>
      <c r="M103">
        <v>1.46989930896774E-2</v>
      </c>
      <c r="N103">
        <v>2015</v>
      </c>
      <c r="O103" t="s">
        <v>13</v>
      </c>
      <c r="P103" t="s">
        <v>42</v>
      </c>
      <c r="Q103" t="s">
        <v>43</v>
      </c>
      <c r="R103" t="s">
        <v>44</v>
      </c>
    </row>
    <row r="104" spans="1:18" x14ac:dyDescent="0.25">
      <c r="A104" t="s">
        <v>38</v>
      </c>
      <c r="B104" t="s">
        <v>46</v>
      </c>
      <c r="C104" t="s">
        <v>12</v>
      </c>
      <c r="D104">
        <v>2</v>
      </c>
      <c r="E104">
        <v>55</v>
      </c>
      <c r="F104">
        <v>1.30204885425347E-2</v>
      </c>
      <c r="G104">
        <v>299</v>
      </c>
      <c r="H104">
        <v>0.152423435033435</v>
      </c>
      <c r="I104">
        <v>292</v>
      </c>
      <c r="L104">
        <v>3.5494492017493502E-2</v>
      </c>
      <c r="M104">
        <v>1.8167816579132599E-2</v>
      </c>
      <c r="N104">
        <v>2015</v>
      </c>
      <c r="O104" t="s">
        <v>13</v>
      </c>
      <c r="P104" t="s">
        <v>42</v>
      </c>
      <c r="Q104" t="s">
        <v>43</v>
      </c>
      <c r="R104" t="s">
        <v>44</v>
      </c>
    </row>
    <row r="105" spans="1:18" x14ac:dyDescent="0.25">
      <c r="A105" t="s">
        <v>38</v>
      </c>
      <c r="B105" t="s">
        <v>46</v>
      </c>
      <c r="C105" t="s">
        <v>12</v>
      </c>
      <c r="D105">
        <v>2</v>
      </c>
      <c r="E105">
        <v>65</v>
      </c>
      <c r="F105">
        <v>9.1689113940525892E-3</v>
      </c>
      <c r="G105">
        <v>196</v>
      </c>
      <c r="H105">
        <v>0.19205332621254501</v>
      </c>
      <c r="I105">
        <v>190</v>
      </c>
      <c r="L105">
        <v>4.71273977115707E-2</v>
      </c>
      <c r="M105">
        <v>1.66071585718655E-2</v>
      </c>
      <c r="N105">
        <v>2015</v>
      </c>
      <c r="O105" t="s">
        <v>13</v>
      </c>
      <c r="P105" t="s">
        <v>42</v>
      </c>
      <c r="Q105" t="s">
        <v>43</v>
      </c>
      <c r="R105" t="s">
        <v>44</v>
      </c>
    </row>
    <row r="106" spans="1:18" x14ac:dyDescent="0.25">
      <c r="A106" t="s">
        <v>38</v>
      </c>
      <c r="B106" t="s">
        <v>46</v>
      </c>
      <c r="C106" t="s">
        <v>12</v>
      </c>
      <c r="D106">
        <v>1</v>
      </c>
      <c r="E106">
        <v>19</v>
      </c>
      <c r="F106">
        <v>0</v>
      </c>
      <c r="G106">
        <v>72</v>
      </c>
      <c r="H106">
        <v>2.4977505270575101E-2</v>
      </c>
      <c r="I106">
        <v>69</v>
      </c>
      <c r="L106">
        <v>2.78339382949968E-2</v>
      </c>
      <c r="M106">
        <v>0</v>
      </c>
      <c r="N106">
        <v>2015</v>
      </c>
      <c r="O106" t="s">
        <v>13</v>
      </c>
      <c r="P106" t="s">
        <v>42</v>
      </c>
      <c r="Q106" t="s">
        <v>43</v>
      </c>
      <c r="R106" t="s">
        <v>44</v>
      </c>
    </row>
    <row r="107" spans="1:18" x14ac:dyDescent="0.25">
      <c r="A107" t="s">
        <v>38</v>
      </c>
      <c r="B107" t="s">
        <v>46</v>
      </c>
      <c r="C107" t="s">
        <v>12</v>
      </c>
      <c r="D107">
        <v>1</v>
      </c>
      <c r="E107">
        <v>25</v>
      </c>
      <c r="F107">
        <v>0</v>
      </c>
      <c r="G107">
        <v>589</v>
      </c>
      <c r="H107">
        <v>5.2240511970402102E-2</v>
      </c>
      <c r="I107">
        <v>585</v>
      </c>
      <c r="L107">
        <v>2.04710321392567E-2</v>
      </c>
      <c r="M107">
        <v>0</v>
      </c>
      <c r="N107">
        <v>2015</v>
      </c>
      <c r="O107" t="s">
        <v>13</v>
      </c>
      <c r="P107" t="s">
        <v>42</v>
      </c>
      <c r="Q107" t="s">
        <v>43</v>
      </c>
      <c r="R107" t="s">
        <v>44</v>
      </c>
    </row>
    <row r="108" spans="1:18" x14ac:dyDescent="0.25">
      <c r="A108" t="s">
        <v>38</v>
      </c>
      <c r="B108" t="s">
        <v>46</v>
      </c>
      <c r="C108" t="s">
        <v>12</v>
      </c>
      <c r="D108">
        <v>1</v>
      </c>
      <c r="E108">
        <v>35</v>
      </c>
      <c r="F108">
        <v>0</v>
      </c>
      <c r="G108">
        <v>618</v>
      </c>
      <c r="H108">
        <v>5.7150382162086302E-2</v>
      </c>
      <c r="I108">
        <v>611</v>
      </c>
      <c r="L108">
        <v>3.2125714468926897E-2</v>
      </c>
      <c r="M108">
        <v>0</v>
      </c>
      <c r="N108">
        <v>2015</v>
      </c>
      <c r="O108" t="s">
        <v>13</v>
      </c>
      <c r="P108" t="s">
        <v>42</v>
      </c>
      <c r="Q108" t="s">
        <v>43</v>
      </c>
      <c r="R108" t="s">
        <v>44</v>
      </c>
    </row>
    <row r="109" spans="1:18" x14ac:dyDescent="0.25">
      <c r="A109" t="s">
        <v>38</v>
      </c>
      <c r="B109" t="s">
        <v>46</v>
      </c>
      <c r="C109" t="s">
        <v>12</v>
      </c>
      <c r="D109">
        <v>1</v>
      </c>
      <c r="E109">
        <v>45</v>
      </c>
      <c r="F109">
        <v>4.14921146520767E-3</v>
      </c>
      <c r="G109">
        <v>512</v>
      </c>
      <c r="H109">
        <v>0.10139840487148501</v>
      </c>
      <c r="I109">
        <v>502</v>
      </c>
      <c r="L109">
        <v>2.2094794475260499E-2</v>
      </c>
      <c r="M109">
        <v>1.1147152522577201E-2</v>
      </c>
      <c r="N109">
        <v>2015</v>
      </c>
      <c r="O109" t="s">
        <v>13</v>
      </c>
      <c r="P109" t="s">
        <v>42</v>
      </c>
      <c r="Q109" t="s">
        <v>43</v>
      </c>
      <c r="R109" t="s">
        <v>44</v>
      </c>
    </row>
    <row r="110" spans="1:18" x14ac:dyDescent="0.25">
      <c r="A110" t="s">
        <v>38</v>
      </c>
      <c r="B110" t="s">
        <v>46</v>
      </c>
      <c r="C110" t="s">
        <v>12</v>
      </c>
      <c r="D110">
        <v>1</v>
      </c>
      <c r="E110">
        <v>55</v>
      </c>
      <c r="F110">
        <v>2.8688005986078801E-2</v>
      </c>
      <c r="G110">
        <v>308</v>
      </c>
      <c r="H110">
        <v>0.16030223524923801</v>
      </c>
      <c r="I110">
        <v>299</v>
      </c>
      <c r="L110">
        <v>1.84326275728245E-2</v>
      </c>
      <c r="M110">
        <v>1.24584514112743E-2</v>
      </c>
      <c r="N110">
        <v>2015</v>
      </c>
      <c r="O110" t="s">
        <v>13</v>
      </c>
      <c r="P110" t="s">
        <v>42</v>
      </c>
      <c r="Q110" t="s">
        <v>43</v>
      </c>
      <c r="R110" t="s">
        <v>44</v>
      </c>
    </row>
    <row r="111" spans="1:18" x14ac:dyDescent="0.25">
      <c r="A111" t="s">
        <v>38</v>
      </c>
      <c r="B111" t="s">
        <v>46</v>
      </c>
      <c r="C111" t="s">
        <v>12</v>
      </c>
      <c r="D111">
        <v>1</v>
      </c>
      <c r="E111">
        <v>65</v>
      </c>
      <c r="F111">
        <v>2.66287412866845E-2</v>
      </c>
      <c r="G111">
        <v>208</v>
      </c>
      <c r="H111">
        <v>0.105343157197265</v>
      </c>
      <c r="I111">
        <v>204</v>
      </c>
      <c r="L111">
        <v>3.6543023043962002E-2</v>
      </c>
      <c r="M111">
        <v>3.7453636512154997E-2</v>
      </c>
      <c r="N111">
        <v>2015</v>
      </c>
      <c r="O111" t="s">
        <v>13</v>
      </c>
      <c r="P111" t="s">
        <v>42</v>
      </c>
      <c r="Q111" t="s">
        <v>43</v>
      </c>
      <c r="R111" t="s">
        <v>44</v>
      </c>
    </row>
    <row r="112" spans="1:18" x14ac:dyDescent="0.25">
      <c r="A112" t="s">
        <v>47</v>
      </c>
      <c r="B112" t="s">
        <v>48</v>
      </c>
      <c r="C112" t="s">
        <v>12</v>
      </c>
      <c r="D112">
        <v>2</v>
      </c>
      <c r="E112">
        <v>27.5</v>
      </c>
      <c r="F112">
        <v>0</v>
      </c>
      <c r="G112">
        <v>647</v>
      </c>
      <c r="H112">
        <v>2.93051894013889E-2</v>
      </c>
      <c r="I112">
        <v>551</v>
      </c>
      <c r="L112">
        <v>1.5470487017950001E-2</v>
      </c>
      <c r="M112">
        <v>0</v>
      </c>
      <c r="N112">
        <v>2013</v>
      </c>
      <c r="O112" t="s">
        <v>13</v>
      </c>
      <c r="P112" t="s">
        <v>49</v>
      </c>
      <c r="Q112" t="s">
        <v>43</v>
      </c>
      <c r="R112" t="s">
        <v>44</v>
      </c>
    </row>
    <row r="113" spans="1:18" x14ac:dyDescent="0.25">
      <c r="A113" t="s">
        <v>47</v>
      </c>
      <c r="B113" t="s">
        <v>48</v>
      </c>
      <c r="C113" t="s">
        <v>12</v>
      </c>
      <c r="D113">
        <v>2</v>
      </c>
      <c r="E113">
        <v>35</v>
      </c>
      <c r="F113">
        <v>1.53763104240162E-3</v>
      </c>
      <c r="G113">
        <v>721</v>
      </c>
      <c r="H113">
        <v>2.6719957016657699E-2</v>
      </c>
      <c r="I113">
        <v>651</v>
      </c>
      <c r="L113">
        <v>2.7089709418869099E-2</v>
      </c>
      <c r="M113">
        <v>2.7187515261528301E-2</v>
      </c>
      <c r="N113">
        <v>2013</v>
      </c>
      <c r="O113" t="s">
        <v>13</v>
      </c>
      <c r="P113" t="s">
        <v>49</v>
      </c>
      <c r="Q113" t="s">
        <v>43</v>
      </c>
      <c r="R113" t="s">
        <v>44</v>
      </c>
    </row>
    <row r="114" spans="1:18" x14ac:dyDescent="0.25">
      <c r="A114" t="s">
        <v>47</v>
      </c>
      <c r="B114" t="s">
        <v>48</v>
      </c>
      <c r="C114" t="s">
        <v>12</v>
      </c>
      <c r="D114">
        <v>2</v>
      </c>
      <c r="E114">
        <v>45</v>
      </c>
      <c r="F114">
        <v>0</v>
      </c>
      <c r="G114">
        <v>493</v>
      </c>
      <c r="H114">
        <v>3.6012386402755302E-2</v>
      </c>
      <c r="I114">
        <v>440</v>
      </c>
      <c r="L114">
        <v>4.2944384503186203E-2</v>
      </c>
      <c r="M114">
        <v>0</v>
      </c>
      <c r="N114">
        <v>2013</v>
      </c>
      <c r="O114" t="s">
        <v>13</v>
      </c>
      <c r="P114" t="s">
        <v>49</v>
      </c>
      <c r="Q114" t="s">
        <v>43</v>
      </c>
      <c r="R114" t="s">
        <v>44</v>
      </c>
    </row>
    <row r="115" spans="1:18" x14ac:dyDescent="0.25">
      <c r="A115" t="s">
        <v>47</v>
      </c>
      <c r="B115" t="s">
        <v>48</v>
      </c>
      <c r="C115" t="s">
        <v>12</v>
      </c>
      <c r="D115">
        <v>2</v>
      </c>
      <c r="E115">
        <v>55</v>
      </c>
      <c r="F115">
        <v>0</v>
      </c>
      <c r="G115">
        <v>317</v>
      </c>
      <c r="H115">
        <v>4.4400478753005797E-2</v>
      </c>
      <c r="I115">
        <v>287</v>
      </c>
      <c r="L115">
        <v>4.8529210913504199E-2</v>
      </c>
      <c r="M115">
        <v>0</v>
      </c>
      <c r="N115">
        <v>2013</v>
      </c>
      <c r="O115" t="s">
        <v>13</v>
      </c>
      <c r="P115" t="s">
        <v>49</v>
      </c>
      <c r="Q115" t="s">
        <v>43</v>
      </c>
      <c r="R115" t="s">
        <v>44</v>
      </c>
    </row>
    <row r="116" spans="1:18" x14ac:dyDescent="0.25">
      <c r="A116" t="s">
        <v>47</v>
      </c>
      <c r="B116" t="s">
        <v>48</v>
      </c>
      <c r="C116" t="s">
        <v>12</v>
      </c>
      <c r="D116">
        <v>2</v>
      </c>
      <c r="E116">
        <v>62.5</v>
      </c>
      <c r="F116">
        <v>1.94482519042985E-2</v>
      </c>
      <c r="G116">
        <v>111</v>
      </c>
      <c r="H116">
        <v>7.90557736372859E-2</v>
      </c>
      <c r="I116">
        <v>94</v>
      </c>
      <c r="L116">
        <v>2.87579575378945E-2</v>
      </c>
      <c r="M116">
        <v>3.3449820706660298E-2</v>
      </c>
      <c r="N116">
        <v>2013</v>
      </c>
      <c r="O116" t="s">
        <v>13</v>
      </c>
      <c r="P116" t="s">
        <v>49</v>
      </c>
      <c r="Q116" t="s">
        <v>43</v>
      </c>
      <c r="R116" t="s">
        <v>44</v>
      </c>
    </row>
    <row r="117" spans="1:18" x14ac:dyDescent="0.25">
      <c r="A117" t="s">
        <v>47</v>
      </c>
      <c r="B117" t="s">
        <v>48</v>
      </c>
      <c r="C117" t="s">
        <v>12</v>
      </c>
      <c r="D117">
        <v>1</v>
      </c>
      <c r="E117">
        <v>27.5</v>
      </c>
      <c r="F117">
        <v>0</v>
      </c>
      <c r="G117">
        <v>580</v>
      </c>
      <c r="H117">
        <v>2.4764570470317999E-2</v>
      </c>
      <c r="I117">
        <v>503</v>
      </c>
      <c r="L117">
        <v>1.8188665290219699E-2</v>
      </c>
      <c r="M117">
        <v>0</v>
      </c>
      <c r="N117">
        <v>2013</v>
      </c>
      <c r="O117" t="s">
        <v>13</v>
      </c>
      <c r="P117" t="s">
        <v>49</v>
      </c>
      <c r="Q117" t="s">
        <v>43</v>
      </c>
      <c r="R117" t="s">
        <v>44</v>
      </c>
    </row>
    <row r="118" spans="1:18" x14ac:dyDescent="0.25">
      <c r="A118" t="s">
        <v>47</v>
      </c>
      <c r="B118" t="s">
        <v>48</v>
      </c>
      <c r="C118" t="s">
        <v>12</v>
      </c>
      <c r="D118">
        <v>1</v>
      </c>
      <c r="E118">
        <v>35</v>
      </c>
      <c r="F118">
        <v>2.8089711478963301E-3</v>
      </c>
      <c r="G118">
        <v>685</v>
      </c>
      <c r="H118">
        <v>2.7275018312280699E-2</v>
      </c>
      <c r="I118">
        <v>585</v>
      </c>
      <c r="L118">
        <v>2.39460281499905E-2</v>
      </c>
      <c r="M118">
        <v>2.8917906229122999E-2</v>
      </c>
      <c r="N118">
        <v>2013</v>
      </c>
      <c r="O118" t="s">
        <v>13</v>
      </c>
      <c r="P118" t="s">
        <v>49</v>
      </c>
      <c r="Q118" t="s">
        <v>43</v>
      </c>
      <c r="R118" t="s">
        <v>44</v>
      </c>
    </row>
    <row r="119" spans="1:18" x14ac:dyDescent="0.25">
      <c r="A119" t="s">
        <v>47</v>
      </c>
      <c r="B119" t="s">
        <v>48</v>
      </c>
      <c r="C119" t="s">
        <v>12</v>
      </c>
      <c r="D119">
        <v>1</v>
      </c>
      <c r="E119">
        <v>45</v>
      </c>
      <c r="F119">
        <v>0</v>
      </c>
      <c r="G119">
        <v>488</v>
      </c>
      <c r="H119">
        <v>6.9680802405754902E-2</v>
      </c>
      <c r="I119">
        <v>442</v>
      </c>
      <c r="L119">
        <v>2.0193783985779E-2</v>
      </c>
      <c r="M119">
        <v>0</v>
      </c>
      <c r="N119">
        <v>2013</v>
      </c>
      <c r="O119" t="s">
        <v>13</v>
      </c>
      <c r="P119" t="s">
        <v>49</v>
      </c>
      <c r="Q119" t="s">
        <v>43</v>
      </c>
      <c r="R119" t="s">
        <v>44</v>
      </c>
    </row>
    <row r="120" spans="1:18" x14ac:dyDescent="0.25">
      <c r="A120" t="s">
        <v>47</v>
      </c>
      <c r="B120" t="s">
        <v>48</v>
      </c>
      <c r="C120" t="s">
        <v>12</v>
      </c>
      <c r="D120">
        <v>1</v>
      </c>
      <c r="E120">
        <v>55</v>
      </c>
      <c r="F120">
        <v>5.3848854011073104E-3</v>
      </c>
      <c r="G120">
        <v>334</v>
      </c>
      <c r="H120">
        <v>4.40436044288764E-2</v>
      </c>
      <c r="I120">
        <v>291</v>
      </c>
      <c r="L120">
        <v>3.4218147354904097E-2</v>
      </c>
      <c r="M120">
        <v>3.9649078692046098E-2</v>
      </c>
      <c r="N120">
        <v>2013</v>
      </c>
      <c r="O120" t="s">
        <v>13</v>
      </c>
      <c r="P120" t="s">
        <v>49</v>
      </c>
      <c r="Q120" t="s">
        <v>43</v>
      </c>
      <c r="R120" t="s">
        <v>44</v>
      </c>
    </row>
    <row r="121" spans="1:18" x14ac:dyDescent="0.25">
      <c r="A121" t="s">
        <v>47</v>
      </c>
      <c r="B121" t="s">
        <v>48</v>
      </c>
      <c r="C121" t="s">
        <v>12</v>
      </c>
      <c r="D121">
        <v>1</v>
      </c>
      <c r="E121">
        <v>62.5</v>
      </c>
      <c r="F121">
        <v>0</v>
      </c>
      <c r="G121">
        <v>167</v>
      </c>
      <c r="H121">
        <v>7.7437927838513304E-2</v>
      </c>
      <c r="I121">
        <v>144</v>
      </c>
      <c r="L121">
        <v>4.2643660407426599E-2</v>
      </c>
      <c r="M121">
        <v>0</v>
      </c>
      <c r="N121">
        <v>2013</v>
      </c>
      <c r="O121" t="s">
        <v>13</v>
      </c>
      <c r="P121" t="s">
        <v>49</v>
      </c>
      <c r="Q121" t="s">
        <v>43</v>
      </c>
      <c r="R121" t="s">
        <v>44</v>
      </c>
    </row>
    <row r="122" spans="1:18" x14ac:dyDescent="0.25">
      <c r="A122" t="s">
        <v>47</v>
      </c>
      <c r="B122" t="s">
        <v>50</v>
      </c>
      <c r="C122" t="s">
        <v>12</v>
      </c>
      <c r="D122">
        <v>2</v>
      </c>
      <c r="E122">
        <v>19</v>
      </c>
      <c r="F122">
        <v>0</v>
      </c>
      <c r="G122">
        <v>116</v>
      </c>
      <c r="H122">
        <v>4.7006684865174002E-2</v>
      </c>
      <c r="I122">
        <v>108</v>
      </c>
      <c r="L122">
        <v>5.3893078709566902E-2</v>
      </c>
      <c r="M122">
        <v>0</v>
      </c>
      <c r="N122">
        <v>2021</v>
      </c>
      <c r="O122" t="s">
        <v>13</v>
      </c>
      <c r="P122" t="s">
        <v>49</v>
      </c>
      <c r="Q122" t="s">
        <v>43</v>
      </c>
      <c r="R122" t="s">
        <v>44</v>
      </c>
    </row>
    <row r="123" spans="1:18" x14ac:dyDescent="0.25">
      <c r="A123" t="s">
        <v>47</v>
      </c>
      <c r="B123" t="s">
        <v>50</v>
      </c>
      <c r="C123" t="s">
        <v>12</v>
      </c>
      <c r="D123">
        <v>2</v>
      </c>
      <c r="E123">
        <v>25</v>
      </c>
      <c r="F123">
        <v>0</v>
      </c>
      <c r="G123">
        <v>665</v>
      </c>
      <c r="H123">
        <v>7.9151349694732503E-2</v>
      </c>
      <c r="I123">
        <v>613</v>
      </c>
      <c r="L123">
        <v>3.5521535625655402E-2</v>
      </c>
      <c r="M123">
        <v>0</v>
      </c>
      <c r="N123">
        <v>2021</v>
      </c>
      <c r="O123" t="s">
        <v>13</v>
      </c>
      <c r="P123" t="s">
        <v>49</v>
      </c>
      <c r="Q123" t="s">
        <v>43</v>
      </c>
      <c r="R123" t="s">
        <v>44</v>
      </c>
    </row>
    <row r="124" spans="1:18" x14ac:dyDescent="0.25">
      <c r="A124" t="s">
        <v>47</v>
      </c>
      <c r="B124" t="s">
        <v>50</v>
      </c>
      <c r="C124" t="s">
        <v>12</v>
      </c>
      <c r="D124">
        <v>2</v>
      </c>
      <c r="E124">
        <v>35</v>
      </c>
      <c r="F124">
        <v>3.8566798874774002E-3</v>
      </c>
      <c r="G124">
        <v>520</v>
      </c>
      <c r="H124">
        <v>8.48220003009139E-2</v>
      </c>
      <c r="I124">
        <v>474</v>
      </c>
      <c r="L124">
        <v>6.1151564374095697E-2</v>
      </c>
      <c r="M124">
        <v>3.3953447342177499E-2</v>
      </c>
      <c r="N124">
        <v>2021</v>
      </c>
      <c r="O124" t="s">
        <v>13</v>
      </c>
      <c r="P124" t="s">
        <v>49</v>
      </c>
      <c r="Q124" t="s">
        <v>43</v>
      </c>
      <c r="R124" t="s">
        <v>44</v>
      </c>
    </row>
    <row r="125" spans="1:18" x14ac:dyDescent="0.25">
      <c r="A125" t="s">
        <v>47</v>
      </c>
      <c r="B125" t="s">
        <v>50</v>
      </c>
      <c r="C125" t="s">
        <v>12</v>
      </c>
      <c r="D125">
        <v>2</v>
      </c>
      <c r="E125">
        <v>45</v>
      </c>
      <c r="F125">
        <v>2.8190080022891901E-3</v>
      </c>
      <c r="G125">
        <v>352</v>
      </c>
      <c r="H125">
        <v>0.18059823174227899</v>
      </c>
      <c r="I125">
        <v>323</v>
      </c>
      <c r="L125">
        <v>4.3307605973480302E-2</v>
      </c>
      <c r="M125">
        <v>1.11051787640883E-2</v>
      </c>
      <c r="N125">
        <v>2021</v>
      </c>
      <c r="O125" t="s">
        <v>13</v>
      </c>
      <c r="P125" t="s">
        <v>49</v>
      </c>
      <c r="Q125" t="s">
        <v>43</v>
      </c>
      <c r="R125" t="s">
        <v>44</v>
      </c>
    </row>
    <row r="126" spans="1:18" x14ac:dyDescent="0.25">
      <c r="A126" t="s">
        <v>47</v>
      </c>
      <c r="B126" t="s">
        <v>50</v>
      </c>
      <c r="C126" t="s">
        <v>12</v>
      </c>
      <c r="D126">
        <v>2</v>
      </c>
      <c r="E126">
        <v>55</v>
      </c>
      <c r="F126">
        <v>7.5912406125642398E-3</v>
      </c>
      <c r="G126">
        <v>217</v>
      </c>
      <c r="H126">
        <v>0.150873074491786</v>
      </c>
      <c r="I126">
        <v>200</v>
      </c>
      <c r="L126">
        <v>9.7770881987392796E-2</v>
      </c>
      <c r="M126">
        <v>4.12533112249657E-2</v>
      </c>
      <c r="N126">
        <v>2021</v>
      </c>
      <c r="O126" t="s">
        <v>13</v>
      </c>
      <c r="P126" t="s">
        <v>49</v>
      </c>
      <c r="Q126" t="s">
        <v>43</v>
      </c>
      <c r="R126" t="s">
        <v>44</v>
      </c>
    </row>
    <row r="127" spans="1:18" x14ac:dyDescent="0.25">
      <c r="A127" t="s">
        <v>47</v>
      </c>
      <c r="B127" t="s">
        <v>50</v>
      </c>
      <c r="C127" t="s">
        <v>12</v>
      </c>
      <c r="D127">
        <v>2</v>
      </c>
      <c r="E127">
        <v>65</v>
      </c>
      <c r="F127">
        <v>2.36361098812208E-2</v>
      </c>
      <c r="G127">
        <v>156</v>
      </c>
      <c r="H127">
        <v>0.18079507286867999</v>
      </c>
      <c r="I127">
        <v>143</v>
      </c>
      <c r="L127">
        <v>9.2998850232599906E-2</v>
      </c>
      <c r="M127">
        <v>4.9658585474708299E-2</v>
      </c>
      <c r="N127">
        <v>2021</v>
      </c>
      <c r="O127" t="s">
        <v>13</v>
      </c>
      <c r="P127" t="s">
        <v>49</v>
      </c>
      <c r="Q127" t="s">
        <v>43</v>
      </c>
      <c r="R127" t="s">
        <v>44</v>
      </c>
    </row>
    <row r="128" spans="1:18" x14ac:dyDescent="0.25">
      <c r="A128" t="s">
        <v>47</v>
      </c>
      <c r="B128" t="s">
        <v>50</v>
      </c>
      <c r="C128" t="s">
        <v>12</v>
      </c>
      <c r="D128">
        <v>1</v>
      </c>
      <c r="E128">
        <v>19</v>
      </c>
      <c r="F128">
        <v>0</v>
      </c>
      <c r="G128">
        <v>59</v>
      </c>
      <c r="H128">
        <v>0.15866437485094001</v>
      </c>
      <c r="I128">
        <v>54</v>
      </c>
      <c r="L128">
        <v>6.8369154095219804E-3</v>
      </c>
      <c r="M128">
        <v>0</v>
      </c>
      <c r="N128">
        <v>2021</v>
      </c>
      <c r="O128" t="s">
        <v>13</v>
      </c>
      <c r="P128" t="s">
        <v>49</v>
      </c>
      <c r="Q128" t="s">
        <v>43</v>
      </c>
      <c r="R128" t="s">
        <v>44</v>
      </c>
    </row>
    <row r="129" spans="1:18" x14ac:dyDescent="0.25">
      <c r="A129" t="s">
        <v>47</v>
      </c>
      <c r="B129" t="s">
        <v>50</v>
      </c>
      <c r="C129" t="s">
        <v>12</v>
      </c>
      <c r="D129">
        <v>1</v>
      </c>
      <c r="E129">
        <v>25</v>
      </c>
      <c r="F129">
        <v>0</v>
      </c>
      <c r="G129">
        <v>442</v>
      </c>
      <c r="H129">
        <v>6.1407153697679198E-2</v>
      </c>
      <c r="I129">
        <v>399</v>
      </c>
      <c r="L129">
        <v>4.2553324396314401E-2</v>
      </c>
      <c r="M129">
        <v>0</v>
      </c>
      <c r="N129">
        <v>2021</v>
      </c>
      <c r="O129" t="s">
        <v>13</v>
      </c>
      <c r="P129" t="s">
        <v>49</v>
      </c>
      <c r="Q129" t="s">
        <v>43</v>
      </c>
      <c r="R129" t="s">
        <v>44</v>
      </c>
    </row>
    <row r="130" spans="1:18" x14ac:dyDescent="0.25">
      <c r="A130" t="s">
        <v>47</v>
      </c>
      <c r="B130" t="s">
        <v>50</v>
      </c>
      <c r="C130" t="s">
        <v>12</v>
      </c>
      <c r="D130">
        <v>1</v>
      </c>
      <c r="E130">
        <v>35</v>
      </c>
      <c r="F130">
        <v>1.1998675522456499E-3</v>
      </c>
      <c r="G130">
        <v>392</v>
      </c>
      <c r="H130">
        <v>0.13606912767984899</v>
      </c>
      <c r="I130">
        <v>368</v>
      </c>
      <c r="L130">
        <v>4.2350670266286299E-2</v>
      </c>
      <c r="M130">
        <v>1.1214480306932799E-2</v>
      </c>
      <c r="N130">
        <v>2021</v>
      </c>
      <c r="O130" t="s">
        <v>13</v>
      </c>
      <c r="P130" t="s">
        <v>49</v>
      </c>
      <c r="Q130" t="s">
        <v>43</v>
      </c>
      <c r="R130" t="s">
        <v>44</v>
      </c>
    </row>
    <row r="131" spans="1:18" x14ac:dyDescent="0.25">
      <c r="A131" t="s">
        <v>47</v>
      </c>
      <c r="B131" t="s">
        <v>50</v>
      </c>
      <c r="C131" t="s">
        <v>12</v>
      </c>
      <c r="D131">
        <v>1</v>
      </c>
      <c r="E131">
        <v>45</v>
      </c>
      <c r="F131">
        <v>0</v>
      </c>
      <c r="G131">
        <v>281</v>
      </c>
      <c r="H131">
        <v>0.136177848369708</v>
      </c>
      <c r="I131">
        <v>254</v>
      </c>
      <c r="L131">
        <v>6.4197083099632193E-2</v>
      </c>
      <c r="M131">
        <v>0</v>
      </c>
      <c r="N131">
        <v>2021</v>
      </c>
      <c r="O131" t="s">
        <v>13</v>
      </c>
      <c r="P131" t="s">
        <v>49</v>
      </c>
      <c r="Q131" t="s">
        <v>43</v>
      </c>
      <c r="R131" t="s">
        <v>44</v>
      </c>
    </row>
    <row r="132" spans="1:18" x14ac:dyDescent="0.25">
      <c r="A132" t="s">
        <v>47</v>
      </c>
      <c r="B132" t="s">
        <v>50</v>
      </c>
      <c r="C132" t="s">
        <v>12</v>
      </c>
      <c r="D132">
        <v>1</v>
      </c>
      <c r="E132">
        <v>55</v>
      </c>
      <c r="F132">
        <v>3.01186154091126E-3</v>
      </c>
      <c r="G132">
        <v>189</v>
      </c>
      <c r="H132">
        <v>0.22114642171401799</v>
      </c>
      <c r="I132">
        <v>165</v>
      </c>
      <c r="L132">
        <v>5.61846563599867E-2</v>
      </c>
      <c r="M132">
        <v>1.1400631007765E-2</v>
      </c>
      <c r="N132">
        <v>2021</v>
      </c>
      <c r="O132" t="s">
        <v>13</v>
      </c>
      <c r="P132" t="s">
        <v>49</v>
      </c>
      <c r="Q132" t="s">
        <v>43</v>
      </c>
      <c r="R132" t="s">
        <v>44</v>
      </c>
    </row>
    <row r="133" spans="1:18" x14ac:dyDescent="0.25">
      <c r="A133" t="s">
        <v>47</v>
      </c>
      <c r="B133" t="s">
        <v>50</v>
      </c>
      <c r="C133" t="s">
        <v>12</v>
      </c>
      <c r="D133">
        <v>1</v>
      </c>
      <c r="E133">
        <v>65</v>
      </c>
      <c r="F133">
        <v>1.17564991349276E-2</v>
      </c>
      <c r="G133">
        <v>128</v>
      </c>
      <c r="H133">
        <v>0.1732251197021</v>
      </c>
      <c r="I133">
        <v>117</v>
      </c>
      <c r="L133">
        <v>7.95547134575008E-2</v>
      </c>
      <c r="M133">
        <v>3.1855026934064001E-2</v>
      </c>
      <c r="N133">
        <v>2021</v>
      </c>
      <c r="O133" t="s">
        <v>13</v>
      </c>
      <c r="P133" t="s">
        <v>49</v>
      </c>
      <c r="Q133" t="s">
        <v>43</v>
      </c>
      <c r="R133" t="s">
        <v>44</v>
      </c>
    </row>
    <row r="134" spans="1:18" x14ac:dyDescent="0.25">
      <c r="A134" t="s">
        <v>51</v>
      </c>
      <c r="B134" t="s">
        <v>52</v>
      </c>
      <c r="C134" t="s">
        <v>40</v>
      </c>
      <c r="D134">
        <v>2</v>
      </c>
      <c r="E134">
        <v>37.5</v>
      </c>
      <c r="F134">
        <v>4.6444321820359402E-2</v>
      </c>
      <c r="G134">
        <v>497</v>
      </c>
      <c r="H134">
        <v>0.112442418968778</v>
      </c>
      <c r="I134">
        <v>408</v>
      </c>
      <c r="L134">
        <v>8.9985833940170401E-2</v>
      </c>
      <c r="M134">
        <v>0.12333423719336201</v>
      </c>
      <c r="N134">
        <v>2006</v>
      </c>
      <c r="O134" t="s">
        <v>53</v>
      </c>
      <c r="P134" t="s">
        <v>54</v>
      </c>
      <c r="Q134" t="s">
        <v>15</v>
      </c>
      <c r="R134" t="s">
        <v>15</v>
      </c>
    </row>
    <row r="135" spans="1:18" x14ac:dyDescent="0.25">
      <c r="A135" t="s">
        <v>51</v>
      </c>
      <c r="B135" t="s">
        <v>52</v>
      </c>
      <c r="C135" t="s">
        <v>40</v>
      </c>
      <c r="D135">
        <v>2</v>
      </c>
      <c r="E135">
        <v>45</v>
      </c>
      <c r="F135">
        <v>5.9817428897335101E-2</v>
      </c>
      <c r="G135">
        <v>533</v>
      </c>
      <c r="H135">
        <v>0.136985882577701</v>
      </c>
      <c r="I135">
        <v>442</v>
      </c>
      <c r="L135">
        <v>8.3227314105397202E-2</v>
      </c>
      <c r="M135">
        <v>9.5751676124426296E-2</v>
      </c>
      <c r="N135">
        <v>2006</v>
      </c>
      <c r="O135" t="s">
        <v>53</v>
      </c>
      <c r="P135" t="s">
        <v>54</v>
      </c>
      <c r="Q135" t="s">
        <v>15</v>
      </c>
      <c r="R135" t="s">
        <v>15</v>
      </c>
    </row>
    <row r="136" spans="1:18" x14ac:dyDescent="0.25">
      <c r="A136" t="s">
        <v>51</v>
      </c>
      <c r="B136" t="s">
        <v>52</v>
      </c>
      <c r="C136" t="s">
        <v>40</v>
      </c>
      <c r="D136">
        <v>2</v>
      </c>
      <c r="E136">
        <v>55</v>
      </c>
      <c r="F136">
        <v>0.21708068159708999</v>
      </c>
      <c r="G136">
        <v>242</v>
      </c>
      <c r="H136">
        <v>0.30949328281999799</v>
      </c>
      <c r="I136">
        <v>182</v>
      </c>
      <c r="L136">
        <v>2.9555507773703801E-2</v>
      </c>
      <c r="M136">
        <v>2.0571493626279198E-2</v>
      </c>
      <c r="N136">
        <v>2006</v>
      </c>
      <c r="O136" t="s">
        <v>53</v>
      </c>
      <c r="P136" t="s">
        <v>54</v>
      </c>
      <c r="Q136" t="s">
        <v>15</v>
      </c>
      <c r="R136" t="s">
        <v>15</v>
      </c>
    </row>
    <row r="137" spans="1:18" x14ac:dyDescent="0.25">
      <c r="A137" t="s">
        <v>51</v>
      </c>
      <c r="B137" t="s">
        <v>52</v>
      </c>
      <c r="C137" t="s">
        <v>40</v>
      </c>
      <c r="D137">
        <v>1</v>
      </c>
      <c r="E137">
        <v>37.5</v>
      </c>
      <c r="F137">
        <v>4.1345185199470502E-2</v>
      </c>
      <c r="G137">
        <v>410</v>
      </c>
      <c r="H137">
        <v>0.13447256773934399</v>
      </c>
      <c r="I137">
        <v>300</v>
      </c>
      <c r="L137">
        <v>5.59376083746881E-2</v>
      </c>
      <c r="M137">
        <v>5.2131309356272901E-2</v>
      </c>
      <c r="N137">
        <v>2006</v>
      </c>
      <c r="O137" t="s">
        <v>53</v>
      </c>
      <c r="P137" t="s">
        <v>54</v>
      </c>
      <c r="Q137" t="s">
        <v>15</v>
      </c>
      <c r="R137" t="s">
        <v>15</v>
      </c>
    </row>
    <row r="138" spans="1:18" x14ac:dyDescent="0.25">
      <c r="A138" t="s">
        <v>51</v>
      </c>
      <c r="B138" t="s">
        <v>52</v>
      </c>
      <c r="C138" t="s">
        <v>40</v>
      </c>
      <c r="D138">
        <v>1</v>
      </c>
      <c r="E138">
        <v>45</v>
      </c>
      <c r="F138">
        <v>2.7664953005559E-2</v>
      </c>
      <c r="G138">
        <v>718</v>
      </c>
      <c r="H138">
        <v>0.11069976352286599</v>
      </c>
      <c r="I138">
        <v>546</v>
      </c>
      <c r="L138">
        <v>9.8413038458119106E-2</v>
      </c>
      <c r="M138">
        <v>9.7551917700694199E-2</v>
      </c>
      <c r="N138">
        <v>2006</v>
      </c>
      <c r="O138" t="s">
        <v>53</v>
      </c>
      <c r="P138" t="s">
        <v>54</v>
      </c>
      <c r="Q138" t="s">
        <v>15</v>
      </c>
      <c r="R138" t="s">
        <v>15</v>
      </c>
    </row>
    <row r="139" spans="1:18" x14ac:dyDescent="0.25">
      <c r="A139" t="s">
        <v>51</v>
      </c>
      <c r="B139" t="s">
        <v>52</v>
      </c>
      <c r="C139" t="s">
        <v>40</v>
      </c>
      <c r="D139">
        <v>1</v>
      </c>
      <c r="E139">
        <v>55</v>
      </c>
      <c r="F139">
        <v>0.136822715128849</v>
      </c>
      <c r="G139">
        <v>392</v>
      </c>
      <c r="H139">
        <v>0.226707186356534</v>
      </c>
      <c r="I139">
        <v>272</v>
      </c>
      <c r="L139">
        <v>5.3785604211708998E-2</v>
      </c>
      <c r="M139">
        <v>4.8136471993194499E-2</v>
      </c>
      <c r="N139">
        <v>2006</v>
      </c>
      <c r="O139" t="s">
        <v>53</v>
      </c>
      <c r="P139" t="s">
        <v>54</v>
      </c>
      <c r="Q139" t="s">
        <v>15</v>
      </c>
      <c r="R139" t="s">
        <v>15</v>
      </c>
    </row>
    <row r="140" spans="1:18" x14ac:dyDescent="0.25">
      <c r="A140" t="s">
        <v>51</v>
      </c>
      <c r="B140" t="s">
        <v>55</v>
      </c>
      <c r="C140" t="s">
        <v>12</v>
      </c>
      <c r="D140">
        <v>2</v>
      </c>
      <c r="E140">
        <v>37.5</v>
      </c>
      <c r="F140">
        <v>2.6413824327386801E-2</v>
      </c>
      <c r="G140">
        <v>748</v>
      </c>
      <c r="H140">
        <v>0.15736681572549199</v>
      </c>
      <c r="I140">
        <v>703</v>
      </c>
      <c r="L140">
        <v>0.11540448986874199</v>
      </c>
      <c r="M140">
        <v>7.5970456412669501E-2</v>
      </c>
      <c r="N140">
        <v>2011</v>
      </c>
      <c r="O140" t="s">
        <v>13</v>
      </c>
      <c r="P140" t="s">
        <v>54</v>
      </c>
      <c r="Q140" t="s">
        <v>15</v>
      </c>
      <c r="R140" t="s">
        <v>15</v>
      </c>
    </row>
    <row r="141" spans="1:18" x14ac:dyDescent="0.25">
      <c r="A141" t="s">
        <v>51</v>
      </c>
      <c r="B141" t="s">
        <v>55</v>
      </c>
      <c r="C141" t="s">
        <v>12</v>
      </c>
      <c r="D141">
        <v>2</v>
      </c>
      <c r="E141">
        <v>45</v>
      </c>
      <c r="F141">
        <v>3.6941258450877298E-2</v>
      </c>
      <c r="G141">
        <v>1272</v>
      </c>
      <c r="H141">
        <v>0.17691079334016699</v>
      </c>
      <c r="I141">
        <v>1162</v>
      </c>
      <c r="L141">
        <v>0.13113084507091</v>
      </c>
      <c r="M141">
        <v>9.3197191022513504E-2</v>
      </c>
      <c r="N141">
        <v>2011</v>
      </c>
      <c r="O141" t="s">
        <v>13</v>
      </c>
      <c r="P141" t="s">
        <v>54</v>
      </c>
      <c r="Q141" t="s">
        <v>15</v>
      </c>
      <c r="R141" t="s">
        <v>15</v>
      </c>
    </row>
    <row r="142" spans="1:18" x14ac:dyDescent="0.25">
      <c r="A142" t="s">
        <v>51</v>
      </c>
      <c r="B142" t="s">
        <v>55</v>
      </c>
      <c r="C142" t="s">
        <v>12</v>
      </c>
      <c r="D142">
        <v>2</v>
      </c>
      <c r="E142">
        <v>55</v>
      </c>
      <c r="F142">
        <v>5.9543144715003798E-2</v>
      </c>
      <c r="G142">
        <v>755</v>
      </c>
      <c r="H142">
        <v>0.23977352787446099</v>
      </c>
      <c r="I142">
        <v>675</v>
      </c>
      <c r="L142">
        <v>0.121518023881503</v>
      </c>
      <c r="M142">
        <v>7.1412628377873905E-2</v>
      </c>
      <c r="N142">
        <v>2011</v>
      </c>
      <c r="O142" t="s">
        <v>13</v>
      </c>
      <c r="P142" t="s">
        <v>54</v>
      </c>
      <c r="Q142" t="s">
        <v>15</v>
      </c>
      <c r="R142" t="s">
        <v>15</v>
      </c>
    </row>
    <row r="143" spans="1:18" x14ac:dyDescent="0.25">
      <c r="A143" t="s">
        <v>51</v>
      </c>
      <c r="B143" t="s">
        <v>55</v>
      </c>
      <c r="C143" t="s">
        <v>12</v>
      </c>
      <c r="D143">
        <v>2</v>
      </c>
      <c r="E143">
        <v>65</v>
      </c>
      <c r="F143">
        <v>6.2143088218806701E-2</v>
      </c>
      <c r="G143">
        <v>460</v>
      </c>
      <c r="H143">
        <v>0.24031237801986999</v>
      </c>
      <c r="I143">
        <v>404</v>
      </c>
      <c r="L143">
        <v>0.141507981898923</v>
      </c>
      <c r="M143">
        <v>9.3005787538206194E-2</v>
      </c>
      <c r="N143">
        <v>2011</v>
      </c>
      <c r="O143" t="s">
        <v>13</v>
      </c>
      <c r="P143" t="s">
        <v>54</v>
      </c>
      <c r="Q143" t="s">
        <v>15</v>
      </c>
      <c r="R143" t="s">
        <v>15</v>
      </c>
    </row>
    <row r="144" spans="1:18" x14ac:dyDescent="0.25">
      <c r="A144" t="s">
        <v>51</v>
      </c>
      <c r="B144" t="s">
        <v>55</v>
      </c>
      <c r="C144" t="s">
        <v>12</v>
      </c>
      <c r="D144">
        <v>2</v>
      </c>
      <c r="E144">
        <v>75</v>
      </c>
      <c r="F144">
        <v>6.3802714558218607E-2</v>
      </c>
      <c r="G144">
        <v>201</v>
      </c>
      <c r="H144">
        <v>0.32162786724981501</v>
      </c>
      <c r="I144">
        <v>176</v>
      </c>
      <c r="L144">
        <v>0.125780096877633</v>
      </c>
      <c r="M144">
        <v>5.2318356461318001E-2</v>
      </c>
      <c r="N144">
        <v>2011</v>
      </c>
      <c r="O144" t="s">
        <v>13</v>
      </c>
      <c r="P144" t="s">
        <v>54</v>
      </c>
      <c r="Q144" t="s">
        <v>15</v>
      </c>
      <c r="R144" t="s">
        <v>15</v>
      </c>
    </row>
    <row r="145" spans="1:18" x14ac:dyDescent="0.25">
      <c r="A145" t="s">
        <v>51</v>
      </c>
      <c r="B145" t="s">
        <v>55</v>
      </c>
      <c r="C145" t="s">
        <v>12</v>
      </c>
      <c r="D145">
        <v>2</v>
      </c>
      <c r="E145">
        <v>84.91</v>
      </c>
      <c r="F145">
        <v>3.0974688301517801E-2</v>
      </c>
      <c r="G145">
        <v>136</v>
      </c>
      <c r="H145">
        <v>0.39836951091268202</v>
      </c>
      <c r="I145">
        <v>119</v>
      </c>
      <c r="L145">
        <v>0.13278437270295801</v>
      </c>
      <c r="M145">
        <v>3.0016846145885599E-2</v>
      </c>
      <c r="N145">
        <v>2011</v>
      </c>
      <c r="O145" t="s">
        <v>13</v>
      </c>
      <c r="P145" t="s">
        <v>54</v>
      </c>
      <c r="Q145" t="s">
        <v>15</v>
      </c>
      <c r="R145" t="s">
        <v>15</v>
      </c>
    </row>
    <row r="146" spans="1:18" x14ac:dyDescent="0.25">
      <c r="A146" t="s">
        <v>51</v>
      </c>
      <c r="B146" t="s">
        <v>55</v>
      </c>
      <c r="C146" t="s">
        <v>12</v>
      </c>
      <c r="D146">
        <v>1</v>
      </c>
      <c r="E146">
        <v>37.5</v>
      </c>
      <c r="F146">
        <v>1.4663015572441899E-2</v>
      </c>
      <c r="G146">
        <v>653</v>
      </c>
      <c r="H146">
        <v>0.122992353939833</v>
      </c>
      <c r="I146">
        <v>601</v>
      </c>
      <c r="L146">
        <v>0.131685440200207</v>
      </c>
      <c r="M146">
        <v>9.0742851783353506E-2</v>
      </c>
      <c r="N146">
        <v>2011</v>
      </c>
      <c r="O146" t="s">
        <v>13</v>
      </c>
      <c r="P146" t="s">
        <v>54</v>
      </c>
      <c r="Q146" t="s">
        <v>15</v>
      </c>
      <c r="R146" t="s">
        <v>15</v>
      </c>
    </row>
    <row r="147" spans="1:18" x14ac:dyDescent="0.25">
      <c r="A147" t="s">
        <v>51</v>
      </c>
      <c r="B147" t="s">
        <v>55</v>
      </c>
      <c r="C147" t="s">
        <v>12</v>
      </c>
      <c r="D147">
        <v>1</v>
      </c>
      <c r="E147">
        <v>45</v>
      </c>
      <c r="F147">
        <v>2.6634471937711401E-2</v>
      </c>
      <c r="G147">
        <v>1216</v>
      </c>
      <c r="H147">
        <v>0.17071595916920901</v>
      </c>
      <c r="I147">
        <v>1112</v>
      </c>
      <c r="L147">
        <v>0.116308626708914</v>
      </c>
      <c r="M147">
        <v>6.9925252822964606E-2</v>
      </c>
      <c r="N147">
        <v>2011</v>
      </c>
      <c r="O147" t="s">
        <v>13</v>
      </c>
      <c r="P147" t="s">
        <v>54</v>
      </c>
      <c r="Q147" t="s">
        <v>15</v>
      </c>
      <c r="R147" t="s">
        <v>15</v>
      </c>
    </row>
    <row r="148" spans="1:18" x14ac:dyDescent="0.25">
      <c r="A148" t="s">
        <v>51</v>
      </c>
      <c r="B148" t="s">
        <v>55</v>
      </c>
      <c r="C148" t="s">
        <v>12</v>
      </c>
      <c r="D148">
        <v>1</v>
      </c>
      <c r="E148">
        <v>55</v>
      </c>
      <c r="F148">
        <v>4.2452210767357598E-2</v>
      </c>
      <c r="G148">
        <v>905</v>
      </c>
      <c r="H148">
        <v>0.214146046587847</v>
      </c>
      <c r="I148">
        <v>817</v>
      </c>
      <c r="L148">
        <v>0.121199077588447</v>
      </c>
      <c r="M148">
        <v>6.9636888194474306E-2</v>
      </c>
      <c r="N148">
        <v>2011</v>
      </c>
      <c r="O148" t="s">
        <v>13</v>
      </c>
      <c r="P148" t="s">
        <v>54</v>
      </c>
      <c r="Q148" t="s">
        <v>15</v>
      </c>
      <c r="R148" t="s">
        <v>15</v>
      </c>
    </row>
    <row r="149" spans="1:18" x14ac:dyDescent="0.25">
      <c r="A149" t="s">
        <v>51</v>
      </c>
      <c r="B149" t="s">
        <v>55</v>
      </c>
      <c r="C149" t="s">
        <v>12</v>
      </c>
      <c r="D149">
        <v>1</v>
      </c>
      <c r="E149">
        <v>65</v>
      </c>
      <c r="F149">
        <v>5.5275736514692697E-2</v>
      </c>
      <c r="G149">
        <v>538</v>
      </c>
      <c r="H149">
        <v>0.24627870602302501</v>
      </c>
      <c r="I149">
        <v>491</v>
      </c>
      <c r="L149">
        <v>0.153731577989695</v>
      </c>
      <c r="M149">
        <v>9.2289777932496195E-2</v>
      </c>
      <c r="N149">
        <v>2011</v>
      </c>
      <c r="O149" t="s">
        <v>13</v>
      </c>
      <c r="P149" t="s">
        <v>54</v>
      </c>
      <c r="Q149" t="s">
        <v>15</v>
      </c>
      <c r="R149" t="s">
        <v>15</v>
      </c>
    </row>
    <row r="150" spans="1:18" x14ac:dyDescent="0.25">
      <c r="A150" t="s">
        <v>51</v>
      </c>
      <c r="B150" t="s">
        <v>55</v>
      </c>
      <c r="C150" t="s">
        <v>12</v>
      </c>
      <c r="D150">
        <v>1</v>
      </c>
      <c r="E150">
        <v>75</v>
      </c>
      <c r="F150">
        <v>5.3276268224847198E-2</v>
      </c>
      <c r="G150">
        <v>285</v>
      </c>
      <c r="H150">
        <v>0.31661238359691801</v>
      </c>
      <c r="I150">
        <v>248</v>
      </c>
      <c r="L150">
        <v>0.16720458544908801</v>
      </c>
      <c r="M150">
        <v>6.8148491673583694E-2</v>
      </c>
      <c r="N150">
        <v>2011</v>
      </c>
      <c r="O150" t="s">
        <v>13</v>
      </c>
      <c r="P150" t="s">
        <v>54</v>
      </c>
      <c r="Q150" t="s">
        <v>15</v>
      </c>
      <c r="R150" t="s">
        <v>15</v>
      </c>
    </row>
    <row r="151" spans="1:18" x14ac:dyDescent="0.25">
      <c r="A151" t="s">
        <v>51</v>
      </c>
      <c r="B151" t="s">
        <v>55</v>
      </c>
      <c r="C151" t="s">
        <v>12</v>
      </c>
      <c r="D151">
        <v>1</v>
      </c>
      <c r="E151">
        <v>84.91</v>
      </c>
      <c r="F151">
        <v>1.1854026250072E-2</v>
      </c>
      <c r="G151">
        <v>156</v>
      </c>
      <c r="H151">
        <v>0.35153792143052898</v>
      </c>
      <c r="I151">
        <v>141</v>
      </c>
      <c r="L151">
        <v>0.20078833756884301</v>
      </c>
      <c r="M151">
        <v>4.2233476696647898E-2</v>
      </c>
      <c r="N151">
        <v>2011</v>
      </c>
      <c r="O151" t="s">
        <v>13</v>
      </c>
      <c r="P151" t="s">
        <v>54</v>
      </c>
      <c r="Q151" t="s">
        <v>15</v>
      </c>
      <c r="R151" t="s">
        <v>15</v>
      </c>
    </row>
    <row r="152" spans="1:18" x14ac:dyDescent="0.25">
      <c r="A152" t="s">
        <v>51</v>
      </c>
      <c r="B152" t="s">
        <v>56</v>
      </c>
      <c r="C152" t="s">
        <v>12</v>
      </c>
      <c r="D152">
        <v>2</v>
      </c>
      <c r="E152">
        <v>19</v>
      </c>
      <c r="F152">
        <v>0</v>
      </c>
      <c r="G152">
        <v>319</v>
      </c>
      <c r="H152">
        <v>7.8953061253975901E-2</v>
      </c>
      <c r="I152">
        <v>298</v>
      </c>
      <c r="L152">
        <v>0.100001392862406</v>
      </c>
      <c r="M152">
        <v>0</v>
      </c>
      <c r="N152">
        <v>2018</v>
      </c>
      <c r="O152" t="s">
        <v>13</v>
      </c>
      <c r="P152" t="s">
        <v>54</v>
      </c>
      <c r="Q152" t="s">
        <v>15</v>
      </c>
      <c r="R152" t="s">
        <v>15</v>
      </c>
    </row>
    <row r="153" spans="1:18" x14ac:dyDescent="0.25">
      <c r="A153" t="s">
        <v>51</v>
      </c>
      <c r="B153" t="s">
        <v>56</v>
      </c>
      <c r="C153" t="s">
        <v>12</v>
      </c>
      <c r="D153">
        <v>2</v>
      </c>
      <c r="E153">
        <v>25</v>
      </c>
      <c r="F153">
        <v>5.5762769779491104E-3</v>
      </c>
      <c r="G153">
        <v>1693</v>
      </c>
      <c r="H153">
        <v>0.11316452859812599</v>
      </c>
      <c r="I153">
        <v>1586</v>
      </c>
      <c r="L153">
        <v>0.104855956826809</v>
      </c>
      <c r="M153">
        <v>5.1963095367849502E-2</v>
      </c>
      <c r="N153">
        <v>2018</v>
      </c>
      <c r="O153" t="s">
        <v>13</v>
      </c>
      <c r="P153" t="s">
        <v>54</v>
      </c>
      <c r="Q153" t="s">
        <v>15</v>
      </c>
      <c r="R153" t="s">
        <v>15</v>
      </c>
    </row>
    <row r="154" spans="1:18" x14ac:dyDescent="0.25">
      <c r="A154" t="s">
        <v>51</v>
      </c>
      <c r="B154" t="s">
        <v>56</v>
      </c>
      <c r="C154" t="s">
        <v>12</v>
      </c>
      <c r="D154">
        <v>2</v>
      </c>
      <c r="E154">
        <v>35</v>
      </c>
      <c r="F154">
        <v>2.7545040851976701E-2</v>
      </c>
      <c r="G154">
        <v>1646</v>
      </c>
      <c r="H154">
        <v>0.174653217971732</v>
      </c>
      <c r="I154">
        <v>1526</v>
      </c>
      <c r="L154">
        <v>0.103146904791135</v>
      </c>
      <c r="M154">
        <v>6.0495858773956003E-2</v>
      </c>
      <c r="N154">
        <v>2018</v>
      </c>
      <c r="O154" t="s">
        <v>13</v>
      </c>
      <c r="P154" t="s">
        <v>54</v>
      </c>
      <c r="Q154" t="s">
        <v>15</v>
      </c>
      <c r="R154" t="s">
        <v>15</v>
      </c>
    </row>
    <row r="155" spans="1:18" x14ac:dyDescent="0.25">
      <c r="A155" t="s">
        <v>51</v>
      </c>
      <c r="B155" t="s">
        <v>56</v>
      </c>
      <c r="C155" t="s">
        <v>12</v>
      </c>
      <c r="D155">
        <v>2</v>
      </c>
      <c r="E155">
        <v>45</v>
      </c>
      <c r="F155">
        <v>6.4186803887437596E-2</v>
      </c>
      <c r="G155">
        <v>1200</v>
      </c>
      <c r="H155">
        <v>0.21667824721032999</v>
      </c>
      <c r="I155">
        <v>1047</v>
      </c>
      <c r="L155">
        <v>0.10350501389415</v>
      </c>
      <c r="M155">
        <v>7.0143455580149602E-2</v>
      </c>
      <c r="N155">
        <v>2018</v>
      </c>
      <c r="O155" t="s">
        <v>13</v>
      </c>
      <c r="P155" t="s">
        <v>54</v>
      </c>
      <c r="Q155" t="s">
        <v>15</v>
      </c>
      <c r="R155" t="s">
        <v>15</v>
      </c>
    </row>
    <row r="156" spans="1:18" x14ac:dyDescent="0.25">
      <c r="A156" t="s">
        <v>51</v>
      </c>
      <c r="B156" t="s">
        <v>57</v>
      </c>
      <c r="C156" t="s">
        <v>12</v>
      </c>
      <c r="D156">
        <v>2</v>
      </c>
      <c r="E156">
        <v>19</v>
      </c>
      <c r="J156">
        <v>1.47051841242259E-2</v>
      </c>
      <c r="K156">
        <v>123</v>
      </c>
      <c r="L156">
        <v>1.3296737891515E-2</v>
      </c>
      <c r="M156">
        <v>0</v>
      </c>
      <c r="N156">
        <v>2018</v>
      </c>
      <c r="O156" t="s">
        <v>13</v>
      </c>
      <c r="P156" t="s">
        <v>54</v>
      </c>
      <c r="Q156" t="s">
        <v>15</v>
      </c>
      <c r="R156" t="s">
        <v>15</v>
      </c>
    </row>
    <row r="157" spans="1:18" x14ac:dyDescent="0.25">
      <c r="A157" t="s">
        <v>51</v>
      </c>
      <c r="B157" t="s">
        <v>57</v>
      </c>
      <c r="C157" t="s">
        <v>12</v>
      </c>
      <c r="D157">
        <v>2</v>
      </c>
      <c r="E157">
        <v>25</v>
      </c>
      <c r="J157">
        <v>3.78151298382211E-2</v>
      </c>
      <c r="K157">
        <v>757</v>
      </c>
      <c r="L157">
        <v>1.26903124135294E-2</v>
      </c>
      <c r="M157">
        <v>0</v>
      </c>
      <c r="N157">
        <v>2018</v>
      </c>
      <c r="O157" t="s">
        <v>13</v>
      </c>
      <c r="P157" t="s">
        <v>54</v>
      </c>
      <c r="Q157" t="s">
        <v>15</v>
      </c>
      <c r="R157" t="s">
        <v>15</v>
      </c>
    </row>
    <row r="158" spans="1:18" x14ac:dyDescent="0.25">
      <c r="A158" t="s">
        <v>51</v>
      </c>
      <c r="B158" t="s">
        <v>57</v>
      </c>
      <c r="C158" t="s">
        <v>12</v>
      </c>
      <c r="D158">
        <v>2</v>
      </c>
      <c r="E158">
        <v>35</v>
      </c>
      <c r="J158">
        <v>0.108824086440428</v>
      </c>
      <c r="K158">
        <v>1259</v>
      </c>
      <c r="L158">
        <v>1.34900163850917E-2</v>
      </c>
      <c r="M158">
        <v>0</v>
      </c>
      <c r="N158">
        <v>2018</v>
      </c>
      <c r="O158" t="s">
        <v>13</v>
      </c>
      <c r="P158" t="s">
        <v>54</v>
      </c>
      <c r="Q158" t="s">
        <v>15</v>
      </c>
      <c r="R158" t="s">
        <v>15</v>
      </c>
    </row>
    <row r="159" spans="1:18" x14ac:dyDescent="0.25">
      <c r="A159" t="s">
        <v>51</v>
      </c>
      <c r="B159" t="s">
        <v>57</v>
      </c>
      <c r="C159" t="s">
        <v>12</v>
      </c>
      <c r="D159">
        <v>2</v>
      </c>
      <c r="E159">
        <v>45</v>
      </c>
      <c r="J159">
        <v>0.181788708463026</v>
      </c>
      <c r="K159">
        <v>873</v>
      </c>
      <c r="L159">
        <v>1.3041048665407E-2</v>
      </c>
      <c r="M159">
        <v>0</v>
      </c>
      <c r="N159">
        <v>2018</v>
      </c>
      <c r="O159" t="s">
        <v>13</v>
      </c>
      <c r="P159" t="s">
        <v>54</v>
      </c>
      <c r="Q159" t="s">
        <v>15</v>
      </c>
      <c r="R159" t="s">
        <v>15</v>
      </c>
    </row>
    <row r="160" spans="1:18" x14ac:dyDescent="0.25">
      <c r="A160" t="s">
        <v>51</v>
      </c>
      <c r="B160" t="s">
        <v>57</v>
      </c>
      <c r="C160" t="s">
        <v>12</v>
      </c>
      <c r="D160">
        <v>2</v>
      </c>
      <c r="E160">
        <v>55</v>
      </c>
      <c r="J160">
        <v>0.19666292019694601</v>
      </c>
      <c r="K160">
        <v>494</v>
      </c>
      <c r="L160">
        <v>1.31343712514311E-2</v>
      </c>
      <c r="M160">
        <v>0</v>
      </c>
      <c r="N160">
        <v>2018</v>
      </c>
      <c r="O160" t="s">
        <v>13</v>
      </c>
      <c r="P160" t="s">
        <v>54</v>
      </c>
      <c r="Q160" t="s">
        <v>15</v>
      </c>
      <c r="R160" t="s">
        <v>15</v>
      </c>
    </row>
    <row r="161" spans="1:18" x14ac:dyDescent="0.25">
      <c r="A161" t="s">
        <v>51</v>
      </c>
      <c r="B161" t="s">
        <v>57</v>
      </c>
      <c r="C161" t="s">
        <v>12</v>
      </c>
      <c r="D161">
        <v>2</v>
      </c>
      <c r="E161">
        <v>65</v>
      </c>
      <c r="J161">
        <v>0.30282722976627002</v>
      </c>
      <c r="K161">
        <v>196</v>
      </c>
      <c r="L161">
        <v>1.3638455551608499E-2</v>
      </c>
      <c r="M161">
        <v>0</v>
      </c>
      <c r="N161">
        <v>2018</v>
      </c>
      <c r="O161" t="s">
        <v>13</v>
      </c>
      <c r="P161" t="s">
        <v>54</v>
      </c>
      <c r="Q161" t="s">
        <v>15</v>
      </c>
      <c r="R161" t="s">
        <v>15</v>
      </c>
    </row>
    <row r="162" spans="1:18" x14ac:dyDescent="0.25">
      <c r="A162" t="s">
        <v>51</v>
      </c>
      <c r="B162" t="s">
        <v>57</v>
      </c>
      <c r="C162" t="s">
        <v>12</v>
      </c>
      <c r="D162">
        <v>1</v>
      </c>
      <c r="E162">
        <v>19</v>
      </c>
      <c r="J162">
        <v>1.3070178881736699E-2</v>
      </c>
      <c r="K162">
        <v>92</v>
      </c>
      <c r="L162">
        <v>1.2782673788453399E-2</v>
      </c>
      <c r="M162">
        <v>0</v>
      </c>
      <c r="N162">
        <v>2018</v>
      </c>
      <c r="O162" t="s">
        <v>13</v>
      </c>
      <c r="P162" t="s">
        <v>54</v>
      </c>
      <c r="Q162" t="s">
        <v>15</v>
      </c>
      <c r="R162" t="s">
        <v>15</v>
      </c>
    </row>
    <row r="163" spans="1:18" x14ac:dyDescent="0.25">
      <c r="A163" t="s">
        <v>51</v>
      </c>
      <c r="B163" t="s">
        <v>57</v>
      </c>
      <c r="C163" t="s">
        <v>12</v>
      </c>
      <c r="D163">
        <v>1</v>
      </c>
      <c r="E163">
        <v>25</v>
      </c>
      <c r="J163">
        <v>5.4012595241993401E-2</v>
      </c>
      <c r="K163">
        <v>514</v>
      </c>
      <c r="L163">
        <v>1.35885603717218E-2</v>
      </c>
      <c r="M163">
        <v>0</v>
      </c>
      <c r="N163">
        <v>2018</v>
      </c>
      <c r="O163" t="s">
        <v>13</v>
      </c>
      <c r="P163" t="s">
        <v>54</v>
      </c>
      <c r="Q163" t="s">
        <v>15</v>
      </c>
      <c r="R163" t="s">
        <v>15</v>
      </c>
    </row>
    <row r="164" spans="1:18" x14ac:dyDescent="0.25">
      <c r="A164" t="s">
        <v>51</v>
      </c>
      <c r="B164" t="s">
        <v>57</v>
      </c>
      <c r="C164" t="s">
        <v>12</v>
      </c>
      <c r="D164">
        <v>1</v>
      </c>
      <c r="E164">
        <v>35</v>
      </c>
      <c r="J164">
        <v>0.102390795119401</v>
      </c>
      <c r="K164">
        <v>965</v>
      </c>
      <c r="L164">
        <v>1.32977277566223E-2</v>
      </c>
      <c r="M164">
        <v>0</v>
      </c>
      <c r="N164">
        <v>2018</v>
      </c>
      <c r="O164" t="s">
        <v>13</v>
      </c>
      <c r="P164" t="s">
        <v>54</v>
      </c>
      <c r="Q164" t="s">
        <v>15</v>
      </c>
      <c r="R164" t="s">
        <v>15</v>
      </c>
    </row>
    <row r="165" spans="1:18" x14ac:dyDescent="0.25">
      <c r="A165" t="s">
        <v>51</v>
      </c>
      <c r="B165" t="s">
        <v>57</v>
      </c>
      <c r="C165" t="s">
        <v>12</v>
      </c>
      <c r="D165">
        <v>1</v>
      </c>
      <c r="E165">
        <v>45</v>
      </c>
      <c r="J165">
        <v>0.150328674823692</v>
      </c>
      <c r="K165">
        <v>770</v>
      </c>
      <c r="L165">
        <v>1.2995516869995401E-2</v>
      </c>
      <c r="M165">
        <v>0</v>
      </c>
      <c r="N165">
        <v>2018</v>
      </c>
      <c r="O165" t="s">
        <v>13</v>
      </c>
      <c r="P165" t="s">
        <v>54</v>
      </c>
      <c r="Q165" t="s">
        <v>15</v>
      </c>
      <c r="R165" t="s">
        <v>15</v>
      </c>
    </row>
    <row r="166" spans="1:18" x14ac:dyDescent="0.25">
      <c r="A166" t="s">
        <v>51</v>
      </c>
      <c r="B166" t="s">
        <v>57</v>
      </c>
      <c r="C166" t="s">
        <v>12</v>
      </c>
      <c r="D166">
        <v>1</v>
      </c>
      <c r="E166">
        <v>55</v>
      </c>
      <c r="J166">
        <v>0.172691870638954</v>
      </c>
      <c r="K166">
        <v>581</v>
      </c>
      <c r="L166">
        <v>1.3561544809381499E-2</v>
      </c>
      <c r="M166">
        <v>0</v>
      </c>
      <c r="N166">
        <v>2018</v>
      </c>
      <c r="O166" t="s">
        <v>13</v>
      </c>
      <c r="P166" t="s">
        <v>54</v>
      </c>
      <c r="Q166" t="s">
        <v>15</v>
      </c>
      <c r="R166" t="s">
        <v>15</v>
      </c>
    </row>
    <row r="167" spans="1:18" x14ac:dyDescent="0.25">
      <c r="A167" t="s">
        <v>51</v>
      </c>
      <c r="B167" t="s">
        <v>57</v>
      </c>
      <c r="C167" t="s">
        <v>12</v>
      </c>
      <c r="D167">
        <v>1</v>
      </c>
      <c r="E167">
        <v>65</v>
      </c>
      <c r="J167">
        <v>0.240313006757926</v>
      </c>
      <c r="K167">
        <v>325</v>
      </c>
      <c r="L167">
        <v>1.32498278446631E-2</v>
      </c>
      <c r="M167">
        <v>0</v>
      </c>
      <c r="N167">
        <v>2018</v>
      </c>
      <c r="O167" t="s">
        <v>13</v>
      </c>
      <c r="P167" t="s">
        <v>54</v>
      </c>
      <c r="Q167" t="s">
        <v>15</v>
      </c>
      <c r="R167" t="s">
        <v>15</v>
      </c>
    </row>
    <row r="168" spans="1:18" x14ac:dyDescent="0.25">
      <c r="A168" t="s">
        <v>58</v>
      </c>
      <c r="B168" t="s">
        <v>59</v>
      </c>
      <c r="C168" t="s">
        <v>12</v>
      </c>
      <c r="D168">
        <v>2</v>
      </c>
      <c r="E168">
        <v>19</v>
      </c>
      <c r="F168">
        <v>0</v>
      </c>
      <c r="G168">
        <v>48</v>
      </c>
      <c r="H168">
        <v>6.04754340197362E-2</v>
      </c>
      <c r="I168">
        <v>22</v>
      </c>
      <c r="L168">
        <v>8.4760377036922005E-3</v>
      </c>
      <c r="M168">
        <v>0</v>
      </c>
      <c r="N168">
        <v>2019</v>
      </c>
      <c r="O168" t="s">
        <v>13</v>
      </c>
      <c r="P168" t="s">
        <v>60</v>
      </c>
      <c r="Q168" t="s">
        <v>61</v>
      </c>
      <c r="R168" t="s">
        <v>25</v>
      </c>
    </row>
    <row r="169" spans="1:18" x14ac:dyDescent="0.25">
      <c r="A169" t="s">
        <v>58</v>
      </c>
      <c r="B169" t="s">
        <v>59</v>
      </c>
      <c r="C169" t="s">
        <v>12</v>
      </c>
      <c r="D169">
        <v>2</v>
      </c>
      <c r="E169">
        <v>25</v>
      </c>
      <c r="F169">
        <v>1.6873598368309799E-2</v>
      </c>
      <c r="G169">
        <v>227</v>
      </c>
      <c r="H169">
        <v>0.12148851109826</v>
      </c>
      <c r="I169">
        <v>117</v>
      </c>
      <c r="L169">
        <v>3.7725244182584502E-3</v>
      </c>
      <c r="M169">
        <v>3.0310356172795999E-3</v>
      </c>
      <c r="N169">
        <v>2019</v>
      </c>
      <c r="O169" t="s">
        <v>13</v>
      </c>
      <c r="P169" t="s">
        <v>60</v>
      </c>
      <c r="Q169" t="s">
        <v>61</v>
      </c>
      <c r="R169" t="s">
        <v>25</v>
      </c>
    </row>
    <row r="170" spans="1:18" x14ac:dyDescent="0.25">
      <c r="A170" t="s">
        <v>58</v>
      </c>
      <c r="B170" t="s">
        <v>59</v>
      </c>
      <c r="C170" t="s">
        <v>12</v>
      </c>
      <c r="D170">
        <v>2</v>
      </c>
      <c r="E170">
        <v>35</v>
      </c>
      <c r="F170">
        <v>2.4945306032871199E-2</v>
      </c>
      <c r="G170">
        <v>292</v>
      </c>
      <c r="H170">
        <v>8.6837803442646799E-2</v>
      </c>
      <c r="I170">
        <v>142</v>
      </c>
      <c r="L170">
        <v>2.9753847889198999E-2</v>
      </c>
      <c r="M170">
        <v>3.7521772735980098E-2</v>
      </c>
      <c r="N170">
        <v>2019</v>
      </c>
      <c r="O170" t="s">
        <v>13</v>
      </c>
      <c r="P170" t="s">
        <v>60</v>
      </c>
      <c r="Q170" t="s">
        <v>61</v>
      </c>
      <c r="R170" t="s">
        <v>25</v>
      </c>
    </row>
    <row r="171" spans="1:18" x14ac:dyDescent="0.25">
      <c r="A171" t="s">
        <v>58</v>
      </c>
      <c r="B171" t="s">
        <v>59</v>
      </c>
      <c r="C171" t="s">
        <v>12</v>
      </c>
      <c r="D171">
        <v>2</v>
      </c>
      <c r="E171">
        <v>45</v>
      </c>
      <c r="F171">
        <v>4.85662430603854E-2</v>
      </c>
      <c r="G171">
        <v>335</v>
      </c>
      <c r="H171">
        <v>7.9644385311962995E-2</v>
      </c>
      <c r="I171">
        <v>171</v>
      </c>
      <c r="L171">
        <v>1.8700288453657302E-2</v>
      </c>
      <c r="M171">
        <v>3.9858111154470299E-2</v>
      </c>
      <c r="N171">
        <v>2019</v>
      </c>
      <c r="O171" t="s">
        <v>13</v>
      </c>
      <c r="P171" t="s">
        <v>60</v>
      </c>
      <c r="Q171" t="s">
        <v>61</v>
      </c>
      <c r="R171" t="s">
        <v>25</v>
      </c>
    </row>
    <row r="172" spans="1:18" x14ac:dyDescent="0.25">
      <c r="A172" t="s">
        <v>58</v>
      </c>
      <c r="B172" t="s">
        <v>59</v>
      </c>
      <c r="C172" t="s">
        <v>12</v>
      </c>
      <c r="D172">
        <v>2</v>
      </c>
      <c r="E172">
        <v>55</v>
      </c>
      <c r="F172">
        <v>9.5859360473008304E-2</v>
      </c>
      <c r="G172">
        <v>317</v>
      </c>
      <c r="H172">
        <v>0.19027545551877501</v>
      </c>
      <c r="I172">
        <v>161</v>
      </c>
      <c r="L172">
        <v>1.95879734409974E-2</v>
      </c>
      <c r="M172">
        <v>2.11876479210748E-2</v>
      </c>
      <c r="N172">
        <v>2019</v>
      </c>
      <c r="O172" t="s">
        <v>13</v>
      </c>
      <c r="P172" t="s">
        <v>60</v>
      </c>
      <c r="Q172" t="s">
        <v>61</v>
      </c>
      <c r="R172" t="s">
        <v>25</v>
      </c>
    </row>
    <row r="173" spans="1:18" x14ac:dyDescent="0.25">
      <c r="A173" t="s">
        <v>58</v>
      </c>
      <c r="B173" t="s">
        <v>59</v>
      </c>
      <c r="C173" t="s">
        <v>12</v>
      </c>
      <c r="D173">
        <v>2</v>
      </c>
      <c r="E173">
        <v>65</v>
      </c>
      <c r="F173">
        <v>0.30002364961427902</v>
      </c>
      <c r="G173">
        <v>184</v>
      </c>
      <c r="H173">
        <v>0.112841486258597</v>
      </c>
      <c r="I173">
        <v>68</v>
      </c>
      <c r="L173">
        <v>6.2176049828912699E-3</v>
      </c>
      <c r="M173">
        <v>3.3596501395641097E-2</v>
      </c>
      <c r="N173">
        <v>2019</v>
      </c>
      <c r="O173" t="s">
        <v>13</v>
      </c>
      <c r="P173" t="s">
        <v>60</v>
      </c>
      <c r="Q173" t="s">
        <v>61</v>
      </c>
      <c r="R173" t="s">
        <v>25</v>
      </c>
    </row>
    <row r="174" spans="1:18" x14ac:dyDescent="0.25">
      <c r="A174" t="s">
        <v>58</v>
      </c>
      <c r="B174" t="s">
        <v>59</v>
      </c>
      <c r="C174" t="s">
        <v>12</v>
      </c>
      <c r="D174">
        <v>1</v>
      </c>
      <c r="E174">
        <v>19</v>
      </c>
      <c r="F174">
        <v>0</v>
      </c>
      <c r="G174">
        <v>48</v>
      </c>
      <c r="H174">
        <v>4.6966344494401603E-2</v>
      </c>
      <c r="I174">
        <v>18</v>
      </c>
      <c r="L174">
        <v>2.4264236753109699E-3</v>
      </c>
      <c r="M174">
        <v>0</v>
      </c>
      <c r="N174">
        <v>2019</v>
      </c>
      <c r="O174" t="s">
        <v>13</v>
      </c>
      <c r="P174" t="s">
        <v>60</v>
      </c>
      <c r="Q174" t="s">
        <v>61</v>
      </c>
      <c r="R174" t="s">
        <v>25</v>
      </c>
    </row>
    <row r="175" spans="1:18" x14ac:dyDescent="0.25">
      <c r="A175" t="s">
        <v>58</v>
      </c>
      <c r="B175" t="s">
        <v>59</v>
      </c>
      <c r="C175" t="s">
        <v>12</v>
      </c>
      <c r="D175">
        <v>1</v>
      </c>
      <c r="E175">
        <v>25</v>
      </c>
      <c r="F175">
        <v>9.3187886544302198E-3</v>
      </c>
      <c r="G175">
        <v>159</v>
      </c>
      <c r="H175">
        <v>4.6304564840001797E-2</v>
      </c>
      <c r="I175">
        <v>53</v>
      </c>
      <c r="L175">
        <v>1.37120304934911E-2</v>
      </c>
      <c r="M175">
        <v>1.9706831171138299E-2</v>
      </c>
      <c r="N175">
        <v>2019</v>
      </c>
      <c r="O175" t="s">
        <v>13</v>
      </c>
      <c r="P175" t="s">
        <v>60</v>
      </c>
      <c r="Q175" t="s">
        <v>61</v>
      </c>
      <c r="R175" t="s">
        <v>25</v>
      </c>
    </row>
    <row r="176" spans="1:18" x14ac:dyDescent="0.25">
      <c r="A176" t="s">
        <v>58</v>
      </c>
      <c r="B176" t="s">
        <v>59</v>
      </c>
      <c r="C176" t="s">
        <v>12</v>
      </c>
      <c r="D176">
        <v>1</v>
      </c>
      <c r="E176">
        <v>35</v>
      </c>
      <c r="F176">
        <v>0</v>
      </c>
      <c r="G176">
        <v>168</v>
      </c>
      <c r="H176">
        <v>5.9006049168456198E-2</v>
      </c>
      <c r="I176">
        <v>73</v>
      </c>
      <c r="L176">
        <v>3.1383887372354299E-2</v>
      </c>
      <c r="M176">
        <v>0</v>
      </c>
      <c r="N176">
        <v>2019</v>
      </c>
      <c r="O176" t="s">
        <v>13</v>
      </c>
      <c r="P176" t="s">
        <v>60</v>
      </c>
      <c r="Q176" t="s">
        <v>61</v>
      </c>
      <c r="R176" t="s">
        <v>25</v>
      </c>
    </row>
    <row r="177" spans="1:18" x14ac:dyDescent="0.25">
      <c r="A177" t="s">
        <v>58</v>
      </c>
      <c r="B177" t="s">
        <v>59</v>
      </c>
      <c r="C177" t="s">
        <v>12</v>
      </c>
      <c r="D177">
        <v>1</v>
      </c>
      <c r="E177">
        <v>45</v>
      </c>
      <c r="F177">
        <v>2.4309499619130499E-2</v>
      </c>
      <c r="G177">
        <v>207</v>
      </c>
      <c r="H177">
        <v>8.0522040499055397E-2</v>
      </c>
      <c r="I177">
        <v>100</v>
      </c>
      <c r="L177">
        <v>2.6916486266780299E-2</v>
      </c>
      <c r="M177">
        <v>3.79074823178953E-2</v>
      </c>
      <c r="N177">
        <v>2019</v>
      </c>
      <c r="O177" t="s">
        <v>13</v>
      </c>
      <c r="P177" t="s">
        <v>60</v>
      </c>
      <c r="Q177" t="s">
        <v>61</v>
      </c>
      <c r="R177" t="s">
        <v>25</v>
      </c>
    </row>
    <row r="178" spans="1:18" x14ac:dyDescent="0.25">
      <c r="A178" t="s">
        <v>58</v>
      </c>
      <c r="B178" t="s">
        <v>59</v>
      </c>
      <c r="C178" t="s">
        <v>12</v>
      </c>
      <c r="D178">
        <v>1</v>
      </c>
      <c r="E178">
        <v>55</v>
      </c>
      <c r="F178">
        <v>8.8536543263103701E-2</v>
      </c>
      <c r="G178">
        <v>212</v>
      </c>
      <c r="H178">
        <v>0.23624245125589299</v>
      </c>
      <c r="I178">
        <v>107</v>
      </c>
      <c r="L178">
        <v>8.6194514148479201E-3</v>
      </c>
      <c r="M178">
        <v>6.4836781326335904E-3</v>
      </c>
      <c r="N178">
        <v>2019</v>
      </c>
      <c r="O178" t="s">
        <v>13</v>
      </c>
      <c r="P178" t="s">
        <v>60</v>
      </c>
      <c r="Q178" t="s">
        <v>61</v>
      </c>
      <c r="R178" t="s">
        <v>25</v>
      </c>
    </row>
    <row r="179" spans="1:18" x14ac:dyDescent="0.25">
      <c r="A179" t="s">
        <v>58</v>
      </c>
      <c r="B179" t="s">
        <v>59</v>
      </c>
      <c r="C179" t="s">
        <v>12</v>
      </c>
      <c r="D179">
        <v>1</v>
      </c>
      <c r="E179">
        <v>65</v>
      </c>
      <c r="F179">
        <v>0.24443732258950601</v>
      </c>
      <c r="G179">
        <v>138</v>
      </c>
      <c r="H179">
        <v>0.21133847321331201</v>
      </c>
      <c r="I179">
        <v>53</v>
      </c>
      <c r="L179">
        <v>9.2452617702008608E-3</v>
      </c>
      <c r="M179">
        <v>1.4876831287386E-2</v>
      </c>
      <c r="N179">
        <v>2019</v>
      </c>
      <c r="O179" t="s">
        <v>13</v>
      </c>
      <c r="P179" t="s">
        <v>60</v>
      </c>
      <c r="Q179" t="s">
        <v>61</v>
      </c>
      <c r="R179" t="s">
        <v>25</v>
      </c>
    </row>
    <row r="180" spans="1:18" x14ac:dyDescent="0.25">
      <c r="A180" t="s">
        <v>62</v>
      </c>
      <c r="B180" t="s">
        <v>63</v>
      </c>
      <c r="C180" t="s">
        <v>12</v>
      </c>
      <c r="D180">
        <v>2</v>
      </c>
      <c r="E180">
        <v>19</v>
      </c>
      <c r="F180">
        <v>0</v>
      </c>
      <c r="G180">
        <v>29</v>
      </c>
      <c r="H180">
        <v>7.5742222031695305E-4</v>
      </c>
      <c r="I180">
        <v>29</v>
      </c>
      <c r="L180">
        <v>9.5653184804450495E-2</v>
      </c>
      <c r="M180">
        <v>0</v>
      </c>
      <c r="N180">
        <v>2017</v>
      </c>
      <c r="O180" t="s">
        <v>13</v>
      </c>
      <c r="P180" t="s">
        <v>64</v>
      </c>
      <c r="Q180" t="s">
        <v>65</v>
      </c>
      <c r="R180" t="s">
        <v>66</v>
      </c>
    </row>
    <row r="181" spans="1:18" x14ac:dyDescent="0.25">
      <c r="A181" t="s">
        <v>62</v>
      </c>
      <c r="B181" t="s">
        <v>63</v>
      </c>
      <c r="C181" t="s">
        <v>12</v>
      </c>
      <c r="D181">
        <v>2</v>
      </c>
      <c r="E181">
        <v>25</v>
      </c>
      <c r="F181">
        <v>9.7284617073732007E-3</v>
      </c>
      <c r="G181">
        <v>315</v>
      </c>
      <c r="H181">
        <v>5.4311420304254503E-3</v>
      </c>
      <c r="I181">
        <v>297</v>
      </c>
      <c r="L181">
        <v>1.16646719031212E-3</v>
      </c>
      <c r="M181">
        <v>1.3929826342702799E-2</v>
      </c>
      <c r="N181">
        <v>2017</v>
      </c>
      <c r="O181" t="s">
        <v>13</v>
      </c>
      <c r="P181" t="s">
        <v>64</v>
      </c>
      <c r="Q181" t="s">
        <v>65</v>
      </c>
      <c r="R181" t="s">
        <v>66</v>
      </c>
    </row>
    <row r="182" spans="1:18" x14ac:dyDescent="0.25">
      <c r="A182" t="s">
        <v>62</v>
      </c>
      <c r="B182" t="s">
        <v>63</v>
      </c>
      <c r="C182" t="s">
        <v>12</v>
      </c>
      <c r="D182">
        <v>2</v>
      </c>
      <c r="E182">
        <v>35</v>
      </c>
      <c r="F182">
        <v>1.1249501952971599E-3</v>
      </c>
      <c r="G182">
        <v>489</v>
      </c>
      <c r="H182">
        <v>1.55959850574143E-2</v>
      </c>
      <c r="I182">
        <v>461</v>
      </c>
      <c r="L182">
        <v>4.0148674912778596E-3</v>
      </c>
      <c r="M182">
        <v>5.4471222264813497E-3</v>
      </c>
      <c r="N182">
        <v>2017</v>
      </c>
      <c r="O182" t="s">
        <v>13</v>
      </c>
      <c r="P182" t="s">
        <v>64</v>
      </c>
      <c r="Q182" t="s">
        <v>65</v>
      </c>
      <c r="R182" t="s">
        <v>66</v>
      </c>
    </row>
    <row r="183" spans="1:18" x14ac:dyDescent="0.25">
      <c r="A183" t="s">
        <v>62</v>
      </c>
      <c r="B183" t="s">
        <v>63</v>
      </c>
      <c r="C183" t="s">
        <v>12</v>
      </c>
      <c r="D183">
        <v>2</v>
      </c>
      <c r="E183">
        <v>45</v>
      </c>
      <c r="F183">
        <v>2.0181397149637001E-2</v>
      </c>
      <c r="G183">
        <v>657</v>
      </c>
      <c r="H183">
        <v>1.9070295041375598E-2</v>
      </c>
      <c r="I183">
        <v>620</v>
      </c>
      <c r="L183">
        <v>4.4220217879146501E-3</v>
      </c>
      <c r="M183">
        <v>2.2854187177748401E-2</v>
      </c>
      <c r="N183">
        <v>2017</v>
      </c>
      <c r="O183" t="s">
        <v>13</v>
      </c>
      <c r="P183" t="s">
        <v>64</v>
      </c>
      <c r="Q183" t="s">
        <v>65</v>
      </c>
      <c r="R183" t="s">
        <v>66</v>
      </c>
    </row>
    <row r="184" spans="1:18" x14ac:dyDescent="0.25">
      <c r="A184" t="s">
        <v>62</v>
      </c>
      <c r="B184" t="s">
        <v>63</v>
      </c>
      <c r="C184" t="s">
        <v>12</v>
      </c>
      <c r="D184">
        <v>2</v>
      </c>
      <c r="E184">
        <v>55</v>
      </c>
      <c r="F184">
        <v>3.0611593179650901E-2</v>
      </c>
      <c r="G184">
        <v>753</v>
      </c>
      <c r="H184">
        <v>3.5412155170437602E-2</v>
      </c>
      <c r="I184">
        <v>688</v>
      </c>
      <c r="L184">
        <v>4.9655743545497701E-3</v>
      </c>
      <c r="M184">
        <v>1.7796905866890599E-2</v>
      </c>
      <c r="N184">
        <v>2017</v>
      </c>
      <c r="O184" t="s">
        <v>13</v>
      </c>
      <c r="P184" t="s">
        <v>64</v>
      </c>
      <c r="Q184" t="s">
        <v>65</v>
      </c>
      <c r="R184" t="s">
        <v>66</v>
      </c>
    </row>
    <row r="185" spans="1:18" x14ac:dyDescent="0.25">
      <c r="A185" t="s">
        <v>62</v>
      </c>
      <c r="B185" t="s">
        <v>63</v>
      </c>
      <c r="C185" t="s">
        <v>12</v>
      </c>
      <c r="D185">
        <v>2</v>
      </c>
      <c r="E185">
        <v>65</v>
      </c>
      <c r="F185">
        <v>0.100949954333953</v>
      </c>
      <c r="G185">
        <v>654</v>
      </c>
      <c r="H185">
        <v>4.5531098941866403E-2</v>
      </c>
      <c r="I185">
        <v>558</v>
      </c>
      <c r="L185">
        <v>4.3757431817766299E-3</v>
      </c>
      <c r="M185">
        <v>2.8099509967181101E-2</v>
      </c>
      <c r="N185">
        <v>2017</v>
      </c>
      <c r="O185" t="s">
        <v>13</v>
      </c>
      <c r="P185" t="s">
        <v>64</v>
      </c>
      <c r="Q185" t="s">
        <v>65</v>
      </c>
      <c r="R185" t="s">
        <v>66</v>
      </c>
    </row>
    <row r="186" spans="1:18" x14ac:dyDescent="0.25">
      <c r="A186" t="s">
        <v>62</v>
      </c>
      <c r="B186" t="s">
        <v>63</v>
      </c>
      <c r="C186" t="s">
        <v>12</v>
      </c>
      <c r="D186">
        <v>1</v>
      </c>
      <c r="E186">
        <v>19</v>
      </c>
      <c r="F186">
        <v>0</v>
      </c>
      <c r="G186">
        <v>32</v>
      </c>
      <c r="H186">
        <v>3.1358420181827297E-4</v>
      </c>
      <c r="I186">
        <v>31</v>
      </c>
      <c r="L186">
        <v>8.6298927350148297E-2</v>
      </c>
      <c r="M186">
        <v>0</v>
      </c>
      <c r="N186">
        <v>2017</v>
      </c>
      <c r="O186" t="s">
        <v>13</v>
      </c>
      <c r="P186" t="s">
        <v>64</v>
      </c>
      <c r="Q186" t="s">
        <v>65</v>
      </c>
      <c r="R186" t="s">
        <v>66</v>
      </c>
    </row>
    <row r="187" spans="1:18" x14ac:dyDescent="0.25">
      <c r="A187" t="s">
        <v>62</v>
      </c>
      <c r="B187" t="s">
        <v>63</v>
      </c>
      <c r="C187" t="s">
        <v>12</v>
      </c>
      <c r="D187">
        <v>1</v>
      </c>
      <c r="E187">
        <v>25</v>
      </c>
      <c r="F187">
        <v>3.2937187501877198E-3</v>
      </c>
      <c r="G187">
        <v>299</v>
      </c>
      <c r="H187">
        <v>6.0396672536048197E-3</v>
      </c>
      <c r="I187">
        <v>279</v>
      </c>
      <c r="L187">
        <v>1.99672536947433E-3</v>
      </c>
      <c r="M187">
        <v>9.5665231471499992E-3</v>
      </c>
      <c r="N187">
        <v>2017</v>
      </c>
      <c r="O187" t="s">
        <v>13</v>
      </c>
      <c r="P187" t="s">
        <v>64</v>
      </c>
      <c r="Q187" t="s">
        <v>65</v>
      </c>
      <c r="R187" t="s">
        <v>66</v>
      </c>
    </row>
    <row r="188" spans="1:18" x14ac:dyDescent="0.25">
      <c r="A188" t="s">
        <v>62</v>
      </c>
      <c r="B188" t="s">
        <v>63</v>
      </c>
      <c r="C188" t="s">
        <v>12</v>
      </c>
      <c r="D188">
        <v>1</v>
      </c>
      <c r="E188">
        <v>35</v>
      </c>
      <c r="F188">
        <v>5.0714596631187599E-3</v>
      </c>
      <c r="G188">
        <v>369</v>
      </c>
      <c r="H188">
        <v>9.4545853064601608E-3</v>
      </c>
      <c r="I188">
        <v>344</v>
      </c>
      <c r="L188">
        <v>5.9948513985030203E-3</v>
      </c>
      <c r="M188">
        <v>2.3778211854312298E-2</v>
      </c>
      <c r="N188">
        <v>2017</v>
      </c>
      <c r="O188" t="s">
        <v>13</v>
      </c>
      <c r="P188" t="s">
        <v>64</v>
      </c>
      <c r="Q188" t="s">
        <v>65</v>
      </c>
      <c r="R188" t="s">
        <v>66</v>
      </c>
    </row>
    <row r="189" spans="1:18" x14ac:dyDescent="0.25">
      <c r="A189" t="s">
        <v>62</v>
      </c>
      <c r="B189" t="s">
        <v>63</v>
      </c>
      <c r="C189" t="s">
        <v>12</v>
      </c>
      <c r="D189">
        <v>1</v>
      </c>
      <c r="E189">
        <v>45</v>
      </c>
      <c r="F189">
        <v>1.4959951972846001E-2</v>
      </c>
      <c r="G189">
        <v>489</v>
      </c>
      <c r="H189">
        <v>2.1798463583619501E-2</v>
      </c>
      <c r="I189">
        <v>459</v>
      </c>
      <c r="L189">
        <v>3.4928690552474499E-3</v>
      </c>
      <c r="M189">
        <v>1.32712618514386E-2</v>
      </c>
      <c r="N189">
        <v>2017</v>
      </c>
      <c r="O189" t="s">
        <v>13</v>
      </c>
      <c r="P189" t="s">
        <v>64</v>
      </c>
      <c r="Q189" t="s">
        <v>65</v>
      </c>
      <c r="R189" t="s">
        <v>66</v>
      </c>
    </row>
    <row r="190" spans="1:18" x14ac:dyDescent="0.25">
      <c r="A190" t="s">
        <v>62</v>
      </c>
      <c r="B190" t="s">
        <v>63</v>
      </c>
      <c r="C190" t="s">
        <v>12</v>
      </c>
      <c r="D190">
        <v>1</v>
      </c>
      <c r="E190">
        <v>55</v>
      </c>
      <c r="F190">
        <v>5.0715342857182003E-2</v>
      </c>
      <c r="G190">
        <v>546</v>
      </c>
      <c r="H190">
        <v>3.7394841506376501E-2</v>
      </c>
      <c r="I190">
        <v>497</v>
      </c>
      <c r="L190">
        <v>3.1140139033678598E-3</v>
      </c>
      <c r="M190">
        <v>1.52808255558295E-2</v>
      </c>
      <c r="N190">
        <v>2017</v>
      </c>
      <c r="O190" t="s">
        <v>13</v>
      </c>
      <c r="P190" t="s">
        <v>64</v>
      </c>
      <c r="Q190" t="s">
        <v>65</v>
      </c>
      <c r="R190" t="s">
        <v>66</v>
      </c>
    </row>
    <row r="191" spans="1:18" x14ac:dyDescent="0.25">
      <c r="A191" t="s">
        <v>62</v>
      </c>
      <c r="B191" t="s">
        <v>63</v>
      </c>
      <c r="C191" t="s">
        <v>12</v>
      </c>
      <c r="D191">
        <v>1</v>
      </c>
      <c r="E191">
        <v>65</v>
      </c>
      <c r="F191">
        <v>8.4687311772453505E-2</v>
      </c>
      <c r="G191">
        <v>354</v>
      </c>
      <c r="H191">
        <v>4.1053402616220001E-2</v>
      </c>
      <c r="I191">
        <v>313</v>
      </c>
      <c r="L191">
        <v>3.7692255591965798E-3</v>
      </c>
      <c r="M191">
        <v>2.41197270198426E-2</v>
      </c>
      <c r="N191">
        <v>2017</v>
      </c>
      <c r="O191" t="s">
        <v>13</v>
      </c>
      <c r="P191" t="s">
        <v>64</v>
      </c>
      <c r="Q191" t="s">
        <v>65</v>
      </c>
      <c r="R191" t="s">
        <v>66</v>
      </c>
    </row>
    <row r="192" spans="1:18" x14ac:dyDescent="0.25">
      <c r="A192" t="s">
        <v>62</v>
      </c>
      <c r="B192" t="s">
        <v>67</v>
      </c>
      <c r="C192" t="s">
        <v>12</v>
      </c>
      <c r="D192">
        <v>2</v>
      </c>
      <c r="E192">
        <v>19</v>
      </c>
      <c r="F192">
        <v>0</v>
      </c>
      <c r="G192">
        <v>31</v>
      </c>
      <c r="H192">
        <v>7.2860327863954197E-3</v>
      </c>
      <c r="I192">
        <v>29</v>
      </c>
      <c r="L192">
        <v>1.31405459598317E-2</v>
      </c>
      <c r="M192">
        <v>0</v>
      </c>
      <c r="N192">
        <v>2020</v>
      </c>
      <c r="O192" t="s">
        <v>13</v>
      </c>
      <c r="P192" t="s">
        <v>64</v>
      </c>
      <c r="Q192" t="s">
        <v>65</v>
      </c>
      <c r="R192" t="s">
        <v>66</v>
      </c>
    </row>
    <row r="193" spans="1:18" x14ac:dyDescent="0.25">
      <c r="A193" t="s">
        <v>62</v>
      </c>
      <c r="B193" t="s">
        <v>67</v>
      </c>
      <c r="C193" t="s">
        <v>12</v>
      </c>
      <c r="D193">
        <v>2</v>
      </c>
      <c r="E193">
        <v>25</v>
      </c>
      <c r="F193">
        <v>0</v>
      </c>
      <c r="G193">
        <v>321</v>
      </c>
      <c r="H193">
        <v>4.0993404382699801E-3</v>
      </c>
      <c r="I193">
        <v>320</v>
      </c>
      <c r="L193">
        <v>1.6623109439057301E-2</v>
      </c>
      <c r="M193">
        <v>0</v>
      </c>
      <c r="N193">
        <v>2020</v>
      </c>
      <c r="O193" t="s">
        <v>13</v>
      </c>
      <c r="P193" t="s">
        <v>64</v>
      </c>
      <c r="Q193" t="s">
        <v>65</v>
      </c>
      <c r="R193" t="s">
        <v>66</v>
      </c>
    </row>
    <row r="194" spans="1:18" x14ac:dyDescent="0.25">
      <c r="A194" t="s">
        <v>62</v>
      </c>
      <c r="B194" t="s">
        <v>67</v>
      </c>
      <c r="C194" t="s">
        <v>12</v>
      </c>
      <c r="D194">
        <v>2</v>
      </c>
      <c r="E194">
        <v>35</v>
      </c>
      <c r="F194">
        <v>1.2849304392645E-2</v>
      </c>
      <c r="G194">
        <v>490</v>
      </c>
      <c r="H194">
        <v>1.86526627342215E-2</v>
      </c>
      <c r="I194">
        <v>472</v>
      </c>
      <c r="L194">
        <v>4.4368559693739804E-3</v>
      </c>
      <c r="M194">
        <v>1.7407329437671999E-2</v>
      </c>
      <c r="N194">
        <v>2020</v>
      </c>
      <c r="O194" t="s">
        <v>13</v>
      </c>
      <c r="P194" t="s">
        <v>64</v>
      </c>
      <c r="Q194" t="s">
        <v>65</v>
      </c>
      <c r="R194" t="s">
        <v>66</v>
      </c>
    </row>
    <row r="195" spans="1:18" x14ac:dyDescent="0.25">
      <c r="A195" t="s">
        <v>62</v>
      </c>
      <c r="B195" t="s">
        <v>67</v>
      </c>
      <c r="C195" t="s">
        <v>12</v>
      </c>
      <c r="D195">
        <v>2</v>
      </c>
      <c r="E195">
        <v>45</v>
      </c>
      <c r="F195">
        <v>2.3618233824739598E-2</v>
      </c>
      <c r="G195">
        <v>623</v>
      </c>
      <c r="H195">
        <v>4.5539219266287803E-2</v>
      </c>
      <c r="I195">
        <v>596</v>
      </c>
      <c r="L195">
        <v>3.6352802657219699E-3</v>
      </c>
      <c r="M195">
        <v>8.9009368865973597E-3</v>
      </c>
      <c r="N195">
        <v>2020</v>
      </c>
      <c r="O195" t="s">
        <v>13</v>
      </c>
      <c r="P195" t="s">
        <v>64</v>
      </c>
      <c r="Q195" t="s">
        <v>65</v>
      </c>
      <c r="R195" t="s">
        <v>66</v>
      </c>
    </row>
    <row r="196" spans="1:18" x14ac:dyDescent="0.25">
      <c r="A196" t="s">
        <v>62</v>
      </c>
      <c r="B196" t="s">
        <v>67</v>
      </c>
      <c r="C196" t="s">
        <v>12</v>
      </c>
      <c r="D196">
        <v>2</v>
      </c>
      <c r="E196">
        <v>55</v>
      </c>
      <c r="F196">
        <v>6.5686955133358094E-2</v>
      </c>
      <c r="G196">
        <v>737</v>
      </c>
      <c r="H196">
        <v>7.9809877376546295E-2</v>
      </c>
      <c r="I196">
        <v>664</v>
      </c>
      <c r="L196">
        <v>4.0505252595054502E-3</v>
      </c>
      <c r="M196">
        <v>1.00725519903389E-2</v>
      </c>
      <c r="N196">
        <v>2020</v>
      </c>
      <c r="O196" t="s">
        <v>13</v>
      </c>
      <c r="P196" t="s">
        <v>64</v>
      </c>
      <c r="Q196" t="s">
        <v>65</v>
      </c>
      <c r="R196" t="s">
        <v>66</v>
      </c>
    </row>
    <row r="197" spans="1:18" x14ac:dyDescent="0.25">
      <c r="A197" t="s">
        <v>62</v>
      </c>
      <c r="B197" t="s">
        <v>67</v>
      </c>
      <c r="C197" t="s">
        <v>12</v>
      </c>
      <c r="D197">
        <v>2</v>
      </c>
      <c r="E197">
        <v>65</v>
      </c>
      <c r="F197">
        <v>0.14245000265670801</v>
      </c>
      <c r="G197">
        <v>788</v>
      </c>
      <c r="H197">
        <v>0.11264096035497</v>
      </c>
      <c r="I197">
        <v>659</v>
      </c>
      <c r="L197">
        <v>5.0004167381222297E-3</v>
      </c>
      <c r="M197">
        <v>1.33547823017871E-2</v>
      </c>
      <c r="N197">
        <v>2020</v>
      </c>
      <c r="O197" t="s">
        <v>13</v>
      </c>
      <c r="P197" t="s">
        <v>64</v>
      </c>
      <c r="Q197" t="s">
        <v>65</v>
      </c>
      <c r="R197" t="s">
        <v>66</v>
      </c>
    </row>
    <row r="198" spans="1:18" x14ac:dyDescent="0.25">
      <c r="A198" t="s">
        <v>62</v>
      </c>
      <c r="B198" t="s">
        <v>67</v>
      </c>
      <c r="C198" t="s">
        <v>12</v>
      </c>
      <c r="D198">
        <v>1</v>
      </c>
      <c r="E198">
        <v>19</v>
      </c>
      <c r="F198">
        <v>0</v>
      </c>
      <c r="G198">
        <v>46</v>
      </c>
      <c r="H198">
        <v>1.30312814372457E-3</v>
      </c>
      <c r="I198">
        <v>46</v>
      </c>
      <c r="L198">
        <v>0.102337434124321</v>
      </c>
      <c r="M198">
        <v>0</v>
      </c>
      <c r="N198">
        <v>2020</v>
      </c>
      <c r="O198" t="s">
        <v>13</v>
      </c>
      <c r="P198" t="s">
        <v>64</v>
      </c>
      <c r="Q198" t="s">
        <v>65</v>
      </c>
      <c r="R198" t="s">
        <v>66</v>
      </c>
    </row>
    <row r="199" spans="1:18" x14ac:dyDescent="0.25">
      <c r="A199" t="s">
        <v>62</v>
      </c>
      <c r="B199" t="s">
        <v>67</v>
      </c>
      <c r="C199" t="s">
        <v>12</v>
      </c>
      <c r="D199">
        <v>1</v>
      </c>
      <c r="E199">
        <v>25</v>
      </c>
      <c r="F199">
        <v>1.4143978901521199E-2</v>
      </c>
      <c r="G199">
        <v>263</v>
      </c>
      <c r="H199">
        <v>1.7757998265831999E-2</v>
      </c>
      <c r="I199">
        <v>250</v>
      </c>
      <c r="L199">
        <v>9.0063440166048101E-4</v>
      </c>
      <c r="M199">
        <v>4.5110960511632802E-3</v>
      </c>
      <c r="N199">
        <v>2020</v>
      </c>
      <c r="O199" t="s">
        <v>13</v>
      </c>
      <c r="P199" t="s">
        <v>64</v>
      </c>
      <c r="Q199" t="s">
        <v>65</v>
      </c>
      <c r="R199" t="s">
        <v>66</v>
      </c>
    </row>
    <row r="200" spans="1:18" x14ac:dyDescent="0.25">
      <c r="A200" t="s">
        <v>62</v>
      </c>
      <c r="B200" t="s">
        <v>67</v>
      </c>
      <c r="C200" t="s">
        <v>12</v>
      </c>
      <c r="D200">
        <v>1</v>
      </c>
      <c r="E200">
        <v>35</v>
      </c>
      <c r="F200">
        <v>8.5929877716757006E-3</v>
      </c>
      <c r="G200">
        <v>422</v>
      </c>
      <c r="H200">
        <v>2.2621090867470099E-2</v>
      </c>
      <c r="I200">
        <v>403</v>
      </c>
      <c r="L200">
        <v>2.9512563239383698E-3</v>
      </c>
      <c r="M200">
        <v>7.8758016664889508E-3</v>
      </c>
      <c r="N200">
        <v>2020</v>
      </c>
      <c r="O200" t="s">
        <v>13</v>
      </c>
      <c r="P200" t="s">
        <v>64</v>
      </c>
      <c r="Q200" t="s">
        <v>65</v>
      </c>
      <c r="R200" t="s">
        <v>66</v>
      </c>
    </row>
    <row r="201" spans="1:18" x14ac:dyDescent="0.25">
      <c r="A201" t="s">
        <v>62</v>
      </c>
      <c r="B201" t="s">
        <v>67</v>
      </c>
      <c r="C201" t="s">
        <v>12</v>
      </c>
      <c r="D201">
        <v>1</v>
      </c>
      <c r="E201">
        <v>45</v>
      </c>
      <c r="F201">
        <v>5.5464147409630604E-3</v>
      </c>
      <c r="G201">
        <v>514</v>
      </c>
      <c r="H201">
        <v>4.1489763954710199E-2</v>
      </c>
      <c r="I201">
        <v>497</v>
      </c>
      <c r="L201">
        <v>6.3867250132948602E-3</v>
      </c>
      <c r="M201">
        <v>7.8237248863933396E-3</v>
      </c>
      <c r="N201">
        <v>2020</v>
      </c>
      <c r="O201" t="s">
        <v>13</v>
      </c>
      <c r="P201" t="s">
        <v>64</v>
      </c>
      <c r="Q201" t="s">
        <v>65</v>
      </c>
      <c r="R201" t="s">
        <v>66</v>
      </c>
    </row>
    <row r="202" spans="1:18" x14ac:dyDescent="0.25">
      <c r="A202" t="s">
        <v>62</v>
      </c>
      <c r="B202" t="s">
        <v>67</v>
      </c>
      <c r="C202" t="s">
        <v>12</v>
      </c>
      <c r="D202">
        <v>1</v>
      </c>
      <c r="E202">
        <v>55</v>
      </c>
      <c r="F202">
        <v>6.5685700010259598E-2</v>
      </c>
      <c r="G202">
        <v>579</v>
      </c>
      <c r="H202">
        <v>6.0716209613811703E-2</v>
      </c>
      <c r="I202">
        <v>541</v>
      </c>
      <c r="L202">
        <v>4.9558921191889399E-3</v>
      </c>
      <c r="M202">
        <v>1.6404659703721E-2</v>
      </c>
      <c r="N202">
        <v>2020</v>
      </c>
      <c r="O202" t="s">
        <v>13</v>
      </c>
      <c r="P202" t="s">
        <v>64</v>
      </c>
      <c r="Q202" t="s">
        <v>65</v>
      </c>
      <c r="R202" t="s">
        <v>66</v>
      </c>
    </row>
    <row r="203" spans="1:18" x14ac:dyDescent="0.25">
      <c r="A203" t="s">
        <v>62</v>
      </c>
      <c r="B203" t="s">
        <v>67</v>
      </c>
      <c r="C203" t="s">
        <v>12</v>
      </c>
      <c r="D203">
        <v>1</v>
      </c>
      <c r="E203">
        <v>65</v>
      </c>
      <c r="F203">
        <v>0.14372953128072499</v>
      </c>
      <c r="G203">
        <v>456</v>
      </c>
      <c r="H203">
        <v>0.12424528559871401</v>
      </c>
      <c r="I203">
        <v>402</v>
      </c>
      <c r="L203">
        <v>3.9883715267381402E-3</v>
      </c>
      <c r="M203">
        <v>9.4915723015201597E-3</v>
      </c>
      <c r="N203">
        <v>2020</v>
      </c>
      <c r="O203" t="s">
        <v>13</v>
      </c>
      <c r="P203" t="s">
        <v>64</v>
      </c>
      <c r="Q203" t="s">
        <v>65</v>
      </c>
      <c r="R203" t="s">
        <v>66</v>
      </c>
    </row>
    <row r="204" spans="1:18" x14ac:dyDescent="0.25">
      <c r="A204" t="s">
        <v>68</v>
      </c>
      <c r="B204" t="s">
        <v>69</v>
      </c>
      <c r="C204" t="s">
        <v>12</v>
      </c>
      <c r="D204">
        <v>2</v>
      </c>
      <c r="E204">
        <v>19</v>
      </c>
      <c r="F204">
        <v>1.69705924917309E-4</v>
      </c>
      <c r="G204">
        <v>1109</v>
      </c>
      <c r="H204">
        <v>1.17817045988668E-2</v>
      </c>
      <c r="I204">
        <v>111</v>
      </c>
      <c r="L204">
        <v>1.1069706274370501E-2</v>
      </c>
      <c r="M204">
        <v>9.8947752480356595E-3</v>
      </c>
      <c r="N204">
        <v>2013</v>
      </c>
      <c r="O204" t="s">
        <v>13</v>
      </c>
      <c r="P204" t="s">
        <v>70</v>
      </c>
      <c r="Q204" t="s">
        <v>24</v>
      </c>
      <c r="R204" t="s">
        <v>25</v>
      </c>
    </row>
    <row r="205" spans="1:18" x14ac:dyDescent="0.25">
      <c r="A205" t="s">
        <v>68</v>
      </c>
      <c r="B205" t="s">
        <v>69</v>
      </c>
      <c r="C205" t="s">
        <v>12</v>
      </c>
      <c r="D205">
        <v>2</v>
      </c>
      <c r="E205">
        <v>25</v>
      </c>
      <c r="F205">
        <v>2.7874784401184902E-3</v>
      </c>
      <c r="G205">
        <v>6349</v>
      </c>
      <c r="H205">
        <v>1.8567230833144301E-2</v>
      </c>
      <c r="I205">
        <v>558</v>
      </c>
      <c r="L205">
        <v>1.03060957805852E-2</v>
      </c>
      <c r="M205">
        <v>1.7900931955066798E-2</v>
      </c>
      <c r="N205">
        <v>2013</v>
      </c>
      <c r="O205" t="s">
        <v>13</v>
      </c>
      <c r="P205" t="s">
        <v>70</v>
      </c>
      <c r="Q205" t="s">
        <v>24</v>
      </c>
      <c r="R205" t="s">
        <v>25</v>
      </c>
    </row>
    <row r="206" spans="1:18" x14ac:dyDescent="0.25">
      <c r="A206" t="s">
        <v>68</v>
      </c>
      <c r="B206" t="s">
        <v>69</v>
      </c>
      <c r="C206" t="s">
        <v>12</v>
      </c>
      <c r="D206">
        <v>2</v>
      </c>
      <c r="E206">
        <v>32.5</v>
      </c>
      <c r="F206">
        <v>6.3477010112482799E-3</v>
      </c>
      <c r="G206">
        <v>4076</v>
      </c>
      <c r="H206">
        <v>2.5015267996659402E-2</v>
      </c>
      <c r="I206">
        <v>363</v>
      </c>
      <c r="L206">
        <v>9.9013959520569596E-3</v>
      </c>
      <c r="M206">
        <v>2.0095251220395599E-2</v>
      </c>
      <c r="N206">
        <v>2013</v>
      </c>
      <c r="O206" t="s">
        <v>13</v>
      </c>
      <c r="P206" t="s">
        <v>70</v>
      </c>
      <c r="Q206" t="s">
        <v>24</v>
      </c>
      <c r="R206" t="s">
        <v>25</v>
      </c>
    </row>
    <row r="207" spans="1:18" x14ac:dyDescent="0.25">
      <c r="A207" t="s">
        <v>68</v>
      </c>
      <c r="B207" t="s">
        <v>69</v>
      </c>
      <c r="C207" t="s">
        <v>12</v>
      </c>
      <c r="D207">
        <v>2</v>
      </c>
      <c r="E207">
        <v>37.5</v>
      </c>
      <c r="F207">
        <v>1.4688122964517899E-2</v>
      </c>
      <c r="G207">
        <v>3743</v>
      </c>
      <c r="H207">
        <v>4.5775974383203001E-2</v>
      </c>
      <c r="I207">
        <v>357</v>
      </c>
      <c r="L207">
        <v>5.0688500382389196E-3</v>
      </c>
      <c r="M207">
        <v>9.6975173629465193E-3</v>
      </c>
      <c r="N207">
        <v>2013</v>
      </c>
      <c r="O207" t="s">
        <v>13</v>
      </c>
      <c r="P207" t="s">
        <v>70</v>
      </c>
      <c r="Q207" t="s">
        <v>24</v>
      </c>
      <c r="R207" t="s">
        <v>25</v>
      </c>
    </row>
    <row r="208" spans="1:18" x14ac:dyDescent="0.25">
      <c r="A208" t="s">
        <v>68</v>
      </c>
      <c r="B208" t="s">
        <v>69</v>
      </c>
      <c r="C208" t="s">
        <v>12</v>
      </c>
      <c r="D208">
        <v>2</v>
      </c>
      <c r="E208">
        <v>45</v>
      </c>
      <c r="F208">
        <v>4.2499753163309603E-2</v>
      </c>
      <c r="G208">
        <v>6162</v>
      </c>
      <c r="H208">
        <v>6.0292229002761502E-2</v>
      </c>
      <c r="I208">
        <v>533</v>
      </c>
      <c r="L208">
        <v>4.84575272483442E-3</v>
      </c>
      <c r="M208">
        <v>1.30837090395131E-2</v>
      </c>
      <c r="N208">
        <v>2013</v>
      </c>
      <c r="O208" t="s">
        <v>13</v>
      </c>
      <c r="P208" t="s">
        <v>70</v>
      </c>
      <c r="Q208" t="s">
        <v>24</v>
      </c>
      <c r="R208" t="s">
        <v>25</v>
      </c>
    </row>
    <row r="209" spans="1:18" x14ac:dyDescent="0.25">
      <c r="A209" t="s">
        <v>68</v>
      </c>
      <c r="B209" t="s">
        <v>69</v>
      </c>
      <c r="C209" t="s">
        <v>12</v>
      </c>
      <c r="D209">
        <v>2</v>
      </c>
      <c r="E209">
        <v>55</v>
      </c>
      <c r="F209">
        <v>8.4398114913980804E-2</v>
      </c>
      <c r="G209">
        <v>4905</v>
      </c>
      <c r="H209">
        <v>0.109650305142031</v>
      </c>
      <c r="I209">
        <v>354</v>
      </c>
      <c r="L209">
        <v>5.4338017003676296E-3</v>
      </c>
      <c r="M209">
        <v>1.1211093515674101E-2</v>
      </c>
      <c r="N209">
        <v>2013</v>
      </c>
      <c r="O209" t="s">
        <v>13</v>
      </c>
      <c r="P209" t="s">
        <v>70</v>
      </c>
      <c r="Q209" t="s">
        <v>24</v>
      </c>
      <c r="R209" t="s">
        <v>25</v>
      </c>
    </row>
    <row r="210" spans="1:18" x14ac:dyDescent="0.25">
      <c r="A210" t="s">
        <v>68</v>
      </c>
      <c r="B210" t="s">
        <v>69</v>
      </c>
      <c r="C210" t="s">
        <v>12</v>
      </c>
      <c r="D210">
        <v>2</v>
      </c>
      <c r="E210">
        <v>65</v>
      </c>
      <c r="F210">
        <v>0.148133619434512</v>
      </c>
      <c r="G210">
        <v>3531</v>
      </c>
      <c r="H210">
        <v>9.1475468272746802E-2</v>
      </c>
      <c r="I210">
        <v>207</v>
      </c>
      <c r="L210">
        <v>5.0745096024699902E-3</v>
      </c>
      <c r="M210">
        <v>1.90705094362668E-2</v>
      </c>
      <c r="N210">
        <v>2013</v>
      </c>
      <c r="O210" t="s">
        <v>13</v>
      </c>
      <c r="P210" t="s">
        <v>70</v>
      </c>
      <c r="Q210" t="s">
        <v>24</v>
      </c>
      <c r="R210" t="s">
        <v>25</v>
      </c>
    </row>
    <row r="211" spans="1:18" x14ac:dyDescent="0.25">
      <c r="A211" t="s">
        <v>68</v>
      </c>
      <c r="B211" t="s">
        <v>69</v>
      </c>
      <c r="C211" t="s">
        <v>12</v>
      </c>
      <c r="D211">
        <v>2</v>
      </c>
      <c r="E211">
        <v>75</v>
      </c>
      <c r="F211">
        <v>0.197737293368698</v>
      </c>
      <c r="G211">
        <v>1926</v>
      </c>
      <c r="H211">
        <v>0.15615416919569899</v>
      </c>
      <c r="I211">
        <v>74</v>
      </c>
      <c r="L211">
        <v>4.0812703569904699E-3</v>
      </c>
      <c r="M211">
        <v>9.2983589006656805E-3</v>
      </c>
      <c r="N211">
        <v>2013</v>
      </c>
      <c r="O211" t="s">
        <v>13</v>
      </c>
      <c r="P211" t="s">
        <v>70</v>
      </c>
      <c r="Q211" t="s">
        <v>24</v>
      </c>
      <c r="R211" t="s">
        <v>25</v>
      </c>
    </row>
    <row r="212" spans="1:18" x14ac:dyDescent="0.25">
      <c r="A212" t="s">
        <v>68</v>
      </c>
      <c r="B212" t="s">
        <v>69</v>
      </c>
      <c r="C212" t="s">
        <v>12</v>
      </c>
      <c r="D212">
        <v>2</v>
      </c>
      <c r="E212">
        <v>84.91</v>
      </c>
      <c r="F212">
        <v>0.148403557119378</v>
      </c>
      <c r="G212">
        <v>870</v>
      </c>
      <c r="H212">
        <v>0.106587752593773</v>
      </c>
      <c r="I212">
        <v>37</v>
      </c>
      <c r="L212">
        <v>5.4946869328159498E-3</v>
      </c>
      <c r="M212">
        <v>1.7037462398082501E-2</v>
      </c>
      <c r="N212">
        <v>2013</v>
      </c>
      <c r="O212" t="s">
        <v>13</v>
      </c>
      <c r="P212" t="s">
        <v>70</v>
      </c>
      <c r="Q212" t="s">
        <v>24</v>
      </c>
      <c r="R212" t="s">
        <v>25</v>
      </c>
    </row>
    <row r="213" spans="1:18" x14ac:dyDescent="0.25">
      <c r="A213" t="s">
        <v>68</v>
      </c>
      <c r="B213" t="s">
        <v>69</v>
      </c>
      <c r="C213" t="s">
        <v>12</v>
      </c>
      <c r="D213">
        <v>1</v>
      </c>
      <c r="E213">
        <v>19</v>
      </c>
      <c r="F213">
        <v>0</v>
      </c>
      <c r="G213">
        <v>1015</v>
      </c>
      <c r="H213">
        <v>1.6650230452401899E-2</v>
      </c>
      <c r="I213">
        <v>82</v>
      </c>
      <c r="L213">
        <v>1.45583095362741E-2</v>
      </c>
      <c r="M213">
        <v>0</v>
      </c>
      <c r="N213">
        <v>2013</v>
      </c>
      <c r="O213" t="s">
        <v>13</v>
      </c>
      <c r="P213" t="s">
        <v>70</v>
      </c>
      <c r="Q213" t="s">
        <v>24</v>
      </c>
      <c r="R213" t="s">
        <v>25</v>
      </c>
    </row>
    <row r="214" spans="1:18" x14ac:dyDescent="0.25">
      <c r="A214" t="s">
        <v>68</v>
      </c>
      <c r="B214" t="s">
        <v>69</v>
      </c>
      <c r="C214" t="s">
        <v>12</v>
      </c>
      <c r="D214">
        <v>1</v>
      </c>
      <c r="E214">
        <v>25</v>
      </c>
      <c r="F214">
        <v>5.8821627808298997E-3</v>
      </c>
      <c r="G214">
        <v>5086</v>
      </c>
      <c r="H214">
        <v>2.3384359224698701E-2</v>
      </c>
      <c r="I214">
        <v>471</v>
      </c>
      <c r="L214">
        <v>1.2456665990180801E-2</v>
      </c>
      <c r="M214">
        <v>2.5335948495989399E-2</v>
      </c>
      <c r="N214">
        <v>2013</v>
      </c>
      <c r="O214" t="s">
        <v>13</v>
      </c>
      <c r="P214" t="s">
        <v>70</v>
      </c>
      <c r="Q214" t="s">
        <v>24</v>
      </c>
      <c r="R214" t="s">
        <v>25</v>
      </c>
    </row>
    <row r="215" spans="1:18" x14ac:dyDescent="0.25">
      <c r="A215" t="s">
        <v>68</v>
      </c>
      <c r="B215" t="s">
        <v>69</v>
      </c>
      <c r="C215" t="s">
        <v>12</v>
      </c>
      <c r="D215">
        <v>1</v>
      </c>
      <c r="E215">
        <v>32.5</v>
      </c>
      <c r="F215">
        <v>3.42777288076516E-3</v>
      </c>
      <c r="G215">
        <v>2995</v>
      </c>
      <c r="H215">
        <v>2.0033477487316199E-2</v>
      </c>
      <c r="I215">
        <v>266</v>
      </c>
      <c r="L215">
        <v>2.65442763755654E-2</v>
      </c>
      <c r="M215">
        <v>4.5809675078679897E-2</v>
      </c>
      <c r="N215">
        <v>2013</v>
      </c>
      <c r="O215" t="s">
        <v>13</v>
      </c>
      <c r="P215" t="s">
        <v>70</v>
      </c>
      <c r="Q215" t="s">
        <v>24</v>
      </c>
      <c r="R215" t="s">
        <v>25</v>
      </c>
    </row>
    <row r="216" spans="1:18" x14ac:dyDescent="0.25">
      <c r="A216" t="s">
        <v>68</v>
      </c>
      <c r="B216" t="s">
        <v>69</v>
      </c>
      <c r="C216" t="s">
        <v>12</v>
      </c>
      <c r="D216">
        <v>1</v>
      </c>
      <c r="E216">
        <v>37.5</v>
      </c>
      <c r="F216">
        <v>1.7476211682321101E-2</v>
      </c>
      <c r="G216">
        <v>2881</v>
      </c>
      <c r="H216">
        <v>2.94429822403771E-2</v>
      </c>
      <c r="I216">
        <v>265</v>
      </c>
      <c r="L216">
        <v>1.52162697839198E-2</v>
      </c>
      <c r="M216">
        <v>4.5799791172799503E-2</v>
      </c>
      <c r="N216">
        <v>2013</v>
      </c>
      <c r="O216" t="s">
        <v>13</v>
      </c>
      <c r="P216" t="s">
        <v>70</v>
      </c>
      <c r="Q216" t="s">
        <v>24</v>
      </c>
      <c r="R216" t="s">
        <v>25</v>
      </c>
    </row>
    <row r="217" spans="1:18" x14ac:dyDescent="0.25">
      <c r="A217" t="s">
        <v>68</v>
      </c>
      <c r="B217" t="s">
        <v>69</v>
      </c>
      <c r="C217" t="s">
        <v>12</v>
      </c>
      <c r="D217">
        <v>1</v>
      </c>
      <c r="E217">
        <v>45</v>
      </c>
      <c r="F217">
        <v>2.5976120580455401E-2</v>
      </c>
      <c r="G217">
        <v>4947</v>
      </c>
      <c r="H217">
        <v>5.9743436788838603E-2</v>
      </c>
      <c r="I217">
        <v>476</v>
      </c>
      <c r="L217">
        <v>1.06936069020977E-2</v>
      </c>
      <c r="M217">
        <v>2.0497635507717701E-2</v>
      </c>
      <c r="N217">
        <v>2013</v>
      </c>
      <c r="O217" t="s">
        <v>13</v>
      </c>
      <c r="P217" t="s">
        <v>70</v>
      </c>
      <c r="Q217" t="s">
        <v>24</v>
      </c>
      <c r="R217" t="s">
        <v>25</v>
      </c>
    </row>
    <row r="218" spans="1:18" x14ac:dyDescent="0.25">
      <c r="A218" t="s">
        <v>68</v>
      </c>
      <c r="B218" t="s">
        <v>69</v>
      </c>
      <c r="C218" t="s">
        <v>12</v>
      </c>
      <c r="D218">
        <v>1</v>
      </c>
      <c r="E218">
        <v>55</v>
      </c>
      <c r="F218">
        <v>7.5796829155603498E-2</v>
      </c>
      <c r="G218">
        <v>3861</v>
      </c>
      <c r="H218">
        <v>8.4094826285323096E-2</v>
      </c>
      <c r="I218">
        <v>343</v>
      </c>
      <c r="L218">
        <v>6.7304333178663297E-3</v>
      </c>
      <c r="M218">
        <v>1.74918831336895E-2</v>
      </c>
      <c r="N218">
        <v>2013</v>
      </c>
      <c r="O218" t="s">
        <v>13</v>
      </c>
      <c r="P218" t="s">
        <v>70</v>
      </c>
      <c r="Q218" t="s">
        <v>24</v>
      </c>
      <c r="R218" t="s">
        <v>25</v>
      </c>
    </row>
    <row r="219" spans="1:18" x14ac:dyDescent="0.25">
      <c r="A219" t="s">
        <v>68</v>
      </c>
      <c r="B219" t="s">
        <v>69</v>
      </c>
      <c r="C219" t="s">
        <v>12</v>
      </c>
      <c r="D219">
        <v>1</v>
      </c>
      <c r="E219">
        <v>65</v>
      </c>
      <c r="F219">
        <v>0.13367607980235999</v>
      </c>
      <c r="G219">
        <v>2499</v>
      </c>
      <c r="H219">
        <v>0.109335674774028</v>
      </c>
      <c r="I219">
        <v>194</v>
      </c>
      <c r="L219">
        <v>6.3017595207811201E-3</v>
      </c>
      <c r="M219">
        <v>1.72380093462568E-2</v>
      </c>
      <c r="N219">
        <v>2013</v>
      </c>
      <c r="O219" t="s">
        <v>13</v>
      </c>
      <c r="P219" t="s">
        <v>70</v>
      </c>
      <c r="Q219" t="s">
        <v>24</v>
      </c>
      <c r="R219" t="s">
        <v>25</v>
      </c>
    </row>
    <row r="220" spans="1:18" x14ac:dyDescent="0.25">
      <c r="A220" t="s">
        <v>68</v>
      </c>
      <c r="B220" t="s">
        <v>69</v>
      </c>
      <c r="C220" t="s">
        <v>12</v>
      </c>
      <c r="D220">
        <v>1</v>
      </c>
      <c r="E220">
        <v>75</v>
      </c>
      <c r="F220">
        <v>0.13748544367767901</v>
      </c>
      <c r="G220">
        <v>1365</v>
      </c>
      <c r="H220">
        <v>0.10838814744731901</v>
      </c>
      <c r="I220">
        <v>87</v>
      </c>
      <c r="L220">
        <v>8.9885934408139492E-3</v>
      </c>
      <c r="M220">
        <v>2.47482497290646E-2</v>
      </c>
      <c r="N220">
        <v>2013</v>
      </c>
      <c r="O220" t="s">
        <v>13</v>
      </c>
      <c r="P220" t="s">
        <v>70</v>
      </c>
      <c r="Q220" t="s">
        <v>24</v>
      </c>
      <c r="R220" t="s">
        <v>25</v>
      </c>
    </row>
    <row r="221" spans="1:18" x14ac:dyDescent="0.25">
      <c r="A221" t="s">
        <v>68</v>
      </c>
      <c r="B221" t="s">
        <v>69</v>
      </c>
      <c r="C221" t="s">
        <v>12</v>
      </c>
      <c r="D221">
        <v>1</v>
      </c>
      <c r="E221">
        <v>84.91</v>
      </c>
      <c r="F221">
        <v>7.9328873710257403E-2</v>
      </c>
      <c r="G221">
        <v>492</v>
      </c>
      <c r="H221">
        <v>3.3118274296141698E-2</v>
      </c>
      <c r="I221">
        <v>26</v>
      </c>
      <c r="L221">
        <v>2.42551894897402E-2</v>
      </c>
      <c r="M221">
        <v>0.20651196422373</v>
      </c>
      <c r="N221">
        <v>2013</v>
      </c>
      <c r="O221" t="s">
        <v>13</v>
      </c>
      <c r="P221" t="s">
        <v>70</v>
      </c>
      <c r="Q221" t="s">
        <v>24</v>
      </c>
      <c r="R221" t="s">
        <v>25</v>
      </c>
    </row>
    <row r="222" spans="1:18" x14ac:dyDescent="0.25">
      <c r="A222" t="s">
        <v>71</v>
      </c>
      <c r="B222" t="s">
        <v>72</v>
      </c>
      <c r="C222" t="s">
        <v>40</v>
      </c>
      <c r="D222">
        <v>2</v>
      </c>
      <c r="E222">
        <v>27.5</v>
      </c>
      <c r="F222">
        <v>0</v>
      </c>
      <c r="G222">
        <v>146</v>
      </c>
      <c r="H222">
        <v>0.100125443862776</v>
      </c>
      <c r="I222">
        <v>143</v>
      </c>
      <c r="L222">
        <v>8.7920688603426E-2</v>
      </c>
      <c r="M222">
        <v>0</v>
      </c>
      <c r="N222">
        <v>2007</v>
      </c>
      <c r="O222" t="s">
        <v>41</v>
      </c>
      <c r="P222" t="s">
        <v>73</v>
      </c>
      <c r="Q222" t="s">
        <v>15</v>
      </c>
      <c r="R222" t="s">
        <v>15</v>
      </c>
    </row>
    <row r="223" spans="1:18" x14ac:dyDescent="0.25">
      <c r="A223" t="s">
        <v>71</v>
      </c>
      <c r="B223" t="s">
        <v>72</v>
      </c>
      <c r="C223" t="s">
        <v>40</v>
      </c>
      <c r="D223">
        <v>2</v>
      </c>
      <c r="E223">
        <v>35</v>
      </c>
      <c r="F223">
        <v>6.8259385665529002E-3</v>
      </c>
      <c r="G223">
        <v>293</v>
      </c>
      <c r="H223">
        <v>0.128752580169227</v>
      </c>
      <c r="I223">
        <v>285</v>
      </c>
      <c r="L223">
        <v>0.114145281895079</v>
      </c>
      <c r="M223">
        <v>5.2950518317875901E-2</v>
      </c>
      <c r="N223">
        <v>2007</v>
      </c>
      <c r="O223" t="s">
        <v>41</v>
      </c>
      <c r="P223" t="s">
        <v>73</v>
      </c>
      <c r="Q223" t="s">
        <v>15</v>
      </c>
      <c r="R223" t="s">
        <v>15</v>
      </c>
    </row>
    <row r="224" spans="1:18" x14ac:dyDescent="0.25">
      <c r="A224" t="s">
        <v>71</v>
      </c>
      <c r="B224" t="s">
        <v>72</v>
      </c>
      <c r="C224" t="s">
        <v>40</v>
      </c>
      <c r="D224">
        <v>2</v>
      </c>
      <c r="E224">
        <v>45</v>
      </c>
      <c r="F224">
        <v>1.03448275862069E-2</v>
      </c>
      <c r="G224">
        <v>290</v>
      </c>
      <c r="H224">
        <v>0.183421668467247</v>
      </c>
      <c r="I224">
        <v>286</v>
      </c>
      <c r="L224">
        <v>0.13718539215575101</v>
      </c>
      <c r="M224">
        <v>5.2097027492032801E-2</v>
      </c>
      <c r="N224">
        <v>2007</v>
      </c>
      <c r="O224" t="s">
        <v>41</v>
      </c>
      <c r="P224" t="s">
        <v>73</v>
      </c>
      <c r="Q224" t="s">
        <v>15</v>
      </c>
      <c r="R224" t="s">
        <v>15</v>
      </c>
    </row>
    <row r="225" spans="1:18" x14ac:dyDescent="0.25">
      <c r="A225" t="s">
        <v>71</v>
      </c>
      <c r="B225" t="s">
        <v>72</v>
      </c>
      <c r="C225" t="s">
        <v>40</v>
      </c>
      <c r="D225">
        <v>2</v>
      </c>
      <c r="E225">
        <v>55</v>
      </c>
      <c r="F225">
        <v>3.3962264150943403E-2</v>
      </c>
      <c r="G225">
        <v>265</v>
      </c>
      <c r="H225">
        <v>0.28130647379489099</v>
      </c>
      <c r="I225">
        <v>249</v>
      </c>
      <c r="L225">
        <v>0.104186128797085</v>
      </c>
      <c r="M225">
        <v>3.4809922442695297E-2</v>
      </c>
      <c r="N225">
        <v>2007</v>
      </c>
      <c r="O225" t="s">
        <v>41</v>
      </c>
      <c r="P225" t="s">
        <v>73</v>
      </c>
      <c r="Q225" t="s">
        <v>15</v>
      </c>
      <c r="R225" t="s">
        <v>15</v>
      </c>
    </row>
    <row r="226" spans="1:18" x14ac:dyDescent="0.25">
      <c r="A226" t="s">
        <v>71</v>
      </c>
      <c r="B226" t="s">
        <v>72</v>
      </c>
      <c r="C226" t="s">
        <v>40</v>
      </c>
      <c r="D226">
        <v>2</v>
      </c>
      <c r="E226">
        <v>65</v>
      </c>
      <c r="F226">
        <v>3.6036036036036001E-2</v>
      </c>
      <c r="G226">
        <v>222</v>
      </c>
      <c r="H226">
        <v>0.26882569533214001</v>
      </c>
      <c r="I226">
        <v>211</v>
      </c>
      <c r="L226">
        <v>0.139883026513759</v>
      </c>
      <c r="M226">
        <v>5.3187835837460701E-2</v>
      </c>
      <c r="N226">
        <v>2007</v>
      </c>
      <c r="O226" t="s">
        <v>41</v>
      </c>
      <c r="P226" t="s">
        <v>73</v>
      </c>
      <c r="Q226" t="s">
        <v>15</v>
      </c>
      <c r="R226" t="s">
        <v>15</v>
      </c>
    </row>
    <row r="227" spans="1:18" x14ac:dyDescent="0.25">
      <c r="A227" t="s">
        <v>71</v>
      </c>
      <c r="B227" t="s">
        <v>72</v>
      </c>
      <c r="C227" t="s">
        <v>40</v>
      </c>
      <c r="D227">
        <v>2</v>
      </c>
      <c r="E227">
        <v>72.5</v>
      </c>
      <c r="F227">
        <v>5.2631578947368397E-2</v>
      </c>
      <c r="G227">
        <v>114</v>
      </c>
      <c r="H227">
        <v>0.30299768038036201</v>
      </c>
      <c r="I227">
        <v>107</v>
      </c>
      <c r="L227">
        <v>0.14627013523003901</v>
      </c>
      <c r="M227">
        <v>5.6690782662119799E-2</v>
      </c>
      <c r="N227">
        <v>2007</v>
      </c>
      <c r="O227" t="s">
        <v>41</v>
      </c>
      <c r="P227" t="s">
        <v>73</v>
      </c>
      <c r="Q227" t="s">
        <v>15</v>
      </c>
      <c r="R227" t="s">
        <v>15</v>
      </c>
    </row>
    <row r="228" spans="1:18" x14ac:dyDescent="0.25">
      <c r="A228" t="s">
        <v>71</v>
      </c>
      <c r="B228" t="s">
        <v>72</v>
      </c>
      <c r="C228" t="s">
        <v>40</v>
      </c>
      <c r="D228">
        <v>1</v>
      </c>
      <c r="E228">
        <v>27.5</v>
      </c>
      <c r="F228">
        <v>0</v>
      </c>
      <c r="G228">
        <v>119</v>
      </c>
      <c r="H228">
        <v>5.6804025435113502E-2</v>
      </c>
      <c r="I228">
        <v>116</v>
      </c>
      <c r="L228">
        <v>0.16297459698723901</v>
      </c>
      <c r="M228">
        <v>0</v>
      </c>
      <c r="N228">
        <v>2007</v>
      </c>
      <c r="O228" t="s">
        <v>41</v>
      </c>
      <c r="P228" t="s">
        <v>73</v>
      </c>
      <c r="Q228" t="s">
        <v>15</v>
      </c>
      <c r="R228" t="s">
        <v>15</v>
      </c>
    </row>
    <row r="229" spans="1:18" x14ac:dyDescent="0.25">
      <c r="A229" t="s">
        <v>71</v>
      </c>
      <c r="B229" t="s">
        <v>72</v>
      </c>
      <c r="C229" t="s">
        <v>40</v>
      </c>
      <c r="D229">
        <v>1</v>
      </c>
      <c r="E229">
        <v>35</v>
      </c>
      <c r="F229">
        <v>7.0671378091872799E-3</v>
      </c>
      <c r="G229">
        <v>283</v>
      </c>
      <c r="H229">
        <v>0.120466010602371</v>
      </c>
      <c r="I229">
        <v>276</v>
      </c>
      <c r="L229">
        <v>9.0491732002672895E-2</v>
      </c>
      <c r="M229">
        <v>4.4376998555033603E-2</v>
      </c>
      <c r="N229">
        <v>2007</v>
      </c>
      <c r="O229" t="s">
        <v>41</v>
      </c>
      <c r="P229" t="s">
        <v>73</v>
      </c>
      <c r="Q229" t="s">
        <v>15</v>
      </c>
      <c r="R229" t="s">
        <v>15</v>
      </c>
    </row>
    <row r="230" spans="1:18" x14ac:dyDescent="0.25">
      <c r="A230" t="s">
        <v>71</v>
      </c>
      <c r="B230" t="s">
        <v>72</v>
      </c>
      <c r="C230" t="s">
        <v>40</v>
      </c>
      <c r="D230">
        <v>1</v>
      </c>
      <c r="E230">
        <v>45</v>
      </c>
      <c r="F230">
        <v>2.4390243902439001E-2</v>
      </c>
      <c r="G230">
        <v>246</v>
      </c>
      <c r="H230">
        <v>0.17773189635710701</v>
      </c>
      <c r="I230">
        <v>235</v>
      </c>
      <c r="L230">
        <v>0.105427178722279</v>
      </c>
      <c r="M230">
        <v>5.5496438496498497E-2</v>
      </c>
      <c r="N230">
        <v>2007</v>
      </c>
      <c r="O230" t="s">
        <v>41</v>
      </c>
      <c r="P230" t="s">
        <v>73</v>
      </c>
      <c r="Q230" t="s">
        <v>15</v>
      </c>
      <c r="R230" t="s">
        <v>15</v>
      </c>
    </row>
    <row r="231" spans="1:18" x14ac:dyDescent="0.25">
      <c r="A231" t="s">
        <v>71</v>
      </c>
      <c r="B231" t="s">
        <v>72</v>
      </c>
      <c r="C231" t="s">
        <v>40</v>
      </c>
      <c r="D231">
        <v>1</v>
      </c>
      <c r="E231">
        <v>55</v>
      </c>
      <c r="F231">
        <v>6.3492063492063502E-2</v>
      </c>
      <c r="G231">
        <v>252</v>
      </c>
      <c r="H231">
        <v>0.24297050285380101</v>
      </c>
      <c r="I231">
        <v>233</v>
      </c>
      <c r="L231">
        <v>0.109559686606028</v>
      </c>
      <c r="M231">
        <v>6.0752528244749901E-2</v>
      </c>
      <c r="N231">
        <v>2007</v>
      </c>
      <c r="O231" t="s">
        <v>41</v>
      </c>
      <c r="P231" t="s">
        <v>73</v>
      </c>
      <c r="Q231" t="s">
        <v>15</v>
      </c>
      <c r="R231" t="s">
        <v>15</v>
      </c>
    </row>
    <row r="232" spans="1:18" x14ac:dyDescent="0.25">
      <c r="A232" t="s">
        <v>71</v>
      </c>
      <c r="B232" t="s">
        <v>72</v>
      </c>
      <c r="C232" t="s">
        <v>40</v>
      </c>
      <c r="D232">
        <v>1</v>
      </c>
      <c r="E232">
        <v>65</v>
      </c>
      <c r="F232">
        <v>5.1948051948052E-2</v>
      </c>
      <c r="G232">
        <v>154</v>
      </c>
      <c r="H232">
        <v>0.26863168466833198</v>
      </c>
      <c r="I232">
        <v>144</v>
      </c>
      <c r="L232">
        <v>0.147196043966623</v>
      </c>
      <c r="M232">
        <v>7.0045379874409702E-2</v>
      </c>
      <c r="N232">
        <v>2007</v>
      </c>
      <c r="O232" t="s">
        <v>41</v>
      </c>
      <c r="P232" t="s">
        <v>73</v>
      </c>
      <c r="Q232" t="s">
        <v>15</v>
      </c>
      <c r="R232" t="s">
        <v>15</v>
      </c>
    </row>
    <row r="233" spans="1:18" x14ac:dyDescent="0.25">
      <c r="A233" t="s">
        <v>71</v>
      </c>
      <c r="B233" t="s">
        <v>72</v>
      </c>
      <c r="C233" t="s">
        <v>40</v>
      </c>
      <c r="D233">
        <v>1</v>
      </c>
      <c r="E233">
        <v>72.5</v>
      </c>
      <c r="F233">
        <v>6.4102564102564097E-2</v>
      </c>
      <c r="G233">
        <v>78</v>
      </c>
      <c r="H233">
        <v>0.33207753847091498</v>
      </c>
      <c r="I233">
        <v>73</v>
      </c>
      <c r="L233">
        <v>0.114627430907703</v>
      </c>
      <c r="M233">
        <v>4.0007736775400801E-2</v>
      </c>
      <c r="N233">
        <v>2007</v>
      </c>
      <c r="O233" t="s">
        <v>41</v>
      </c>
      <c r="P233" t="s">
        <v>73</v>
      </c>
      <c r="Q233" t="s">
        <v>15</v>
      </c>
      <c r="R233" t="s">
        <v>15</v>
      </c>
    </row>
    <row r="234" spans="1:18" x14ac:dyDescent="0.25">
      <c r="A234" t="s">
        <v>71</v>
      </c>
      <c r="B234" t="s">
        <v>74</v>
      </c>
      <c r="C234" t="s">
        <v>12</v>
      </c>
      <c r="D234">
        <v>2</v>
      </c>
      <c r="E234">
        <v>19</v>
      </c>
      <c r="F234">
        <v>0</v>
      </c>
      <c r="G234">
        <v>28</v>
      </c>
      <c r="H234">
        <v>4.3592625009352202E-2</v>
      </c>
      <c r="I234">
        <v>28</v>
      </c>
      <c r="L234">
        <v>0.21293597650773799</v>
      </c>
      <c r="M234">
        <v>0</v>
      </c>
      <c r="N234">
        <v>2014</v>
      </c>
      <c r="O234" t="s">
        <v>13</v>
      </c>
      <c r="P234" t="s">
        <v>73</v>
      </c>
      <c r="Q234" t="s">
        <v>15</v>
      </c>
      <c r="R234" t="s">
        <v>15</v>
      </c>
    </row>
    <row r="235" spans="1:18" x14ac:dyDescent="0.25">
      <c r="A235" t="s">
        <v>71</v>
      </c>
      <c r="B235" t="s">
        <v>74</v>
      </c>
      <c r="C235" t="s">
        <v>12</v>
      </c>
      <c r="D235">
        <v>2</v>
      </c>
      <c r="E235">
        <v>25</v>
      </c>
      <c r="F235">
        <v>0</v>
      </c>
      <c r="G235">
        <v>390</v>
      </c>
      <c r="H235">
        <v>6.7702212981451501E-2</v>
      </c>
      <c r="I235">
        <v>378</v>
      </c>
      <c r="L235">
        <v>0.16806126062399501</v>
      </c>
      <c r="M235">
        <v>0</v>
      </c>
      <c r="N235">
        <v>2014</v>
      </c>
      <c r="O235" t="s">
        <v>13</v>
      </c>
      <c r="P235" t="s">
        <v>73</v>
      </c>
      <c r="Q235" t="s">
        <v>15</v>
      </c>
      <c r="R235" t="s">
        <v>15</v>
      </c>
    </row>
    <row r="236" spans="1:18" x14ac:dyDescent="0.25">
      <c r="A236" t="s">
        <v>71</v>
      </c>
      <c r="B236" t="s">
        <v>74</v>
      </c>
      <c r="C236" t="s">
        <v>12</v>
      </c>
      <c r="D236">
        <v>2</v>
      </c>
      <c r="E236">
        <v>35</v>
      </c>
      <c r="F236">
        <v>1.58163894218531E-3</v>
      </c>
      <c r="G236">
        <v>490</v>
      </c>
      <c r="H236">
        <v>0.10162919950433499</v>
      </c>
      <c r="I236">
        <v>471</v>
      </c>
      <c r="L236">
        <v>0.18466008492264999</v>
      </c>
      <c r="M236">
        <v>7.6638458803659104E-2</v>
      </c>
      <c r="N236">
        <v>2014</v>
      </c>
      <c r="O236" t="s">
        <v>13</v>
      </c>
      <c r="P236" t="s">
        <v>73</v>
      </c>
      <c r="Q236" t="s">
        <v>15</v>
      </c>
      <c r="R236" t="s">
        <v>15</v>
      </c>
    </row>
    <row r="237" spans="1:18" x14ac:dyDescent="0.25">
      <c r="A237" t="s">
        <v>71</v>
      </c>
      <c r="B237" t="s">
        <v>74</v>
      </c>
      <c r="C237" t="s">
        <v>12</v>
      </c>
      <c r="D237">
        <v>2</v>
      </c>
      <c r="E237">
        <v>45</v>
      </c>
      <c r="F237">
        <v>9.8021457842186709E-3</v>
      </c>
      <c r="G237">
        <v>387</v>
      </c>
      <c r="H237">
        <v>0.161754915271864</v>
      </c>
      <c r="I237">
        <v>365</v>
      </c>
      <c r="L237">
        <v>0.17062738972609801</v>
      </c>
      <c r="M237">
        <v>7.9448094821267704E-2</v>
      </c>
      <c r="N237">
        <v>2014</v>
      </c>
      <c r="O237" t="s">
        <v>13</v>
      </c>
      <c r="P237" t="s">
        <v>73</v>
      </c>
      <c r="Q237" t="s">
        <v>15</v>
      </c>
      <c r="R237" t="s">
        <v>15</v>
      </c>
    </row>
    <row r="238" spans="1:18" x14ac:dyDescent="0.25">
      <c r="A238" t="s">
        <v>71</v>
      </c>
      <c r="B238" t="s">
        <v>74</v>
      </c>
      <c r="C238" t="s">
        <v>12</v>
      </c>
      <c r="D238">
        <v>2</v>
      </c>
      <c r="E238">
        <v>55</v>
      </c>
      <c r="F238">
        <v>3.9908037111366201E-2</v>
      </c>
      <c r="G238">
        <v>253</v>
      </c>
      <c r="H238">
        <v>0.18477440052260499</v>
      </c>
      <c r="I238">
        <v>238</v>
      </c>
      <c r="L238">
        <v>0.185446094126378</v>
      </c>
      <c r="M238">
        <v>0.15579148612944699</v>
      </c>
      <c r="N238">
        <v>2014</v>
      </c>
      <c r="O238" t="s">
        <v>13</v>
      </c>
      <c r="P238" t="s">
        <v>73</v>
      </c>
      <c r="Q238" t="s">
        <v>15</v>
      </c>
      <c r="R238" t="s">
        <v>15</v>
      </c>
    </row>
    <row r="239" spans="1:18" x14ac:dyDescent="0.25">
      <c r="A239" t="s">
        <v>71</v>
      </c>
      <c r="B239" t="s">
        <v>74</v>
      </c>
      <c r="C239" t="s">
        <v>12</v>
      </c>
      <c r="D239">
        <v>2</v>
      </c>
      <c r="E239">
        <v>65</v>
      </c>
      <c r="F239">
        <v>2.8791343408549899E-2</v>
      </c>
      <c r="G239">
        <v>134</v>
      </c>
      <c r="H239">
        <v>0.23619744165033499</v>
      </c>
      <c r="I239">
        <v>127</v>
      </c>
      <c r="L239">
        <v>0.20393604979434901</v>
      </c>
      <c r="M239">
        <v>0.10559816880206301</v>
      </c>
      <c r="N239">
        <v>2014</v>
      </c>
      <c r="O239" t="s">
        <v>13</v>
      </c>
      <c r="P239" t="s">
        <v>73</v>
      </c>
      <c r="Q239" t="s">
        <v>15</v>
      </c>
      <c r="R239" t="s">
        <v>15</v>
      </c>
    </row>
    <row r="240" spans="1:18" x14ac:dyDescent="0.25">
      <c r="A240" t="s">
        <v>71</v>
      </c>
      <c r="B240" t="s">
        <v>74</v>
      </c>
      <c r="C240" t="s">
        <v>12</v>
      </c>
      <c r="D240">
        <v>1</v>
      </c>
      <c r="E240">
        <v>19</v>
      </c>
      <c r="F240">
        <v>0</v>
      </c>
      <c r="G240">
        <v>12</v>
      </c>
      <c r="H240">
        <v>5.0413032802115197E-2</v>
      </c>
      <c r="I240">
        <v>12</v>
      </c>
      <c r="L240">
        <v>0.155878675647354</v>
      </c>
      <c r="M240">
        <v>0</v>
      </c>
      <c r="N240">
        <v>2014</v>
      </c>
      <c r="O240" t="s">
        <v>13</v>
      </c>
      <c r="P240" t="s">
        <v>73</v>
      </c>
      <c r="Q240" t="s">
        <v>15</v>
      </c>
      <c r="R240" t="s">
        <v>15</v>
      </c>
    </row>
    <row r="241" spans="1:18" x14ac:dyDescent="0.25">
      <c r="A241" t="s">
        <v>71</v>
      </c>
      <c r="B241" t="s">
        <v>74</v>
      </c>
      <c r="C241" t="s">
        <v>12</v>
      </c>
      <c r="D241">
        <v>1</v>
      </c>
      <c r="E241">
        <v>25</v>
      </c>
      <c r="F241">
        <v>0</v>
      </c>
      <c r="G241">
        <v>184</v>
      </c>
      <c r="H241">
        <v>5.0060980573365402E-2</v>
      </c>
      <c r="I241">
        <v>175</v>
      </c>
      <c r="L241">
        <v>0.16553311505183399</v>
      </c>
      <c r="M241">
        <v>0</v>
      </c>
      <c r="N241">
        <v>2014</v>
      </c>
      <c r="O241" t="s">
        <v>13</v>
      </c>
      <c r="P241" t="s">
        <v>73</v>
      </c>
      <c r="Q241" t="s">
        <v>15</v>
      </c>
      <c r="R241" t="s">
        <v>15</v>
      </c>
    </row>
    <row r="242" spans="1:18" x14ac:dyDescent="0.25">
      <c r="A242" t="s">
        <v>71</v>
      </c>
      <c r="B242" t="s">
        <v>74</v>
      </c>
      <c r="C242" t="s">
        <v>12</v>
      </c>
      <c r="D242">
        <v>1</v>
      </c>
      <c r="E242">
        <v>35</v>
      </c>
      <c r="F242">
        <v>0</v>
      </c>
      <c r="G242">
        <v>304</v>
      </c>
      <c r="H242">
        <v>8.9267851027653305E-2</v>
      </c>
      <c r="I242">
        <v>296</v>
      </c>
      <c r="L242">
        <v>0.20169889551437301</v>
      </c>
      <c r="M242">
        <v>0</v>
      </c>
      <c r="N242">
        <v>2014</v>
      </c>
      <c r="O242" t="s">
        <v>13</v>
      </c>
      <c r="P242" t="s">
        <v>73</v>
      </c>
      <c r="Q242" t="s">
        <v>15</v>
      </c>
      <c r="R242" t="s">
        <v>15</v>
      </c>
    </row>
    <row r="243" spans="1:18" x14ac:dyDescent="0.25">
      <c r="A243" t="s">
        <v>71</v>
      </c>
      <c r="B243" t="s">
        <v>74</v>
      </c>
      <c r="C243" t="s">
        <v>12</v>
      </c>
      <c r="D243">
        <v>1</v>
      </c>
      <c r="E243">
        <v>45</v>
      </c>
      <c r="F243">
        <v>0</v>
      </c>
      <c r="G243">
        <v>261</v>
      </c>
      <c r="H243">
        <v>0.16741560616124901</v>
      </c>
      <c r="I243">
        <v>257</v>
      </c>
      <c r="L243">
        <v>0.15069378307126799</v>
      </c>
      <c r="M243">
        <v>0</v>
      </c>
      <c r="N243">
        <v>2014</v>
      </c>
      <c r="O243" t="s">
        <v>13</v>
      </c>
      <c r="P243" t="s">
        <v>73</v>
      </c>
      <c r="Q243" t="s">
        <v>15</v>
      </c>
      <c r="R243" t="s">
        <v>15</v>
      </c>
    </row>
    <row r="244" spans="1:18" x14ac:dyDescent="0.25">
      <c r="A244" t="s">
        <v>71</v>
      </c>
      <c r="B244" t="s">
        <v>74</v>
      </c>
      <c r="C244" t="s">
        <v>12</v>
      </c>
      <c r="D244">
        <v>1</v>
      </c>
      <c r="E244">
        <v>55</v>
      </c>
      <c r="F244">
        <v>2.76541181589306E-2</v>
      </c>
      <c r="G244">
        <v>193</v>
      </c>
      <c r="H244">
        <v>0.171613438639694</v>
      </c>
      <c r="I244">
        <v>184</v>
      </c>
      <c r="L244">
        <v>0.15532856522867999</v>
      </c>
      <c r="M244">
        <v>0.101029028116616</v>
      </c>
      <c r="N244">
        <v>2014</v>
      </c>
      <c r="O244" t="s">
        <v>13</v>
      </c>
      <c r="P244" t="s">
        <v>73</v>
      </c>
      <c r="Q244" t="s">
        <v>15</v>
      </c>
      <c r="R244" t="s">
        <v>15</v>
      </c>
    </row>
    <row r="245" spans="1:18" x14ac:dyDescent="0.25">
      <c r="A245" t="s">
        <v>71</v>
      </c>
      <c r="B245" t="s">
        <v>74</v>
      </c>
      <c r="C245" t="s">
        <v>12</v>
      </c>
      <c r="D245">
        <v>1</v>
      </c>
      <c r="E245">
        <v>65</v>
      </c>
      <c r="F245">
        <v>5.5790662730987898E-3</v>
      </c>
      <c r="G245">
        <v>118</v>
      </c>
      <c r="H245">
        <v>0.21109957808203</v>
      </c>
      <c r="I245">
        <v>107</v>
      </c>
      <c r="L245">
        <v>0.24565411901502701</v>
      </c>
      <c r="M245">
        <v>7.97740480316875E-2</v>
      </c>
      <c r="N245">
        <v>2014</v>
      </c>
      <c r="O245" t="s">
        <v>13</v>
      </c>
      <c r="P245" t="s">
        <v>73</v>
      </c>
      <c r="Q245" t="s">
        <v>15</v>
      </c>
      <c r="R245" t="s">
        <v>15</v>
      </c>
    </row>
    <row r="246" spans="1:18" x14ac:dyDescent="0.25">
      <c r="A246" t="s">
        <v>71</v>
      </c>
      <c r="B246" t="s">
        <v>75</v>
      </c>
      <c r="C246" t="s">
        <v>12</v>
      </c>
      <c r="D246">
        <v>2</v>
      </c>
      <c r="E246">
        <v>19</v>
      </c>
      <c r="F246">
        <v>0</v>
      </c>
      <c r="G246">
        <v>61</v>
      </c>
      <c r="H246">
        <v>2.0800411088817E-2</v>
      </c>
      <c r="I246">
        <v>59</v>
      </c>
      <c r="L246">
        <v>0.17632751561858601</v>
      </c>
      <c r="M246">
        <v>0</v>
      </c>
      <c r="N246">
        <v>2019</v>
      </c>
      <c r="O246" t="s">
        <v>13</v>
      </c>
      <c r="P246" t="s">
        <v>73</v>
      </c>
      <c r="Q246" t="s">
        <v>15</v>
      </c>
      <c r="R246" t="s">
        <v>15</v>
      </c>
    </row>
    <row r="247" spans="1:18" x14ac:dyDescent="0.25">
      <c r="A247" t="s">
        <v>71</v>
      </c>
      <c r="B247" t="s">
        <v>75</v>
      </c>
      <c r="C247" t="s">
        <v>12</v>
      </c>
      <c r="D247">
        <v>2</v>
      </c>
      <c r="E247">
        <v>25</v>
      </c>
      <c r="F247">
        <v>1.0212497241521301E-3</v>
      </c>
      <c r="G247">
        <v>718</v>
      </c>
      <c r="H247">
        <v>3.9433769553147702E-2</v>
      </c>
      <c r="I247">
        <v>695</v>
      </c>
      <c r="L247">
        <v>0.16952620277671601</v>
      </c>
      <c r="M247">
        <v>0.13807023957801901</v>
      </c>
      <c r="N247">
        <v>2019</v>
      </c>
      <c r="O247" t="s">
        <v>13</v>
      </c>
      <c r="P247" t="s">
        <v>73</v>
      </c>
      <c r="Q247" t="s">
        <v>15</v>
      </c>
      <c r="R247" t="s">
        <v>15</v>
      </c>
    </row>
    <row r="248" spans="1:18" x14ac:dyDescent="0.25">
      <c r="A248" t="s">
        <v>71</v>
      </c>
      <c r="B248" t="s">
        <v>75</v>
      </c>
      <c r="C248" t="s">
        <v>12</v>
      </c>
      <c r="D248">
        <v>2</v>
      </c>
      <c r="E248">
        <v>35</v>
      </c>
      <c r="F248">
        <v>1.07253705465851E-2</v>
      </c>
      <c r="G248">
        <v>1038</v>
      </c>
      <c r="H248">
        <v>7.0484532785696802E-2</v>
      </c>
      <c r="I248">
        <v>987</v>
      </c>
      <c r="L248">
        <v>0.15589042662056601</v>
      </c>
      <c r="M248">
        <v>0.18686382050991099</v>
      </c>
      <c r="N248">
        <v>2019</v>
      </c>
      <c r="O248" t="s">
        <v>13</v>
      </c>
      <c r="P248" t="s">
        <v>73</v>
      </c>
      <c r="Q248" t="s">
        <v>15</v>
      </c>
      <c r="R248" t="s">
        <v>15</v>
      </c>
    </row>
    <row r="249" spans="1:18" x14ac:dyDescent="0.25">
      <c r="A249" t="s">
        <v>71</v>
      </c>
      <c r="B249" t="s">
        <v>75</v>
      </c>
      <c r="C249" t="s">
        <v>12</v>
      </c>
      <c r="D249">
        <v>2</v>
      </c>
      <c r="E249">
        <v>45</v>
      </c>
      <c r="F249">
        <v>2.14634791729774E-2</v>
      </c>
      <c r="G249">
        <v>691</v>
      </c>
      <c r="H249">
        <v>0.123779303297841</v>
      </c>
      <c r="I249">
        <v>655</v>
      </c>
      <c r="L249">
        <v>0.141313452519819</v>
      </c>
      <c r="M249">
        <v>0.12083492273702499</v>
      </c>
      <c r="N249">
        <v>2019</v>
      </c>
      <c r="O249" t="s">
        <v>13</v>
      </c>
      <c r="P249" t="s">
        <v>73</v>
      </c>
      <c r="Q249" t="s">
        <v>15</v>
      </c>
      <c r="R249" t="s">
        <v>15</v>
      </c>
    </row>
    <row r="250" spans="1:18" x14ac:dyDescent="0.25">
      <c r="A250" t="s">
        <v>71</v>
      </c>
      <c r="B250" t="s">
        <v>75</v>
      </c>
      <c r="C250" t="s">
        <v>12</v>
      </c>
      <c r="D250">
        <v>2</v>
      </c>
      <c r="E250">
        <v>55</v>
      </c>
      <c r="F250">
        <v>2.8671434085004999E-2</v>
      </c>
      <c r="G250">
        <v>447</v>
      </c>
      <c r="H250">
        <v>0.167599761444823</v>
      </c>
      <c r="I250">
        <v>421</v>
      </c>
      <c r="L250">
        <v>0.14259386557800799</v>
      </c>
      <c r="M250">
        <v>9.8136624063642694E-2</v>
      </c>
      <c r="N250">
        <v>2019</v>
      </c>
      <c r="O250" t="s">
        <v>13</v>
      </c>
      <c r="P250" t="s">
        <v>73</v>
      </c>
      <c r="Q250" t="s">
        <v>15</v>
      </c>
      <c r="R250" t="s">
        <v>15</v>
      </c>
    </row>
    <row r="251" spans="1:18" x14ac:dyDescent="0.25">
      <c r="A251" t="s">
        <v>71</v>
      </c>
      <c r="B251" t="s">
        <v>75</v>
      </c>
      <c r="C251" t="s">
        <v>12</v>
      </c>
      <c r="D251">
        <v>2</v>
      </c>
      <c r="E251">
        <v>65</v>
      </c>
      <c r="F251">
        <v>9.0294202733432305E-2</v>
      </c>
      <c r="G251">
        <v>325</v>
      </c>
      <c r="H251">
        <v>0.185018000339285</v>
      </c>
      <c r="I251">
        <v>290</v>
      </c>
      <c r="L251">
        <v>0.129371972744905</v>
      </c>
      <c r="M251">
        <v>0.146597291431626</v>
      </c>
      <c r="N251">
        <v>2019</v>
      </c>
      <c r="O251" t="s">
        <v>13</v>
      </c>
      <c r="P251" t="s">
        <v>73</v>
      </c>
      <c r="Q251" t="s">
        <v>15</v>
      </c>
      <c r="R251" t="s">
        <v>15</v>
      </c>
    </row>
    <row r="252" spans="1:18" x14ac:dyDescent="0.25">
      <c r="A252" t="s">
        <v>71</v>
      </c>
      <c r="B252" t="s">
        <v>75</v>
      </c>
      <c r="C252" t="s">
        <v>12</v>
      </c>
      <c r="D252">
        <v>1</v>
      </c>
      <c r="E252">
        <v>19</v>
      </c>
      <c r="F252">
        <v>0</v>
      </c>
      <c r="G252">
        <v>43</v>
      </c>
      <c r="H252">
        <v>2.32880971160019E-2</v>
      </c>
      <c r="I252">
        <v>42</v>
      </c>
      <c r="L252">
        <v>0.17702410730124701</v>
      </c>
      <c r="M252">
        <v>0</v>
      </c>
      <c r="N252">
        <v>2019</v>
      </c>
      <c r="O252" t="s">
        <v>13</v>
      </c>
      <c r="P252" t="s">
        <v>73</v>
      </c>
      <c r="Q252" t="s">
        <v>15</v>
      </c>
      <c r="R252" t="s">
        <v>15</v>
      </c>
    </row>
    <row r="253" spans="1:18" x14ac:dyDescent="0.25">
      <c r="A253" t="s">
        <v>71</v>
      </c>
      <c r="B253" t="s">
        <v>75</v>
      </c>
      <c r="C253" t="s">
        <v>12</v>
      </c>
      <c r="D253">
        <v>1</v>
      </c>
      <c r="E253">
        <v>25</v>
      </c>
      <c r="F253">
        <v>0</v>
      </c>
      <c r="G253">
        <v>379</v>
      </c>
      <c r="H253">
        <v>3.8581806843026097E-2</v>
      </c>
      <c r="I253">
        <v>358</v>
      </c>
      <c r="L253">
        <v>0.15116179857172601</v>
      </c>
      <c r="M253">
        <v>0</v>
      </c>
      <c r="N253">
        <v>2019</v>
      </c>
      <c r="O253" t="s">
        <v>13</v>
      </c>
      <c r="P253" t="s">
        <v>73</v>
      </c>
      <c r="Q253" t="s">
        <v>15</v>
      </c>
      <c r="R253" t="s">
        <v>15</v>
      </c>
    </row>
    <row r="254" spans="1:18" x14ac:dyDescent="0.25">
      <c r="A254" t="s">
        <v>71</v>
      </c>
      <c r="B254" t="s">
        <v>75</v>
      </c>
      <c r="C254" t="s">
        <v>12</v>
      </c>
      <c r="D254">
        <v>1</v>
      </c>
      <c r="E254">
        <v>35</v>
      </c>
      <c r="F254">
        <v>6.7503648665592601E-3</v>
      </c>
      <c r="G254">
        <v>565</v>
      </c>
      <c r="H254">
        <v>7.0132723674281097E-2</v>
      </c>
      <c r="I254">
        <v>544</v>
      </c>
      <c r="L254">
        <v>0.14400835760126199</v>
      </c>
      <c r="M254">
        <v>0.13272534081318699</v>
      </c>
      <c r="N254">
        <v>2019</v>
      </c>
      <c r="O254" t="s">
        <v>13</v>
      </c>
      <c r="P254" t="s">
        <v>73</v>
      </c>
      <c r="Q254" t="s">
        <v>15</v>
      </c>
      <c r="R254" t="s">
        <v>15</v>
      </c>
    </row>
    <row r="255" spans="1:18" x14ac:dyDescent="0.25">
      <c r="A255" t="s">
        <v>71</v>
      </c>
      <c r="B255" t="s">
        <v>75</v>
      </c>
      <c r="C255" t="s">
        <v>12</v>
      </c>
      <c r="D255">
        <v>1</v>
      </c>
      <c r="E255">
        <v>45</v>
      </c>
      <c r="F255">
        <v>2.5327042978600198E-2</v>
      </c>
      <c r="G255">
        <v>479</v>
      </c>
      <c r="H255">
        <v>0.110125479158274</v>
      </c>
      <c r="I255">
        <v>444</v>
      </c>
      <c r="L255">
        <v>0.117800076178692</v>
      </c>
      <c r="M255">
        <v>0.11964210238112399</v>
      </c>
      <c r="N255">
        <v>2019</v>
      </c>
      <c r="O255" t="s">
        <v>13</v>
      </c>
      <c r="P255" t="s">
        <v>73</v>
      </c>
      <c r="Q255" t="s">
        <v>15</v>
      </c>
      <c r="R255" t="s">
        <v>15</v>
      </c>
    </row>
    <row r="256" spans="1:18" x14ac:dyDescent="0.25">
      <c r="A256" t="s">
        <v>71</v>
      </c>
      <c r="B256" t="s">
        <v>75</v>
      </c>
      <c r="C256" t="s">
        <v>12</v>
      </c>
      <c r="D256">
        <v>1</v>
      </c>
      <c r="E256">
        <v>55</v>
      </c>
      <c r="F256">
        <v>4.3221121613270498E-2</v>
      </c>
      <c r="G256">
        <v>377</v>
      </c>
      <c r="H256">
        <v>0.12295413101250301</v>
      </c>
      <c r="I256">
        <v>350</v>
      </c>
      <c r="L256">
        <v>0.13800428941045401</v>
      </c>
      <c r="M256">
        <v>0.18464802945138001</v>
      </c>
      <c r="N256">
        <v>2019</v>
      </c>
      <c r="O256" t="s">
        <v>13</v>
      </c>
      <c r="P256" t="s">
        <v>73</v>
      </c>
      <c r="Q256" t="s">
        <v>15</v>
      </c>
      <c r="R256" t="s">
        <v>15</v>
      </c>
    </row>
    <row r="257" spans="1:18" x14ac:dyDescent="0.25">
      <c r="A257" t="s">
        <v>71</v>
      </c>
      <c r="B257" t="s">
        <v>75</v>
      </c>
      <c r="C257" t="s">
        <v>12</v>
      </c>
      <c r="D257">
        <v>1</v>
      </c>
      <c r="E257">
        <v>65</v>
      </c>
      <c r="F257">
        <v>6.0791372500485399E-2</v>
      </c>
      <c r="G257">
        <v>256</v>
      </c>
      <c r="H257">
        <v>0.173367837500112</v>
      </c>
      <c r="I257">
        <v>235</v>
      </c>
      <c r="L257">
        <v>0.131850138455439</v>
      </c>
      <c r="M257">
        <v>0.12974520211823501</v>
      </c>
      <c r="N257">
        <v>2019</v>
      </c>
      <c r="O257" t="s">
        <v>13</v>
      </c>
      <c r="P257" t="s">
        <v>73</v>
      </c>
      <c r="Q257" t="s">
        <v>15</v>
      </c>
      <c r="R257" t="s">
        <v>15</v>
      </c>
    </row>
    <row r="258" spans="1:18" x14ac:dyDescent="0.25">
      <c r="A258" t="s">
        <v>76</v>
      </c>
      <c r="B258" t="s">
        <v>77</v>
      </c>
      <c r="C258" t="s">
        <v>12</v>
      </c>
      <c r="D258">
        <v>2</v>
      </c>
      <c r="E258">
        <v>19</v>
      </c>
      <c r="F258">
        <v>0</v>
      </c>
      <c r="G258">
        <v>105</v>
      </c>
      <c r="H258">
        <v>6.1303638673772696E-3</v>
      </c>
      <c r="I258">
        <v>85</v>
      </c>
      <c r="L258">
        <v>0.141840605985215</v>
      </c>
      <c r="M258">
        <v>0</v>
      </c>
      <c r="N258">
        <v>2014</v>
      </c>
      <c r="O258" t="s">
        <v>13</v>
      </c>
      <c r="P258" t="s">
        <v>78</v>
      </c>
      <c r="Q258" t="s">
        <v>79</v>
      </c>
      <c r="R258" t="s">
        <v>44</v>
      </c>
    </row>
    <row r="259" spans="1:18" x14ac:dyDescent="0.25">
      <c r="A259" t="s">
        <v>76</v>
      </c>
      <c r="B259" t="s">
        <v>77</v>
      </c>
      <c r="C259" t="s">
        <v>12</v>
      </c>
      <c r="D259">
        <v>2</v>
      </c>
      <c r="E259">
        <v>25</v>
      </c>
      <c r="F259">
        <v>1.36584316497254E-3</v>
      </c>
      <c r="G259">
        <v>737</v>
      </c>
      <c r="H259">
        <v>2.1473691878675601E-2</v>
      </c>
      <c r="I259">
        <v>623</v>
      </c>
      <c r="L259">
        <v>3.03848786002873E-2</v>
      </c>
      <c r="M259">
        <v>3.23236848986539E-2</v>
      </c>
      <c r="N259">
        <v>2014</v>
      </c>
      <c r="O259" t="s">
        <v>13</v>
      </c>
      <c r="P259" t="s">
        <v>78</v>
      </c>
      <c r="Q259" t="s">
        <v>79</v>
      </c>
      <c r="R259" t="s">
        <v>44</v>
      </c>
    </row>
    <row r="260" spans="1:18" x14ac:dyDescent="0.25">
      <c r="A260" t="s">
        <v>76</v>
      </c>
      <c r="B260" t="s">
        <v>77</v>
      </c>
      <c r="C260" t="s">
        <v>12</v>
      </c>
      <c r="D260">
        <v>2</v>
      </c>
      <c r="E260">
        <v>35</v>
      </c>
      <c r="F260">
        <v>0</v>
      </c>
      <c r="G260">
        <v>646</v>
      </c>
      <c r="H260">
        <v>3.74631142315291E-2</v>
      </c>
      <c r="I260">
        <v>556</v>
      </c>
      <c r="L260">
        <v>4.89434893670634E-2</v>
      </c>
      <c r="M260">
        <v>0</v>
      </c>
      <c r="N260">
        <v>2014</v>
      </c>
      <c r="O260" t="s">
        <v>13</v>
      </c>
      <c r="P260" t="s">
        <v>78</v>
      </c>
      <c r="Q260" t="s">
        <v>79</v>
      </c>
      <c r="R260" t="s">
        <v>44</v>
      </c>
    </row>
    <row r="261" spans="1:18" x14ac:dyDescent="0.25">
      <c r="A261" t="s">
        <v>76</v>
      </c>
      <c r="B261" t="s">
        <v>77</v>
      </c>
      <c r="C261" t="s">
        <v>12</v>
      </c>
      <c r="D261">
        <v>2</v>
      </c>
      <c r="E261">
        <v>45</v>
      </c>
      <c r="F261">
        <v>1.58177249653682E-2</v>
      </c>
      <c r="G261">
        <v>454</v>
      </c>
      <c r="H261">
        <v>6.9476792935477205E-2</v>
      </c>
      <c r="I261">
        <v>386</v>
      </c>
      <c r="L261">
        <v>4.28121120142173E-2</v>
      </c>
      <c r="M261">
        <v>5.27309740031476E-2</v>
      </c>
      <c r="N261">
        <v>2014</v>
      </c>
      <c r="O261" t="s">
        <v>13</v>
      </c>
      <c r="P261" t="s">
        <v>78</v>
      </c>
      <c r="Q261" t="s">
        <v>79</v>
      </c>
      <c r="R261" t="s">
        <v>44</v>
      </c>
    </row>
    <row r="262" spans="1:18" x14ac:dyDescent="0.25">
      <c r="A262" t="s">
        <v>76</v>
      </c>
      <c r="B262" t="s">
        <v>77</v>
      </c>
      <c r="C262" t="s">
        <v>12</v>
      </c>
      <c r="D262">
        <v>2</v>
      </c>
      <c r="E262">
        <v>55</v>
      </c>
      <c r="F262">
        <v>3.1872734220196597E-2</v>
      </c>
      <c r="G262">
        <v>372</v>
      </c>
      <c r="H262">
        <v>8.2677283125421705E-2</v>
      </c>
      <c r="I262">
        <v>309</v>
      </c>
      <c r="L262">
        <v>5.34886735023129E-2</v>
      </c>
      <c r="M262">
        <v>7.8628353290792305E-2</v>
      </c>
      <c r="N262">
        <v>2014</v>
      </c>
      <c r="O262" t="s">
        <v>13</v>
      </c>
      <c r="P262" t="s">
        <v>78</v>
      </c>
      <c r="Q262" t="s">
        <v>79</v>
      </c>
      <c r="R262" t="s">
        <v>44</v>
      </c>
    </row>
    <row r="263" spans="1:18" x14ac:dyDescent="0.25">
      <c r="A263" t="s">
        <v>76</v>
      </c>
      <c r="B263" t="s">
        <v>77</v>
      </c>
      <c r="C263" t="s">
        <v>12</v>
      </c>
      <c r="D263">
        <v>2</v>
      </c>
      <c r="E263">
        <v>65</v>
      </c>
      <c r="F263">
        <v>7.8076319545660106E-2</v>
      </c>
      <c r="G263">
        <v>232</v>
      </c>
      <c r="H263">
        <v>0.12280525904462</v>
      </c>
      <c r="I263">
        <v>178</v>
      </c>
      <c r="L263">
        <v>3.3981742460284799E-2</v>
      </c>
      <c r="M263">
        <v>5.2867810420080201E-2</v>
      </c>
      <c r="N263">
        <v>2014</v>
      </c>
      <c r="O263" t="s">
        <v>13</v>
      </c>
      <c r="P263" t="s">
        <v>78</v>
      </c>
      <c r="Q263" t="s">
        <v>79</v>
      </c>
      <c r="R263" t="s">
        <v>44</v>
      </c>
    </row>
    <row r="264" spans="1:18" x14ac:dyDescent="0.25">
      <c r="A264" t="s">
        <v>76</v>
      </c>
      <c r="B264" t="s">
        <v>77</v>
      </c>
      <c r="C264" t="s">
        <v>12</v>
      </c>
      <c r="D264">
        <v>1</v>
      </c>
      <c r="E264">
        <v>19</v>
      </c>
      <c r="F264">
        <v>0</v>
      </c>
      <c r="G264">
        <v>65</v>
      </c>
      <c r="H264">
        <v>5.2404639824291301E-3</v>
      </c>
      <c r="I264">
        <v>57</v>
      </c>
      <c r="L264">
        <v>0.13662335013639901</v>
      </c>
      <c r="M264">
        <v>0</v>
      </c>
      <c r="N264">
        <v>2014</v>
      </c>
      <c r="O264" t="s">
        <v>13</v>
      </c>
      <c r="P264" t="s">
        <v>78</v>
      </c>
      <c r="Q264" t="s">
        <v>79</v>
      </c>
      <c r="R264" t="s">
        <v>44</v>
      </c>
    </row>
    <row r="265" spans="1:18" x14ac:dyDescent="0.25">
      <c r="A265" t="s">
        <v>76</v>
      </c>
      <c r="B265" t="s">
        <v>77</v>
      </c>
      <c r="C265" t="s">
        <v>12</v>
      </c>
      <c r="D265">
        <v>1</v>
      </c>
      <c r="E265">
        <v>25</v>
      </c>
      <c r="F265">
        <v>0</v>
      </c>
      <c r="G265">
        <v>432</v>
      </c>
      <c r="H265">
        <v>1.62153545107281E-2</v>
      </c>
      <c r="I265">
        <v>369</v>
      </c>
      <c r="L265">
        <v>2.7131530692850198E-2</v>
      </c>
      <c r="M265">
        <v>0</v>
      </c>
      <c r="N265">
        <v>2014</v>
      </c>
      <c r="O265" t="s">
        <v>13</v>
      </c>
      <c r="P265" t="s">
        <v>78</v>
      </c>
      <c r="Q265" t="s">
        <v>79</v>
      </c>
      <c r="R265" t="s">
        <v>44</v>
      </c>
    </row>
    <row r="266" spans="1:18" x14ac:dyDescent="0.25">
      <c r="A266" t="s">
        <v>76</v>
      </c>
      <c r="B266" t="s">
        <v>77</v>
      </c>
      <c r="C266" t="s">
        <v>12</v>
      </c>
      <c r="D266">
        <v>1</v>
      </c>
      <c r="E266">
        <v>35</v>
      </c>
      <c r="F266">
        <v>7.2522276661252799E-3</v>
      </c>
      <c r="G266">
        <v>301</v>
      </c>
      <c r="H266">
        <v>1.3257374971378201E-2</v>
      </c>
      <c r="I266">
        <v>246</v>
      </c>
      <c r="L266">
        <v>6.2565255410654094E-2</v>
      </c>
      <c r="M266">
        <v>0.25746826831783598</v>
      </c>
      <c r="N266">
        <v>2014</v>
      </c>
      <c r="O266" t="s">
        <v>13</v>
      </c>
      <c r="P266" t="s">
        <v>78</v>
      </c>
      <c r="Q266" t="s">
        <v>79</v>
      </c>
      <c r="R266" t="s">
        <v>44</v>
      </c>
    </row>
    <row r="267" spans="1:18" x14ac:dyDescent="0.25">
      <c r="A267" t="s">
        <v>76</v>
      </c>
      <c r="B267" t="s">
        <v>77</v>
      </c>
      <c r="C267" t="s">
        <v>12</v>
      </c>
      <c r="D267">
        <v>1</v>
      </c>
      <c r="E267">
        <v>45</v>
      </c>
      <c r="F267">
        <v>3.4768383790448901E-2</v>
      </c>
      <c r="G267">
        <v>215</v>
      </c>
      <c r="H267">
        <v>2.8532297623689602E-2</v>
      </c>
      <c r="I267">
        <v>174</v>
      </c>
      <c r="L267">
        <v>3.3386955327016597E-2</v>
      </c>
      <c r="M267">
        <v>0.16675615536178401</v>
      </c>
      <c r="N267">
        <v>2014</v>
      </c>
      <c r="O267" t="s">
        <v>13</v>
      </c>
      <c r="P267" t="s">
        <v>78</v>
      </c>
      <c r="Q267" t="s">
        <v>79</v>
      </c>
      <c r="R267" t="s">
        <v>44</v>
      </c>
    </row>
    <row r="268" spans="1:18" x14ac:dyDescent="0.25">
      <c r="A268" t="s">
        <v>76</v>
      </c>
      <c r="B268" t="s">
        <v>77</v>
      </c>
      <c r="C268" t="s">
        <v>12</v>
      </c>
      <c r="D268">
        <v>1</v>
      </c>
      <c r="E268">
        <v>55</v>
      </c>
      <c r="F268">
        <v>1.35406445242968E-2</v>
      </c>
      <c r="G268">
        <v>150</v>
      </c>
      <c r="H268">
        <v>9.6592526136675405E-2</v>
      </c>
      <c r="I268">
        <v>126</v>
      </c>
      <c r="L268">
        <v>3.1555875491639303E-2</v>
      </c>
      <c r="M268">
        <v>2.52446897532741E-2</v>
      </c>
      <c r="N268">
        <v>2014</v>
      </c>
      <c r="O268" t="s">
        <v>13</v>
      </c>
      <c r="P268" t="s">
        <v>78</v>
      </c>
      <c r="Q268" t="s">
        <v>79</v>
      </c>
      <c r="R268" t="s">
        <v>44</v>
      </c>
    </row>
    <row r="269" spans="1:18" x14ac:dyDescent="0.25">
      <c r="A269" t="s">
        <v>76</v>
      </c>
      <c r="B269" t="s">
        <v>77</v>
      </c>
      <c r="C269" t="s">
        <v>12</v>
      </c>
      <c r="D269">
        <v>1</v>
      </c>
      <c r="E269">
        <v>65</v>
      </c>
      <c r="F269">
        <v>0.120956282858543</v>
      </c>
      <c r="G269">
        <v>89</v>
      </c>
      <c r="H269">
        <v>7.3704282727104303E-2</v>
      </c>
      <c r="I269">
        <v>66</v>
      </c>
      <c r="L269">
        <v>2.5720637783927601E-2</v>
      </c>
      <c r="M269">
        <v>9.2027114250089997E-2</v>
      </c>
      <c r="N269">
        <v>2014</v>
      </c>
      <c r="O269" t="s">
        <v>13</v>
      </c>
      <c r="P269" t="s">
        <v>78</v>
      </c>
      <c r="Q269" t="s">
        <v>79</v>
      </c>
      <c r="R269" t="s">
        <v>44</v>
      </c>
    </row>
    <row r="270" spans="1:18" x14ac:dyDescent="0.25">
      <c r="A270" t="s">
        <v>80</v>
      </c>
      <c r="B270" t="s">
        <v>81</v>
      </c>
      <c r="C270" t="s">
        <v>12</v>
      </c>
      <c r="D270">
        <v>2</v>
      </c>
      <c r="E270">
        <v>27.5</v>
      </c>
      <c r="F270">
        <v>3.1190878505375601E-5</v>
      </c>
      <c r="G270">
        <v>465</v>
      </c>
      <c r="H270">
        <v>0.120682973775249</v>
      </c>
      <c r="I270">
        <v>433</v>
      </c>
      <c r="L270">
        <v>3.7917938247653701E-2</v>
      </c>
      <c r="M270">
        <v>5.8972367470395701E-3</v>
      </c>
      <c r="N270">
        <v>2010</v>
      </c>
      <c r="O270" t="s">
        <v>53</v>
      </c>
      <c r="P270" t="s">
        <v>82</v>
      </c>
      <c r="Q270" t="s">
        <v>79</v>
      </c>
      <c r="R270" t="s">
        <v>44</v>
      </c>
    </row>
    <row r="271" spans="1:18" x14ac:dyDescent="0.25">
      <c r="A271" t="s">
        <v>80</v>
      </c>
      <c r="B271" t="s">
        <v>81</v>
      </c>
      <c r="C271" t="s">
        <v>12</v>
      </c>
      <c r="D271">
        <v>2</v>
      </c>
      <c r="E271">
        <v>35</v>
      </c>
      <c r="F271">
        <v>8.8301155063676801E-4</v>
      </c>
      <c r="G271">
        <v>593</v>
      </c>
      <c r="H271">
        <v>0.18219736032669301</v>
      </c>
      <c r="I271">
        <v>553</v>
      </c>
      <c r="L271">
        <v>3.67824057891512E-2</v>
      </c>
      <c r="M271">
        <v>7.0458475654072098E-3</v>
      </c>
      <c r="N271">
        <v>2010</v>
      </c>
      <c r="O271" t="s">
        <v>53</v>
      </c>
      <c r="P271" t="s">
        <v>82</v>
      </c>
      <c r="Q271" t="s">
        <v>79</v>
      </c>
      <c r="R271" t="s">
        <v>44</v>
      </c>
    </row>
    <row r="272" spans="1:18" x14ac:dyDescent="0.25">
      <c r="A272" t="s">
        <v>80</v>
      </c>
      <c r="B272" t="s">
        <v>81</v>
      </c>
      <c r="C272" t="s">
        <v>12</v>
      </c>
      <c r="D272">
        <v>2</v>
      </c>
      <c r="E272">
        <v>45</v>
      </c>
      <c r="F272">
        <v>6.4038157991131604E-3</v>
      </c>
      <c r="G272">
        <v>441</v>
      </c>
      <c r="H272">
        <v>0.20137822478512199</v>
      </c>
      <c r="I272">
        <v>421</v>
      </c>
      <c r="L272">
        <v>4.9321678533731303E-2</v>
      </c>
      <c r="M272">
        <v>1.37792262945671E-2</v>
      </c>
      <c r="N272">
        <v>2010</v>
      </c>
      <c r="O272" t="s">
        <v>53</v>
      </c>
      <c r="P272" t="s">
        <v>82</v>
      </c>
      <c r="Q272" t="s">
        <v>79</v>
      </c>
      <c r="R272" t="s">
        <v>44</v>
      </c>
    </row>
    <row r="273" spans="1:18" x14ac:dyDescent="0.25">
      <c r="A273" t="s">
        <v>80</v>
      </c>
      <c r="B273" t="s">
        <v>81</v>
      </c>
      <c r="C273" t="s">
        <v>12</v>
      </c>
      <c r="D273">
        <v>2</v>
      </c>
      <c r="E273">
        <v>55</v>
      </c>
      <c r="F273">
        <v>1.3804805225155099E-2</v>
      </c>
      <c r="G273">
        <v>324</v>
      </c>
      <c r="H273">
        <v>0.26354189508124398</v>
      </c>
      <c r="I273">
        <v>298</v>
      </c>
      <c r="L273">
        <v>6.3317146949763203E-2</v>
      </c>
      <c r="M273">
        <v>1.6307933586189299E-2</v>
      </c>
      <c r="N273">
        <v>2010</v>
      </c>
      <c r="O273" t="s">
        <v>53</v>
      </c>
      <c r="P273" t="s">
        <v>82</v>
      </c>
      <c r="Q273" t="s">
        <v>79</v>
      </c>
      <c r="R273" t="s">
        <v>44</v>
      </c>
    </row>
    <row r="274" spans="1:18" x14ac:dyDescent="0.25">
      <c r="A274" t="s">
        <v>80</v>
      </c>
      <c r="B274" t="s">
        <v>81</v>
      </c>
      <c r="C274" t="s">
        <v>12</v>
      </c>
      <c r="D274">
        <v>2</v>
      </c>
      <c r="E274">
        <v>62.5</v>
      </c>
      <c r="F274">
        <v>8.9773314088177607E-3</v>
      </c>
      <c r="G274">
        <v>175</v>
      </c>
      <c r="H274">
        <v>0.261257968357818</v>
      </c>
      <c r="I274">
        <v>163</v>
      </c>
      <c r="L274">
        <v>7.6622979857811899E-2</v>
      </c>
      <c r="M274">
        <v>1.7781876896567E-2</v>
      </c>
      <c r="N274">
        <v>2010</v>
      </c>
      <c r="O274" t="s">
        <v>53</v>
      </c>
      <c r="P274" t="s">
        <v>82</v>
      </c>
      <c r="Q274" t="s">
        <v>79</v>
      </c>
      <c r="R274" t="s">
        <v>44</v>
      </c>
    </row>
    <row r="275" spans="1:18" x14ac:dyDescent="0.25">
      <c r="A275" t="s">
        <v>80</v>
      </c>
      <c r="B275" t="s">
        <v>81</v>
      </c>
      <c r="C275" t="s">
        <v>12</v>
      </c>
      <c r="D275">
        <v>1</v>
      </c>
      <c r="E275">
        <v>27.5</v>
      </c>
      <c r="F275">
        <v>1.8951203574741401E-3</v>
      </c>
      <c r="G275">
        <v>391</v>
      </c>
      <c r="H275">
        <v>0.11821937465851599</v>
      </c>
      <c r="I275">
        <v>360</v>
      </c>
      <c r="L275">
        <v>2.8280300986466299E-2</v>
      </c>
      <c r="M275">
        <v>9.5354544946109794E-3</v>
      </c>
      <c r="N275">
        <v>2010</v>
      </c>
      <c r="O275" t="s">
        <v>53</v>
      </c>
      <c r="P275" t="s">
        <v>82</v>
      </c>
      <c r="Q275" t="s">
        <v>79</v>
      </c>
      <c r="R275" t="s">
        <v>44</v>
      </c>
    </row>
    <row r="276" spans="1:18" x14ac:dyDescent="0.25">
      <c r="A276" t="s">
        <v>80</v>
      </c>
      <c r="B276" t="s">
        <v>81</v>
      </c>
      <c r="C276" t="s">
        <v>12</v>
      </c>
      <c r="D276">
        <v>1</v>
      </c>
      <c r="E276">
        <v>35</v>
      </c>
      <c r="F276">
        <v>2.0771695858868501E-3</v>
      </c>
      <c r="G276">
        <v>522</v>
      </c>
      <c r="H276">
        <v>0.15379676973008599</v>
      </c>
      <c r="I276">
        <v>484</v>
      </c>
      <c r="L276">
        <v>3.4401406872302198E-2</v>
      </c>
      <c r="M276">
        <v>9.3361780120305698E-3</v>
      </c>
      <c r="N276">
        <v>2010</v>
      </c>
      <c r="O276" t="s">
        <v>53</v>
      </c>
      <c r="P276" t="s">
        <v>82</v>
      </c>
      <c r="Q276" t="s">
        <v>79</v>
      </c>
      <c r="R276" t="s">
        <v>44</v>
      </c>
    </row>
    <row r="277" spans="1:18" x14ac:dyDescent="0.25">
      <c r="A277" t="s">
        <v>80</v>
      </c>
      <c r="B277" t="s">
        <v>81</v>
      </c>
      <c r="C277" t="s">
        <v>12</v>
      </c>
      <c r="D277">
        <v>1</v>
      </c>
      <c r="E277">
        <v>45</v>
      </c>
      <c r="F277">
        <v>3.0331668845948001E-3</v>
      </c>
      <c r="G277">
        <v>432</v>
      </c>
      <c r="H277">
        <v>0.23437847040780199</v>
      </c>
      <c r="I277">
        <v>405</v>
      </c>
      <c r="L277">
        <v>3.2226703434512102E-2</v>
      </c>
      <c r="M277">
        <v>6.2205061519291097E-3</v>
      </c>
      <c r="N277">
        <v>2010</v>
      </c>
      <c r="O277" t="s">
        <v>53</v>
      </c>
      <c r="P277" t="s">
        <v>82</v>
      </c>
      <c r="Q277" t="s">
        <v>79</v>
      </c>
      <c r="R277" t="s">
        <v>44</v>
      </c>
    </row>
    <row r="278" spans="1:18" x14ac:dyDescent="0.25">
      <c r="A278" t="s">
        <v>80</v>
      </c>
      <c r="B278" t="s">
        <v>81</v>
      </c>
      <c r="C278" t="s">
        <v>12</v>
      </c>
      <c r="D278">
        <v>1</v>
      </c>
      <c r="E278">
        <v>55</v>
      </c>
      <c r="F278">
        <v>2.5041802804471399E-3</v>
      </c>
      <c r="G278">
        <v>350</v>
      </c>
      <c r="H278">
        <v>0.21167186239810101</v>
      </c>
      <c r="I278">
        <v>322</v>
      </c>
      <c r="L278">
        <v>5.5130617293483702E-2</v>
      </c>
      <c r="M278">
        <v>1.1429251026593E-2</v>
      </c>
      <c r="N278">
        <v>2010</v>
      </c>
      <c r="O278" t="s">
        <v>53</v>
      </c>
      <c r="P278" t="s">
        <v>82</v>
      </c>
      <c r="Q278" t="s">
        <v>79</v>
      </c>
      <c r="R278" t="s">
        <v>44</v>
      </c>
    </row>
    <row r="279" spans="1:18" x14ac:dyDescent="0.25">
      <c r="A279" t="s">
        <v>80</v>
      </c>
      <c r="B279" t="s">
        <v>81</v>
      </c>
      <c r="C279" t="s">
        <v>12</v>
      </c>
      <c r="D279">
        <v>1</v>
      </c>
      <c r="E279">
        <v>62.5</v>
      </c>
      <c r="F279">
        <v>4.0779376427720601E-2</v>
      </c>
      <c r="G279">
        <v>187</v>
      </c>
      <c r="H279">
        <v>0.26344968576391098</v>
      </c>
      <c r="I279">
        <v>172</v>
      </c>
      <c r="L279">
        <v>5.0559519100599797E-2</v>
      </c>
      <c r="M279">
        <v>1.9929570981052299E-2</v>
      </c>
      <c r="N279">
        <v>2010</v>
      </c>
      <c r="O279" t="s">
        <v>53</v>
      </c>
      <c r="P279" t="s">
        <v>82</v>
      </c>
      <c r="Q279" t="s">
        <v>79</v>
      </c>
      <c r="R279" t="s">
        <v>44</v>
      </c>
    </row>
    <row r="280" spans="1:18" x14ac:dyDescent="0.25">
      <c r="A280" t="s">
        <v>83</v>
      </c>
      <c r="B280" t="s">
        <v>84</v>
      </c>
      <c r="C280" t="s">
        <v>12</v>
      </c>
      <c r="D280">
        <v>2</v>
      </c>
      <c r="E280">
        <v>19</v>
      </c>
      <c r="F280">
        <v>0</v>
      </c>
      <c r="G280">
        <v>64</v>
      </c>
      <c r="H280">
        <v>4.3418803874692401E-2</v>
      </c>
      <c r="I280">
        <v>58</v>
      </c>
      <c r="L280">
        <v>2.8680455604104E-3</v>
      </c>
      <c r="M280">
        <v>0</v>
      </c>
      <c r="N280">
        <v>2003</v>
      </c>
      <c r="O280" t="s">
        <v>13</v>
      </c>
      <c r="P280" t="s">
        <v>85</v>
      </c>
      <c r="Q280" t="s">
        <v>24</v>
      </c>
      <c r="R280" t="s">
        <v>25</v>
      </c>
    </row>
    <row r="281" spans="1:18" x14ac:dyDescent="0.25">
      <c r="A281" t="s">
        <v>83</v>
      </c>
      <c r="B281" t="s">
        <v>84</v>
      </c>
      <c r="C281" t="s">
        <v>12</v>
      </c>
      <c r="D281">
        <v>2</v>
      </c>
      <c r="E281">
        <v>25</v>
      </c>
      <c r="F281">
        <v>2.2243849393849199E-2</v>
      </c>
      <c r="G281">
        <v>242</v>
      </c>
      <c r="H281">
        <v>6.7840878855304097E-3</v>
      </c>
      <c r="I281">
        <v>226</v>
      </c>
      <c r="L281">
        <v>9.0761061912782801E-3</v>
      </c>
      <c r="M281">
        <v>0.13697151737435401</v>
      </c>
      <c r="N281">
        <v>2003</v>
      </c>
      <c r="O281" t="s">
        <v>13</v>
      </c>
      <c r="P281" t="s">
        <v>85</v>
      </c>
      <c r="Q281" t="s">
        <v>24</v>
      </c>
      <c r="R281" t="s">
        <v>25</v>
      </c>
    </row>
    <row r="282" spans="1:18" x14ac:dyDescent="0.25">
      <c r="A282" t="s">
        <v>83</v>
      </c>
      <c r="B282" t="s">
        <v>84</v>
      </c>
      <c r="C282" t="s">
        <v>12</v>
      </c>
      <c r="D282">
        <v>2</v>
      </c>
      <c r="E282">
        <v>35</v>
      </c>
      <c r="F282">
        <v>2.1352518579990801E-3</v>
      </c>
      <c r="G282">
        <v>291</v>
      </c>
      <c r="H282">
        <v>1.7791267442744001E-2</v>
      </c>
      <c r="I282">
        <v>265</v>
      </c>
      <c r="L282">
        <v>4.9707639892462498E-2</v>
      </c>
      <c r="M282">
        <v>7.3876930575248606E-2</v>
      </c>
      <c r="N282">
        <v>2003</v>
      </c>
      <c r="O282" t="s">
        <v>13</v>
      </c>
      <c r="P282" t="s">
        <v>85</v>
      </c>
      <c r="Q282" t="s">
        <v>24</v>
      </c>
      <c r="R282" t="s">
        <v>25</v>
      </c>
    </row>
    <row r="283" spans="1:18" x14ac:dyDescent="0.25">
      <c r="A283" t="s">
        <v>83</v>
      </c>
      <c r="B283" t="s">
        <v>84</v>
      </c>
      <c r="C283" t="s">
        <v>12</v>
      </c>
      <c r="D283">
        <v>2</v>
      </c>
      <c r="E283">
        <v>45</v>
      </c>
      <c r="F283">
        <v>2.10473007875649E-2</v>
      </c>
      <c r="G283">
        <v>371</v>
      </c>
      <c r="H283">
        <v>2.7074331171351398E-2</v>
      </c>
      <c r="I283">
        <v>332</v>
      </c>
      <c r="L283">
        <v>3.83894394932075E-2</v>
      </c>
      <c r="M283">
        <v>0.13127160265471999</v>
      </c>
      <c r="N283">
        <v>2003</v>
      </c>
      <c r="O283" t="s">
        <v>13</v>
      </c>
      <c r="P283" t="s">
        <v>85</v>
      </c>
      <c r="Q283" t="s">
        <v>24</v>
      </c>
      <c r="R283" t="s">
        <v>25</v>
      </c>
    </row>
    <row r="284" spans="1:18" x14ac:dyDescent="0.25">
      <c r="A284" t="s">
        <v>83</v>
      </c>
      <c r="B284" t="s">
        <v>84</v>
      </c>
      <c r="C284" t="s">
        <v>12</v>
      </c>
      <c r="D284">
        <v>2</v>
      </c>
      <c r="E284">
        <v>55</v>
      </c>
      <c r="F284">
        <v>3.7374421514035402E-2</v>
      </c>
      <c r="G284">
        <v>317</v>
      </c>
      <c r="H284">
        <v>9.3339961727144399E-2</v>
      </c>
      <c r="I284">
        <v>282</v>
      </c>
      <c r="L284">
        <v>3.4649090575571799E-2</v>
      </c>
      <c r="M284">
        <v>4.61078892462497E-2</v>
      </c>
      <c r="N284">
        <v>2003</v>
      </c>
      <c r="O284" t="s">
        <v>13</v>
      </c>
      <c r="P284" t="s">
        <v>85</v>
      </c>
      <c r="Q284" t="s">
        <v>24</v>
      </c>
      <c r="R284" t="s">
        <v>25</v>
      </c>
    </row>
    <row r="285" spans="1:18" x14ac:dyDescent="0.25">
      <c r="A285" t="s">
        <v>83</v>
      </c>
      <c r="B285" t="s">
        <v>84</v>
      </c>
      <c r="C285" t="s">
        <v>12</v>
      </c>
      <c r="D285">
        <v>2</v>
      </c>
      <c r="E285">
        <v>65</v>
      </c>
      <c r="F285">
        <v>0.113833754888269</v>
      </c>
      <c r="G285">
        <v>294</v>
      </c>
      <c r="H285">
        <v>0.104894679272671</v>
      </c>
      <c r="I285">
        <v>247</v>
      </c>
      <c r="L285">
        <v>2.6768244123809699E-2</v>
      </c>
      <c r="M285">
        <v>5.9784613094145803E-2</v>
      </c>
      <c r="N285">
        <v>2003</v>
      </c>
      <c r="O285" t="s">
        <v>13</v>
      </c>
      <c r="P285" t="s">
        <v>85</v>
      </c>
      <c r="Q285" t="s">
        <v>24</v>
      </c>
      <c r="R285" t="s">
        <v>25</v>
      </c>
    </row>
    <row r="286" spans="1:18" x14ac:dyDescent="0.25">
      <c r="A286" t="s">
        <v>83</v>
      </c>
      <c r="B286" t="s">
        <v>84</v>
      </c>
      <c r="C286" t="s">
        <v>12</v>
      </c>
      <c r="D286">
        <v>2</v>
      </c>
      <c r="E286">
        <v>75</v>
      </c>
      <c r="F286">
        <v>0.119710307603189</v>
      </c>
      <c r="G286">
        <v>275</v>
      </c>
      <c r="H286">
        <v>0.118509955476757</v>
      </c>
      <c r="I286">
        <v>216</v>
      </c>
      <c r="L286">
        <v>3.11296273901659E-2</v>
      </c>
      <c r="M286">
        <v>6.2364262293406802E-2</v>
      </c>
      <c r="N286">
        <v>2003</v>
      </c>
      <c r="O286" t="s">
        <v>13</v>
      </c>
      <c r="P286" t="s">
        <v>85</v>
      </c>
      <c r="Q286" t="s">
        <v>24</v>
      </c>
      <c r="R286" t="s">
        <v>25</v>
      </c>
    </row>
    <row r="287" spans="1:18" x14ac:dyDescent="0.25">
      <c r="A287" t="s">
        <v>83</v>
      </c>
      <c r="B287" t="s">
        <v>84</v>
      </c>
      <c r="C287" t="s">
        <v>12</v>
      </c>
      <c r="D287">
        <v>2</v>
      </c>
      <c r="E287">
        <v>84.91</v>
      </c>
      <c r="F287">
        <v>1.6916570227159401E-2</v>
      </c>
      <c r="G287">
        <v>97</v>
      </c>
      <c r="H287">
        <v>0.11964962542956099</v>
      </c>
      <c r="I287">
        <v>81</v>
      </c>
      <c r="L287">
        <v>7.1541253468523497E-2</v>
      </c>
      <c r="M287">
        <v>4.9906764185325497E-2</v>
      </c>
      <c r="N287">
        <v>2003</v>
      </c>
      <c r="O287" t="s">
        <v>13</v>
      </c>
      <c r="P287" t="s">
        <v>85</v>
      </c>
      <c r="Q287" t="s">
        <v>24</v>
      </c>
      <c r="R287" t="s">
        <v>25</v>
      </c>
    </row>
    <row r="288" spans="1:18" x14ac:dyDescent="0.25">
      <c r="A288" t="s">
        <v>83</v>
      </c>
      <c r="B288" t="s">
        <v>84</v>
      </c>
      <c r="C288" t="s">
        <v>12</v>
      </c>
      <c r="D288">
        <v>1</v>
      </c>
      <c r="E288">
        <v>19</v>
      </c>
      <c r="F288">
        <v>0</v>
      </c>
      <c r="G288">
        <v>57</v>
      </c>
      <c r="H288">
        <v>3.68714451810302E-3</v>
      </c>
      <c r="I288">
        <v>50</v>
      </c>
      <c r="L288">
        <v>0.11411834872773501</v>
      </c>
      <c r="M288">
        <v>0</v>
      </c>
      <c r="N288">
        <v>2003</v>
      </c>
      <c r="O288" t="s">
        <v>13</v>
      </c>
      <c r="P288" t="s">
        <v>85</v>
      </c>
      <c r="Q288" t="s">
        <v>24</v>
      </c>
      <c r="R288" t="s">
        <v>25</v>
      </c>
    </row>
    <row r="289" spans="1:18" x14ac:dyDescent="0.25">
      <c r="A289" t="s">
        <v>83</v>
      </c>
      <c r="B289" t="s">
        <v>84</v>
      </c>
      <c r="C289" t="s">
        <v>12</v>
      </c>
      <c r="D289">
        <v>1</v>
      </c>
      <c r="E289">
        <v>25</v>
      </c>
      <c r="F289">
        <v>0</v>
      </c>
      <c r="G289">
        <v>263</v>
      </c>
      <c r="H289">
        <v>1.2999858508507999E-2</v>
      </c>
      <c r="I289">
        <v>238</v>
      </c>
      <c r="L289">
        <v>3.9837229087671101E-2</v>
      </c>
      <c r="M289">
        <v>0</v>
      </c>
      <c r="N289">
        <v>2003</v>
      </c>
      <c r="O289" t="s">
        <v>13</v>
      </c>
      <c r="P289" t="s">
        <v>85</v>
      </c>
      <c r="Q289" t="s">
        <v>24</v>
      </c>
      <c r="R289" t="s">
        <v>25</v>
      </c>
    </row>
    <row r="290" spans="1:18" x14ac:dyDescent="0.25">
      <c r="A290" t="s">
        <v>83</v>
      </c>
      <c r="B290" t="s">
        <v>84</v>
      </c>
      <c r="C290" t="s">
        <v>12</v>
      </c>
      <c r="D290">
        <v>1</v>
      </c>
      <c r="E290">
        <v>35</v>
      </c>
      <c r="F290">
        <v>0</v>
      </c>
      <c r="G290">
        <v>269</v>
      </c>
      <c r="H290">
        <v>1.35792678233183E-2</v>
      </c>
      <c r="I290">
        <v>245</v>
      </c>
      <c r="L290">
        <v>0.106869018811507</v>
      </c>
      <c r="M290">
        <v>0</v>
      </c>
      <c r="N290">
        <v>2003</v>
      </c>
      <c r="O290" t="s">
        <v>13</v>
      </c>
      <c r="P290" t="s">
        <v>85</v>
      </c>
      <c r="Q290" t="s">
        <v>24</v>
      </c>
      <c r="R290" t="s">
        <v>25</v>
      </c>
    </row>
    <row r="291" spans="1:18" x14ac:dyDescent="0.25">
      <c r="A291" t="s">
        <v>83</v>
      </c>
      <c r="B291" t="s">
        <v>84</v>
      </c>
      <c r="C291" t="s">
        <v>12</v>
      </c>
      <c r="D291">
        <v>1</v>
      </c>
      <c r="E291">
        <v>45</v>
      </c>
      <c r="F291">
        <v>2.6420139081460702E-2</v>
      </c>
      <c r="G291">
        <v>286</v>
      </c>
      <c r="H291">
        <v>3.3100821832188702E-2</v>
      </c>
      <c r="I291">
        <v>258</v>
      </c>
      <c r="L291">
        <v>3.3875020378619503E-2</v>
      </c>
      <c r="M291">
        <v>0.104895879472283</v>
      </c>
      <c r="N291">
        <v>2003</v>
      </c>
      <c r="O291" t="s">
        <v>13</v>
      </c>
      <c r="P291" t="s">
        <v>85</v>
      </c>
      <c r="Q291" t="s">
        <v>24</v>
      </c>
      <c r="R291" t="s">
        <v>25</v>
      </c>
    </row>
    <row r="292" spans="1:18" x14ac:dyDescent="0.25">
      <c r="A292" t="s">
        <v>83</v>
      </c>
      <c r="B292" t="s">
        <v>84</v>
      </c>
      <c r="C292" t="s">
        <v>12</v>
      </c>
      <c r="D292">
        <v>1</v>
      </c>
      <c r="E292">
        <v>55</v>
      </c>
      <c r="F292">
        <v>4.4966163867208898E-2</v>
      </c>
      <c r="G292">
        <v>265</v>
      </c>
      <c r="H292">
        <v>0.124859509088193</v>
      </c>
      <c r="I292">
        <v>235</v>
      </c>
      <c r="L292">
        <v>2.38535513845534E-2</v>
      </c>
      <c r="M292">
        <v>2.4980354420112601E-2</v>
      </c>
      <c r="N292">
        <v>2003</v>
      </c>
      <c r="O292" t="s">
        <v>13</v>
      </c>
      <c r="P292" t="s">
        <v>85</v>
      </c>
      <c r="Q292" t="s">
        <v>24</v>
      </c>
      <c r="R292" t="s">
        <v>25</v>
      </c>
    </row>
    <row r="293" spans="1:18" x14ac:dyDescent="0.25">
      <c r="A293" t="s">
        <v>83</v>
      </c>
      <c r="B293" t="s">
        <v>84</v>
      </c>
      <c r="C293" t="s">
        <v>12</v>
      </c>
      <c r="D293">
        <v>1</v>
      </c>
      <c r="E293">
        <v>65</v>
      </c>
      <c r="F293">
        <v>0.123968186698921</v>
      </c>
      <c r="G293">
        <v>213</v>
      </c>
      <c r="H293">
        <v>0.11458431378832699</v>
      </c>
      <c r="I293">
        <v>181</v>
      </c>
      <c r="L293">
        <v>2.6001331713696701E-2</v>
      </c>
      <c r="M293">
        <v>5.4116136975726398E-2</v>
      </c>
      <c r="N293">
        <v>2003</v>
      </c>
      <c r="O293" t="s">
        <v>13</v>
      </c>
      <c r="P293" t="s">
        <v>85</v>
      </c>
      <c r="Q293" t="s">
        <v>24</v>
      </c>
      <c r="R293" t="s">
        <v>25</v>
      </c>
    </row>
    <row r="294" spans="1:18" x14ac:dyDescent="0.25">
      <c r="A294" t="s">
        <v>83</v>
      </c>
      <c r="B294" t="s">
        <v>84</v>
      </c>
      <c r="C294" t="s">
        <v>12</v>
      </c>
      <c r="D294">
        <v>1</v>
      </c>
      <c r="E294">
        <v>75</v>
      </c>
      <c r="F294">
        <v>0.16181336245494099</v>
      </c>
      <c r="G294">
        <v>202</v>
      </c>
      <c r="H294">
        <v>0.11901726489163</v>
      </c>
      <c r="I294">
        <v>164</v>
      </c>
      <c r="L294">
        <v>2.7878512266814998E-2</v>
      </c>
      <c r="M294">
        <v>6.57115126032327E-2</v>
      </c>
      <c r="N294">
        <v>2003</v>
      </c>
      <c r="O294" t="s">
        <v>13</v>
      </c>
      <c r="P294" t="s">
        <v>85</v>
      </c>
      <c r="Q294" t="s">
        <v>24</v>
      </c>
      <c r="R294" t="s">
        <v>25</v>
      </c>
    </row>
    <row r="295" spans="1:18" x14ac:dyDescent="0.25">
      <c r="A295" t="s">
        <v>83</v>
      </c>
      <c r="B295" t="s">
        <v>84</v>
      </c>
      <c r="C295" t="s">
        <v>12</v>
      </c>
      <c r="D295">
        <v>1</v>
      </c>
      <c r="E295">
        <v>84.91</v>
      </c>
      <c r="F295">
        <v>9.6240218563285698E-2</v>
      </c>
      <c r="G295">
        <v>77</v>
      </c>
      <c r="H295">
        <v>0.26547639557460601</v>
      </c>
      <c r="I295">
        <v>59</v>
      </c>
      <c r="L295">
        <v>2.3762825273375199E-2</v>
      </c>
      <c r="M295">
        <v>1.43989134053066E-2</v>
      </c>
      <c r="N295">
        <v>2003</v>
      </c>
      <c r="O295" t="s">
        <v>13</v>
      </c>
      <c r="P295" t="s">
        <v>85</v>
      </c>
      <c r="Q295" t="s">
        <v>24</v>
      </c>
      <c r="R295" t="s">
        <v>25</v>
      </c>
    </row>
    <row r="296" spans="1:18" x14ac:dyDescent="0.25">
      <c r="A296" t="s">
        <v>83</v>
      </c>
      <c r="B296" t="s">
        <v>86</v>
      </c>
      <c r="C296" t="s">
        <v>12</v>
      </c>
      <c r="D296">
        <v>2</v>
      </c>
      <c r="E296">
        <v>19</v>
      </c>
      <c r="F296">
        <v>0</v>
      </c>
      <c r="G296">
        <v>98</v>
      </c>
      <c r="H296">
        <v>3.8117798940880102E-3</v>
      </c>
      <c r="I296">
        <v>88</v>
      </c>
      <c r="L296">
        <v>6.6337980227991103E-2</v>
      </c>
      <c r="M296">
        <v>0</v>
      </c>
      <c r="N296">
        <v>2010</v>
      </c>
      <c r="O296" t="s">
        <v>13</v>
      </c>
      <c r="P296" t="s">
        <v>85</v>
      </c>
      <c r="Q296" t="s">
        <v>24</v>
      </c>
      <c r="R296" t="s">
        <v>25</v>
      </c>
    </row>
    <row r="297" spans="1:18" x14ac:dyDescent="0.25">
      <c r="A297" t="s">
        <v>83</v>
      </c>
      <c r="B297" t="s">
        <v>86</v>
      </c>
      <c r="C297" t="s">
        <v>12</v>
      </c>
      <c r="D297">
        <v>2</v>
      </c>
      <c r="E297">
        <v>25</v>
      </c>
      <c r="F297">
        <v>5.1591814233649903E-3</v>
      </c>
      <c r="G297">
        <v>433</v>
      </c>
      <c r="H297">
        <v>4.1068599206137398E-3</v>
      </c>
      <c r="I297">
        <v>410</v>
      </c>
      <c r="L297">
        <v>3.0317481647195801E-2</v>
      </c>
      <c r="M297">
        <v>0.32212879789141402</v>
      </c>
      <c r="N297">
        <v>2010</v>
      </c>
      <c r="O297" t="s">
        <v>13</v>
      </c>
      <c r="P297" t="s">
        <v>85</v>
      </c>
      <c r="Q297" t="s">
        <v>24</v>
      </c>
      <c r="R297" t="s">
        <v>25</v>
      </c>
    </row>
    <row r="298" spans="1:18" x14ac:dyDescent="0.25">
      <c r="A298" t="s">
        <v>83</v>
      </c>
      <c r="B298" t="s">
        <v>86</v>
      </c>
      <c r="C298" t="s">
        <v>12</v>
      </c>
      <c r="D298">
        <v>2</v>
      </c>
      <c r="E298">
        <v>35</v>
      </c>
      <c r="F298">
        <v>3.0745049930249999E-2</v>
      </c>
      <c r="G298">
        <v>473</v>
      </c>
      <c r="H298">
        <v>1.76316043664714E-2</v>
      </c>
      <c r="I298">
        <v>442</v>
      </c>
      <c r="L298">
        <v>1.6799684941982598E-2</v>
      </c>
      <c r="M298">
        <v>0.12794871522760001</v>
      </c>
      <c r="N298">
        <v>2010</v>
      </c>
      <c r="O298" t="s">
        <v>13</v>
      </c>
      <c r="P298" t="s">
        <v>85</v>
      </c>
      <c r="Q298" t="s">
        <v>24</v>
      </c>
      <c r="R298" t="s">
        <v>25</v>
      </c>
    </row>
    <row r="299" spans="1:18" x14ac:dyDescent="0.25">
      <c r="A299" t="s">
        <v>83</v>
      </c>
      <c r="B299" t="s">
        <v>86</v>
      </c>
      <c r="C299" t="s">
        <v>12</v>
      </c>
      <c r="D299">
        <v>2</v>
      </c>
      <c r="E299">
        <v>45</v>
      </c>
      <c r="F299">
        <v>5.8511797289173502E-2</v>
      </c>
      <c r="G299">
        <v>559</v>
      </c>
      <c r="H299">
        <v>4.0165098893303802E-2</v>
      </c>
      <c r="I299">
        <v>505</v>
      </c>
      <c r="L299">
        <v>1.04671485229748E-2</v>
      </c>
      <c r="M299">
        <v>4.9579161789271603E-2</v>
      </c>
      <c r="N299">
        <v>2010</v>
      </c>
      <c r="O299" t="s">
        <v>13</v>
      </c>
      <c r="P299" t="s">
        <v>85</v>
      </c>
      <c r="Q299" t="s">
        <v>24</v>
      </c>
      <c r="R299" t="s">
        <v>25</v>
      </c>
    </row>
    <row r="300" spans="1:18" x14ac:dyDescent="0.25">
      <c r="A300" t="s">
        <v>83</v>
      </c>
      <c r="B300" t="s">
        <v>86</v>
      </c>
      <c r="C300" t="s">
        <v>12</v>
      </c>
      <c r="D300">
        <v>2</v>
      </c>
      <c r="E300">
        <v>55</v>
      </c>
      <c r="F300">
        <v>0.12689813389936599</v>
      </c>
      <c r="G300">
        <v>468</v>
      </c>
      <c r="H300">
        <v>6.5507726646581693E-2</v>
      </c>
      <c r="I300">
        <v>388</v>
      </c>
      <c r="L300">
        <v>1.4465000654472201E-2</v>
      </c>
      <c r="M300">
        <v>6.8504669979328206E-2</v>
      </c>
      <c r="N300">
        <v>2010</v>
      </c>
      <c r="O300" t="s">
        <v>13</v>
      </c>
      <c r="P300" t="s">
        <v>85</v>
      </c>
      <c r="Q300" t="s">
        <v>24</v>
      </c>
      <c r="R300" t="s">
        <v>25</v>
      </c>
    </row>
    <row r="301" spans="1:18" x14ac:dyDescent="0.25">
      <c r="A301" t="s">
        <v>83</v>
      </c>
      <c r="B301" t="s">
        <v>86</v>
      </c>
      <c r="C301" t="s">
        <v>12</v>
      </c>
      <c r="D301">
        <v>2</v>
      </c>
      <c r="E301">
        <v>65</v>
      </c>
      <c r="F301">
        <v>0.17601854946658199</v>
      </c>
      <c r="G301">
        <v>387</v>
      </c>
      <c r="H301">
        <v>0.101284631678209</v>
      </c>
      <c r="I301">
        <v>302</v>
      </c>
      <c r="L301">
        <v>1.8568802760509099E-2</v>
      </c>
      <c r="M301">
        <v>6.3839274953594705E-2</v>
      </c>
      <c r="N301">
        <v>2010</v>
      </c>
      <c r="O301" t="s">
        <v>13</v>
      </c>
      <c r="P301" t="s">
        <v>85</v>
      </c>
      <c r="Q301" t="s">
        <v>24</v>
      </c>
      <c r="R301" t="s">
        <v>25</v>
      </c>
    </row>
    <row r="302" spans="1:18" x14ac:dyDescent="0.25">
      <c r="A302" t="s">
        <v>83</v>
      </c>
      <c r="B302" t="s">
        <v>86</v>
      </c>
      <c r="C302" t="s">
        <v>12</v>
      </c>
      <c r="D302">
        <v>2</v>
      </c>
      <c r="E302">
        <v>75</v>
      </c>
      <c r="F302">
        <v>0.127817861318654</v>
      </c>
      <c r="G302">
        <v>247</v>
      </c>
      <c r="H302">
        <v>0.137551862331946</v>
      </c>
      <c r="I302">
        <v>196</v>
      </c>
      <c r="L302">
        <v>2.6447443914674799E-2</v>
      </c>
      <c r="M302">
        <v>4.7091316575842999E-2</v>
      </c>
      <c r="N302">
        <v>2010</v>
      </c>
      <c r="O302" t="s">
        <v>13</v>
      </c>
      <c r="P302" t="s">
        <v>85</v>
      </c>
      <c r="Q302" t="s">
        <v>24</v>
      </c>
      <c r="R302" t="s">
        <v>25</v>
      </c>
    </row>
    <row r="303" spans="1:18" x14ac:dyDescent="0.25">
      <c r="A303" t="s">
        <v>83</v>
      </c>
      <c r="B303" t="s">
        <v>86</v>
      </c>
      <c r="C303" t="s">
        <v>12</v>
      </c>
      <c r="D303">
        <v>2</v>
      </c>
      <c r="E303">
        <v>84.91</v>
      </c>
      <c r="F303">
        <v>0.15701134244508599</v>
      </c>
      <c r="G303">
        <v>126</v>
      </c>
      <c r="H303">
        <v>9.0648891592064004E-2</v>
      </c>
      <c r="I303">
        <v>102</v>
      </c>
      <c r="L303">
        <v>3.10938553767348E-2</v>
      </c>
      <c r="M303">
        <v>0.115987857014985</v>
      </c>
      <c r="N303">
        <v>2010</v>
      </c>
      <c r="O303" t="s">
        <v>13</v>
      </c>
      <c r="P303" t="s">
        <v>85</v>
      </c>
      <c r="Q303" t="s">
        <v>24</v>
      </c>
      <c r="R303" t="s">
        <v>25</v>
      </c>
    </row>
    <row r="304" spans="1:18" x14ac:dyDescent="0.25">
      <c r="A304" t="s">
        <v>83</v>
      </c>
      <c r="B304" t="s">
        <v>86</v>
      </c>
      <c r="C304" t="s">
        <v>12</v>
      </c>
      <c r="D304">
        <v>1</v>
      </c>
      <c r="E304">
        <v>19</v>
      </c>
      <c r="F304">
        <v>0</v>
      </c>
      <c r="G304">
        <v>64</v>
      </c>
      <c r="H304">
        <v>3.6753897261246901E-3</v>
      </c>
      <c r="I304">
        <v>61</v>
      </c>
      <c r="L304">
        <v>0.10426210266196</v>
      </c>
      <c r="M304">
        <v>0</v>
      </c>
      <c r="N304">
        <v>2010</v>
      </c>
      <c r="O304" t="s">
        <v>13</v>
      </c>
      <c r="P304" t="s">
        <v>85</v>
      </c>
      <c r="Q304" t="s">
        <v>24</v>
      </c>
      <c r="R304" t="s">
        <v>25</v>
      </c>
    </row>
    <row r="305" spans="1:18" x14ac:dyDescent="0.25">
      <c r="A305" t="s">
        <v>83</v>
      </c>
      <c r="B305" t="s">
        <v>86</v>
      </c>
      <c r="C305" t="s">
        <v>12</v>
      </c>
      <c r="D305">
        <v>1</v>
      </c>
      <c r="E305">
        <v>25</v>
      </c>
      <c r="F305">
        <v>0</v>
      </c>
      <c r="G305">
        <v>275</v>
      </c>
      <c r="H305">
        <v>5.7756681928077301E-3</v>
      </c>
      <c r="I305">
        <v>262</v>
      </c>
      <c r="L305">
        <v>8.8653017853663696E-2</v>
      </c>
      <c r="M305">
        <v>0</v>
      </c>
      <c r="N305">
        <v>2010</v>
      </c>
      <c r="O305" t="s">
        <v>13</v>
      </c>
      <c r="P305" t="s">
        <v>85</v>
      </c>
      <c r="Q305" t="s">
        <v>24</v>
      </c>
      <c r="R305" t="s">
        <v>25</v>
      </c>
    </row>
    <row r="306" spans="1:18" x14ac:dyDescent="0.25">
      <c r="A306" t="s">
        <v>83</v>
      </c>
      <c r="B306" t="s">
        <v>86</v>
      </c>
      <c r="C306" t="s">
        <v>12</v>
      </c>
      <c r="D306">
        <v>1</v>
      </c>
      <c r="E306">
        <v>35</v>
      </c>
      <c r="F306">
        <v>1.7697710418370299E-2</v>
      </c>
      <c r="G306">
        <v>321</v>
      </c>
      <c r="H306">
        <v>1.6913429420709201E-2</v>
      </c>
      <c r="I306">
        <v>303</v>
      </c>
      <c r="L306">
        <v>2.0634621785162101E-2</v>
      </c>
      <c r="M306">
        <v>0.10481099342224801</v>
      </c>
      <c r="N306">
        <v>2010</v>
      </c>
      <c r="O306" t="s">
        <v>13</v>
      </c>
      <c r="P306" t="s">
        <v>85</v>
      </c>
      <c r="Q306" t="s">
        <v>24</v>
      </c>
      <c r="R306" t="s">
        <v>25</v>
      </c>
    </row>
    <row r="307" spans="1:18" x14ac:dyDescent="0.25">
      <c r="A307" t="s">
        <v>83</v>
      </c>
      <c r="B307" t="s">
        <v>86</v>
      </c>
      <c r="C307" t="s">
        <v>12</v>
      </c>
      <c r="D307">
        <v>1</v>
      </c>
      <c r="E307">
        <v>45</v>
      </c>
      <c r="F307">
        <v>1.3735524141452401E-2</v>
      </c>
      <c r="G307">
        <v>357</v>
      </c>
      <c r="H307">
        <v>7.8914230796025497E-2</v>
      </c>
      <c r="I307">
        <v>333</v>
      </c>
      <c r="L307">
        <v>1.52811998638761E-2</v>
      </c>
      <c r="M307">
        <v>1.5570379121390599E-2</v>
      </c>
      <c r="N307">
        <v>2010</v>
      </c>
      <c r="O307" t="s">
        <v>13</v>
      </c>
      <c r="P307" t="s">
        <v>85</v>
      </c>
      <c r="Q307" t="s">
        <v>24</v>
      </c>
      <c r="R307" t="s">
        <v>25</v>
      </c>
    </row>
    <row r="308" spans="1:18" x14ac:dyDescent="0.25">
      <c r="A308" t="s">
        <v>83</v>
      </c>
      <c r="B308" t="s">
        <v>86</v>
      </c>
      <c r="C308" t="s">
        <v>12</v>
      </c>
      <c r="D308">
        <v>1</v>
      </c>
      <c r="E308">
        <v>55</v>
      </c>
      <c r="F308">
        <v>7.2374929402604593E-2</v>
      </c>
      <c r="G308">
        <v>324</v>
      </c>
      <c r="H308">
        <v>7.6976596404432399E-2</v>
      </c>
      <c r="I308">
        <v>284</v>
      </c>
      <c r="L308">
        <v>2.07800255362167E-2</v>
      </c>
      <c r="M308">
        <v>5.3429069025117099E-2</v>
      </c>
      <c r="N308">
        <v>2010</v>
      </c>
      <c r="O308" t="s">
        <v>13</v>
      </c>
      <c r="P308" t="s">
        <v>85</v>
      </c>
      <c r="Q308" t="s">
        <v>24</v>
      </c>
      <c r="R308" t="s">
        <v>25</v>
      </c>
    </row>
    <row r="309" spans="1:18" x14ac:dyDescent="0.25">
      <c r="A309" t="s">
        <v>83</v>
      </c>
      <c r="B309" t="s">
        <v>86</v>
      </c>
      <c r="C309" t="s">
        <v>12</v>
      </c>
      <c r="D309">
        <v>1</v>
      </c>
      <c r="E309">
        <v>65</v>
      </c>
      <c r="F309">
        <v>0.184474497196461</v>
      </c>
      <c r="G309">
        <v>263</v>
      </c>
      <c r="H309">
        <v>0.12150533594087801</v>
      </c>
      <c r="I309">
        <v>202</v>
      </c>
      <c r="L309">
        <v>1.0596530826421501E-2</v>
      </c>
      <c r="M309">
        <v>2.9365469708007901E-2</v>
      </c>
      <c r="N309">
        <v>2010</v>
      </c>
      <c r="O309" t="s">
        <v>13</v>
      </c>
      <c r="P309" t="s">
        <v>85</v>
      </c>
      <c r="Q309" t="s">
        <v>24</v>
      </c>
      <c r="R309" t="s">
        <v>25</v>
      </c>
    </row>
    <row r="310" spans="1:18" x14ac:dyDescent="0.25">
      <c r="A310" t="s">
        <v>83</v>
      </c>
      <c r="B310" t="s">
        <v>86</v>
      </c>
      <c r="C310" t="s">
        <v>12</v>
      </c>
      <c r="D310">
        <v>1</v>
      </c>
      <c r="E310">
        <v>75</v>
      </c>
      <c r="F310">
        <v>0.179532442099294</v>
      </c>
      <c r="G310">
        <v>179</v>
      </c>
      <c r="H310">
        <v>0.108924856296787</v>
      </c>
      <c r="I310">
        <v>134</v>
      </c>
      <c r="L310">
        <v>2.14085168624015E-2</v>
      </c>
      <c r="M310">
        <v>6.4620707460691998E-2</v>
      </c>
      <c r="N310">
        <v>2010</v>
      </c>
      <c r="O310" t="s">
        <v>13</v>
      </c>
      <c r="P310" t="s">
        <v>85</v>
      </c>
      <c r="Q310" t="s">
        <v>24</v>
      </c>
      <c r="R310" t="s">
        <v>25</v>
      </c>
    </row>
    <row r="311" spans="1:18" x14ac:dyDescent="0.25">
      <c r="A311" t="s">
        <v>83</v>
      </c>
      <c r="B311" t="s">
        <v>86</v>
      </c>
      <c r="C311" t="s">
        <v>12</v>
      </c>
      <c r="D311">
        <v>1</v>
      </c>
      <c r="E311">
        <v>84.91</v>
      </c>
      <c r="F311">
        <v>5.4408896056087501E-2</v>
      </c>
      <c r="G311">
        <v>58</v>
      </c>
      <c r="H311">
        <v>8.6028743482310197E-2</v>
      </c>
      <c r="I311">
        <v>51</v>
      </c>
      <c r="L311">
        <v>6.3804851606993701E-2</v>
      </c>
      <c r="M311">
        <v>0.15224372449538801</v>
      </c>
      <c r="N311">
        <v>2010</v>
      </c>
      <c r="O311" t="s">
        <v>13</v>
      </c>
      <c r="P311" t="s">
        <v>85</v>
      </c>
      <c r="Q311" t="s">
        <v>24</v>
      </c>
      <c r="R311" t="s">
        <v>25</v>
      </c>
    </row>
    <row r="312" spans="1:18" x14ac:dyDescent="0.25">
      <c r="A312" t="s">
        <v>83</v>
      </c>
      <c r="B312" t="s">
        <v>87</v>
      </c>
      <c r="C312" t="s">
        <v>12</v>
      </c>
      <c r="D312">
        <v>2</v>
      </c>
      <c r="E312">
        <v>19</v>
      </c>
      <c r="F312">
        <v>2.6914789739875801E-2</v>
      </c>
      <c r="G312">
        <v>87</v>
      </c>
      <c r="H312">
        <v>3.62937305983491E-3</v>
      </c>
      <c r="I312">
        <v>73</v>
      </c>
      <c r="L312">
        <v>6.2493030979202504E-3</v>
      </c>
      <c r="M312">
        <v>0.27634103008744598</v>
      </c>
      <c r="N312">
        <v>2016</v>
      </c>
      <c r="O312" t="s">
        <v>13</v>
      </c>
      <c r="P312" t="s">
        <v>85</v>
      </c>
      <c r="Q312" t="s">
        <v>24</v>
      </c>
      <c r="R312" t="s">
        <v>25</v>
      </c>
    </row>
    <row r="313" spans="1:18" x14ac:dyDescent="0.25">
      <c r="A313" t="s">
        <v>83</v>
      </c>
      <c r="B313" t="s">
        <v>87</v>
      </c>
      <c r="C313" t="s">
        <v>12</v>
      </c>
      <c r="D313">
        <v>2</v>
      </c>
      <c r="E313">
        <v>25</v>
      </c>
      <c r="F313">
        <v>4.1155973306601E-2</v>
      </c>
      <c r="G313">
        <v>543</v>
      </c>
      <c r="H313">
        <v>6.6167299187970003E-3</v>
      </c>
      <c r="I313">
        <v>408</v>
      </c>
      <c r="L313">
        <v>8.7486407067709597E-3</v>
      </c>
      <c r="M313">
        <v>0.27839619053417303</v>
      </c>
      <c r="N313">
        <v>2016</v>
      </c>
      <c r="O313" t="s">
        <v>13</v>
      </c>
      <c r="P313" t="s">
        <v>85</v>
      </c>
      <c r="Q313" t="s">
        <v>24</v>
      </c>
      <c r="R313" t="s">
        <v>25</v>
      </c>
    </row>
    <row r="314" spans="1:18" x14ac:dyDescent="0.25">
      <c r="A314" t="s">
        <v>83</v>
      </c>
      <c r="B314" t="s">
        <v>87</v>
      </c>
      <c r="C314" t="s">
        <v>12</v>
      </c>
      <c r="D314">
        <v>2</v>
      </c>
      <c r="E314">
        <v>35</v>
      </c>
      <c r="F314">
        <v>6.0072784692917103E-2</v>
      </c>
      <c r="G314">
        <v>564</v>
      </c>
      <c r="H314">
        <v>3.65520268363103E-2</v>
      </c>
      <c r="I314">
        <v>446</v>
      </c>
      <c r="L314">
        <v>8.4999504527653504E-3</v>
      </c>
      <c r="M314">
        <v>4.59874951909027E-2</v>
      </c>
      <c r="N314">
        <v>2016</v>
      </c>
      <c r="O314" t="s">
        <v>13</v>
      </c>
      <c r="P314" t="s">
        <v>85</v>
      </c>
      <c r="Q314" t="s">
        <v>24</v>
      </c>
      <c r="R314" t="s">
        <v>25</v>
      </c>
    </row>
    <row r="315" spans="1:18" x14ac:dyDescent="0.25">
      <c r="A315" t="s">
        <v>83</v>
      </c>
      <c r="B315" t="s">
        <v>87</v>
      </c>
      <c r="C315" t="s">
        <v>12</v>
      </c>
      <c r="D315">
        <v>2</v>
      </c>
      <c r="E315">
        <v>45</v>
      </c>
      <c r="F315">
        <v>8.4198088425895004E-2</v>
      </c>
      <c r="G315">
        <v>604</v>
      </c>
      <c r="H315">
        <v>4.1300283746240701E-2</v>
      </c>
      <c r="I315">
        <v>470</v>
      </c>
      <c r="L315">
        <v>1.86912562508064E-2</v>
      </c>
      <c r="M315">
        <v>0.110800700932147</v>
      </c>
      <c r="N315">
        <v>2016</v>
      </c>
      <c r="O315" t="s">
        <v>13</v>
      </c>
      <c r="P315" t="s">
        <v>85</v>
      </c>
      <c r="Q315" t="s">
        <v>24</v>
      </c>
      <c r="R315" t="s">
        <v>25</v>
      </c>
    </row>
    <row r="316" spans="1:18" x14ac:dyDescent="0.25">
      <c r="A316" t="s">
        <v>83</v>
      </c>
      <c r="B316" t="s">
        <v>87</v>
      </c>
      <c r="C316" t="s">
        <v>12</v>
      </c>
      <c r="D316">
        <v>2</v>
      </c>
      <c r="E316">
        <v>55</v>
      </c>
      <c r="F316">
        <v>0.13816203518544301</v>
      </c>
      <c r="G316">
        <v>704</v>
      </c>
      <c r="H316">
        <v>6.5145632954870594E-2</v>
      </c>
      <c r="I316">
        <v>513</v>
      </c>
      <c r="L316">
        <v>1.6748250132090799E-2</v>
      </c>
      <c r="M316">
        <v>7.9974041010168501E-2</v>
      </c>
      <c r="N316">
        <v>2016</v>
      </c>
      <c r="O316" t="s">
        <v>13</v>
      </c>
      <c r="P316" t="s">
        <v>85</v>
      </c>
      <c r="Q316" t="s">
        <v>24</v>
      </c>
      <c r="R316" t="s">
        <v>25</v>
      </c>
    </row>
    <row r="317" spans="1:18" x14ac:dyDescent="0.25">
      <c r="A317" t="s">
        <v>83</v>
      </c>
      <c r="B317" t="s">
        <v>87</v>
      </c>
      <c r="C317" t="s">
        <v>12</v>
      </c>
      <c r="D317">
        <v>2</v>
      </c>
      <c r="E317">
        <v>65</v>
      </c>
      <c r="F317">
        <v>0.25828760966189301</v>
      </c>
      <c r="G317">
        <v>623</v>
      </c>
      <c r="H317">
        <v>0.113304733383365</v>
      </c>
      <c r="I317">
        <v>394</v>
      </c>
      <c r="L317">
        <v>1.4178907990446901E-2</v>
      </c>
      <c r="M317">
        <v>5.2729601414278203E-2</v>
      </c>
      <c r="N317">
        <v>2016</v>
      </c>
      <c r="O317" t="s">
        <v>13</v>
      </c>
      <c r="P317" t="s">
        <v>85</v>
      </c>
      <c r="Q317" t="s">
        <v>24</v>
      </c>
      <c r="R317" t="s">
        <v>25</v>
      </c>
    </row>
    <row r="318" spans="1:18" x14ac:dyDescent="0.25">
      <c r="A318" t="s">
        <v>83</v>
      </c>
      <c r="B318" t="s">
        <v>87</v>
      </c>
      <c r="C318" t="s">
        <v>12</v>
      </c>
      <c r="D318">
        <v>2</v>
      </c>
      <c r="E318">
        <v>75</v>
      </c>
      <c r="F318">
        <v>0.23865778688530501</v>
      </c>
      <c r="G318">
        <v>452</v>
      </c>
      <c r="H318">
        <v>0.124219036862877</v>
      </c>
      <c r="I318">
        <v>287</v>
      </c>
      <c r="L318">
        <v>1.6447604574006101E-2</v>
      </c>
      <c r="M318">
        <v>4.9762510282652203E-2</v>
      </c>
      <c r="N318">
        <v>2016</v>
      </c>
      <c r="O318" t="s">
        <v>13</v>
      </c>
      <c r="P318" t="s">
        <v>85</v>
      </c>
      <c r="Q318" t="s">
        <v>24</v>
      </c>
      <c r="R318" t="s">
        <v>25</v>
      </c>
    </row>
    <row r="319" spans="1:18" x14ac:dyDescent="0.25">
      <c r="A319" t="s">
        <v>83</v>
      </c>
      <c r="B319" t="s">
        <v>87</v>
      </c>
      <c r="C319" t="s">
        <v>12</v>
      </c>
      <c r="D319">
        <v>2</v>
      </c>
      <c r="E319">
        <v>84.91</v>
      </c>
      <c r="F319">
        <v>0.20452320061813101</v>
      </c>
      <c r="G319">
        <v>219</v>
      </c>
      <c r="H319">
        <v>0.19132034609915999</v>
      </c>
      <c r="I319">
        <v>133</v>
      </c>
      <c r="L319">
        <v>2.5271389173031799E-2</v>
      </c>
      <c r="M319">
        <v>3.9857988489297898E-2</v>
      </c>
      <c r="N319">
        <v>2016</v>
      </c>
      <c r="O319" t="s">
        <v>13</v>
      </c>
      <c r="P319" t="s">
        <v>85</v>
      </c>
      <c r="Q319" t="s">
        <v>24</v>
      </c>
      <c r="R319" t="s">
        <v>25</v>
      </c>
    </row>
    <row r="320" spans="1:18" x14ac:dyDescent="0.25">
      <c r="A320" t="s">
        <v>83</v>
      </c>
      <c r="B320" t="s">
        <v>87</v>
      </c>
      <c r="C320" t="s">
        <v>12</v>
      </c>
      <c r="D320">
        <v>1</v>
      </c>
      <c r="E320">
        <v>19</v>
      </c>
      <c r="F320">
        <v>2.07186479597362E-2</v>
      </c>
      <c r="G320">
        <v>74</v>
      </c>
      <c r="H320">
        <v>4.31802569282812E-3</v>
      </c>
      <c r="I320">
        <v>54</v>
      </c>
      <c r="L320">
        <v>1.0831021823454299E-2</v>
      </c>
      <c r="M320">
        <v>0.30410072787644798</v>
      </c>
      <c r="N320">
        <v>2016</v>
      </c>
      <c r="O320" t="s">
        <v>13</v>
      </c>
      <c r="P320" t="s">
        <v>85</v>
      </c>
      <c r="Q320" t="s">
        <v>24</v>
      </c>
      <c r="R320" t="s">
        <v>25</v>
      </c>
    </row>
    <row r="321" spans="1:18" x14ac:dyDescent="0.25">
      <c r="A321" t="s">
        <v>83</v>
      </c>
      <c r="B321" t="s">
        <v>87</v>
      </c>
      <c r="C321" t="s">
        <v>12</v>
      </c>
      <c r="D321">
        <v>1</v>
      </c>
      <c r="E321">
        <v>25</v>
      </c>
      <c r="F321">
        <v>6.5455066517327203E-3</v>
      </c>
      <c r="G321">
        <v>354</v>
      </c>
      <c r="H321">
        <v>6.4153639795584E-3</v>
      </c>
      <c r="I321">
        <v>284</v>
      </c>
      <c r="L321">
        <v>4.46709922319641E-2</v>
      </c>
      <c r="M321">
        <v>0.35347977401053798</v>
      </c>
      <c r="N321">
        <v>2016</v>
      </c>
      <c r="O321" t="s">
        <v>13</v>
      </c>
      <c r="P321" t="s">
        <v>85</v>
      </c>
      <c r="Q321" t="s">
        <v>24</v>
      </c>
      <c r="R321" t="s">
        <v>25</v>
      </c>
    </row>
    <row r="322" spans="1:18" x14ac:dyDescent="0.25">
      <c r="A322" t="s">
        <v>83</v>
      </c>
      <c r="B322" t="s">
        <v>87</v>
      </c>
      <c r="C322" t="s">
        <v>12</v>
      </c>
      <c r="D322">
        <v>1</v>
      </c>
      <c r="E322">
        <v>35</v>
      </c>
      <c r="F322">
        <v>2.6350078516409699E-2</v>
      </c>
      <c r="G322">
        <v>310</v>
      </c>
      <c r="H322">
        <v>2.5607921497626401E-2</v>
      </c>
      <c r="I322">
        <v>248</v>
      </c>
      <c r="L322">
        <v>2.53208344716228E-2</v>
      </c>
      <c r="M322">
        <v>0.107779312002938</v>
      </c>
      <c r="N322">
        <v>2016</v>
      </c>
      <c r="O322" t="s">
        <v>13</v>
      </c>
      <c r="P322" t="s">
        <v>85</v>
      </c>
      <c r="Q322" t="s">
        <v>24</v>
      </c>
      <c r="R322" t="s">
        <v>25</v>
      </c>
    </row>
    <row r="323" spans="1:18" x14ac:dyDescent="0.25">
      <c r="A323" t="s">
        <v>83</v>
      </c>
      <c r="B323" t="s">
        <v>87</v>
      </c>
      <c r="C323" t="s">
        <v>12</v>
      </c>
      <c r="D323">
        <v>1</v>
      </c>
      <c r="E323">
        <v>45</v>
      </c>
      <c r="F323">
        <v>3.77855048660906E-2</v>
      </c>
      <c r="G323">
        <v>339</v>
      </c>
      <c r="H323">
        <v>3.6677124833852798E-2</v>
      </c>
      <c r="I323">
        <v>262</v>
      </c>
      <c r="L323">
        <v>3.0099797879836E-2</v>
      </c>
      <c r="M323">
        <v>0.110308165405006</v>
      </c>
      <c r="N323">
        <v>2016</v>
      </c>
      <c r="O323" t="s">
        <v>13</v>
      </c>
      <c r="P323" t="s">
        <v>85</v>
      </c>
      <c r="Q323" t="s">
        <v>24</v>
      </c>
      <c r="R323" t="s">
        <v>25</v>
      </c>
    </row>
    <row r="324" spans="1:18" x14ac:dyDescent="0.25">
      <c r="A324" t="s">
        <v>83</v>
      </c>
      <c r="B324" t="s">
        <v>87</v>
      </c>
      <c r="C324" t="s">
        <v>12</v>
      </c>
      <c r="D324">
        <v>1</v>
      </c>
      <c r="E324">
        <v>55</v>
      </c>
      <c r="F324">
        <v>0.10352113976399099</v>
      </c>
      <c r="G324">
        <v>385</v>
      </c>
      <c r="H324">
        <v>0.108895443118924</v>
      </c>
      <c r="I324">
        <v>287</v>
      </c>
      <c r="L324">
        <v>1.9520244279084099E-2</v>
      </c>
      <c r="M324">
        <v>4.0588484007720201E-2</v>
      </c>
      <c r="N324">
        <v>2016</v>
      </c>
      <c r="O324" t="s">
        <v>13</v>
      </c>
      <c r="P324" t="s">
        <v>85</v>
      </c>
      <c r="Q324" t="s">
        <v>24</v>
      </c>
      <c r="R324" t="s">
        <v>25</v>
      </c>
    </row>
    <row r="325" spans="1:18" x14ac:dyDescent="0.25">
      <c r="A325" t="s">
        <v>83</v>
      </c>
      <c r="B325" t="s">
        <v>87</v>
      </c>
      <c r="C325" t="s">
        <v>12</v>
      </c>
      <c r="D325">
        <v>1</v>
      </c>
      <c r="E325">
        <v>65</v>
      </c>
      <c r="F325">
        <v>0.163182306746608</v>
      </c>
      <c r="G325">
        <v>375</v>
      </c>
      <c r="H325">
        <v>0.125545815519855</v>
      </c>
      <c r="I325">
        <v>262</v>
      </c>
      <c r="L325">
        <v>2.1211511445626E-2</v>
      </c>
      <c r="M325">
        <v>4.8800031513954997E-2</v>
      </c>
      <c r="N325">
        <v>2016</v>
      </c>
      <c r="O325" t="s">
        <v>13</v>
      </c>
      <c r="P325" t="s">
        <v>85</v>
      </c>
      <c r="Q325" t="s">
        <v>24</v>
      </c>
      <c r="R325" t="s">
        <v>25</v>
      </c>
    </row>
    <row r="326" spans="1:18" x14ac:dyDescent="0.25">
      <c r="A326" t="s">
        <v>83</v>
      </c>
      <c r="B326" t="s">
        <v>87</v>
      </c>
      <c r="C326" t="s">
        <v>12</v>
      </c>
      <c r="D326">
        <v>1</v>
      </c>
      <c r="E326">
        <v>75</v>
      </c>
      <c r="F326">
        <v>0.23509653564762301</v>
      </c>
      <c r="G326">
        <v>240</v>
      </c>
      <c r="H326">
        <v>0.103987365393482</v>
      </c>
      <c r="I326">
        <v>163</v>
      </c>
      <c r="L326">
        <v>1.85372064796612E-2</v>
      </c>
      <c r="M326">
        <v>7.0644778198310207E-2</v>
      </c>
      <c r="N326">
        <v>2016</v>
      </c>
      <c r="O326" t="s">
        <v>13</v>
      </c>
      <c r="P326" t="s">
        <v>85</v>
      </c>
      <c r="Q326" t="s">
        <v>24</v>
      </c>
      <c r="R326" t="s">
        <v>25</v>
      </c>
    </row>
    <row r="327" spans="1:18" x14ac:dyDescent="0.25">
      <c r="A327" t="s">
        <v>83</v>
      </c>
      <c r="B327" t="s">
        <v>87</v>
      </c>
      <c r="C327" t="s">
        <v>12</v>
      </c>
      <c r="D327">
        <v>1</v>
      </c>
      <c r="E327">
        <v>84.91</v>
      </c>
      <c r="F327">
        <v>0.161446435121994</v>
      </c>
      <c r="G327">
        <v>122</v>
      </c>
      <c r="H327">
        <v>6.6310102215553599E-2</v>
      </c>
      <c r="I327">
        <v>75</v>
      </c>
      <c r="L327">
        <v>2.39917487591336E-2</v>
      </c>
      <c r="M327">
        <v>0.120260987246114</v>
      </c>
      <c r="N327">
        <v>2016</v>
      </c>
      <c r="O327" t="s">
        <v>13</v>
      </c>
      <c r="P327" t="s">
        <v>85</v>
      </c>
      <c r="Q327" t="s">
        <v>24</v>
      </c>
      <c r="R327" t="s">
        <v>25</v>
      </c>
    </row>
    <row r="328" spans="1:18" x14ac:dyDescent="0.25">
      <c r="A328" t="s">
        <v>88</v>
      </c>
      <c r="B328" t="s">
        <v>89</v>
      </c>
      <c r="C328" t="s">
        <v>12</v>
      </c>
      <c r="D328">
        <v>2</v>
      </c>
      <c r="E328">
        <v>19</v>
      </c>
      <c r="F328">
        <v>0</v>
      </c>
      <c r="G328">
        <v>26</v>
      </c>
      <c r="H328">
        <v>0.159183497184926</v>
      </c>
      <c r="I328">
        <v>18</v>
      </c>
      <c r="L328">
        <v>1.28477623410657E-2</v>
      </c>
      <c r="M328">
        <v>0</v>
      </c>
      <c r="N328">
        <v>2014</v>
      </c>
      <c r="O328" t="s">
        <v>13</v>
      </c>
      <c r="P328" t="s">
        <v>90</v>
      </c>
      <c r="Q328" t="s">
        <v>33</v>
      </c>
      <c r="R328" t="s">
        <v>34</v>
      </c>
    </row>
    <row r="329" spans="1:18" x14ac:dyDescent="0.25">
      <c r="A329" t="s">
        <v>88</v>
      </c>
      <c r="B329" t="s">
        <v>89</v>
      </c>
      <c r="C329" t="s">
        <v>12</v>
      </c>
      <c r="D329">
        <v>2</v>
      </c>
      <c r="E329">
        <v>25</v>
      </c>
      <c r="F329">
        <v>3.2608694396210301E-2</v>
      </c>
      <c r="G329">
        <v>115</v>
      </c>
      <c r="H329">
        <v>0.16806595487807</v>
      </c>
      <c r="I329">
        <v>88</v>
      </c>
      <c r="L329">
        <v>1.7438655652185799E-2</v>
      </c>
      <c r="M329">
        <v>1.2000968272909101E-2</v>
      </c>
      <c r="N329">
        <v>2014</v>
      </c>
      <c r="O329" t="s">
        <v>13</v>
      </c>
      <c r="P329" t="s">
        <v>90</v>
      </c>
      <c r="Q329" t="s">
        <v>33</v>
      </c>
      <c r="R329" t="s">
        <v>34</v>
      </c>
    </row>
    <row r="330" spans="1:18" x14ac:dyDescent="0.25">
      <c r="A330" t="s">
        <v>88</v>
      </c>
      <c r="B330" t="s">
        <v>89</v>
      </c>
      <c r="C330" t="s">
        <v>12</v>
      </c>
      <c r="D330">
        <v>2</v>
      </c>
      <c r="E330">
        <v>35</v>
      </c>
      <c r="F330">
        <v>1.1428571414403401E-2</v>
      </c>
      <c r="G330">
        <v>138</v>
      </c>
      <c r="H330">
        <v>0.24507841854326801</v>
      </c>
      <c r="I330">
        <v>93</v>
      </c>
      <c r="L330">
        <v>3.4636616635478901E-2</v>
      </c>
      <c r="M330">
        <v>1.00309366162723E-2</v>
      </c>
      <c r="N330">
        <v>2014</v>
      </c>
      <c r="O330" t="s">
        <v>13</v>
      </c>
      <c r="P330" t="s">
        <v>90</v>
      </c>
      <c r="Q330" t="s">
        <v>33</v>
      </c>
      <c r="R330" t="s">
        <v>34</v>
      </c>
    </row>
    <row r="331" spans="1:18" x14ac:dyDescent="0.25">
      <c r="A331" t="s">
        <v>88</v>
      </c>
      <c r="B331" t="s">
        <v>89</v>
      </c>
      <c r="C331" t="s">
        <v>12</v>
      </c>
      <c r="D331">
        <v>2</v>
      </c>
      <c r="E331">
        <v>45</v>
      </c>
      <c r="F331">
        <v>7.7999297444646107E-2</v>
      </c>
      <c r="G331">
        <v>163</v>
      </c>
      <c r="H331">
        <v>0.32972417237048901</v>
      </c>
      <c r="I331">
        <v>99</v>
      </c>
      <c r="L331">
        <v>2.4402853579633E-2</v>
      </c>
      <c r="M331">
        <v>9.5002231474994592E-3</v>
      </c>
      <c r="N331">
        <v>2014</v>
      </c>
      <c r="O331" t="s">
        <v>13</v>
      </c>
      <c r="P331" t="s">
        <v>90</v>
      </c>
      <c r="Q331" t="s">
        <v>33</v>
      </c>
      <c r="R331" t="s">
        <v>34</v>
      </c>
    </row>
    <row r="332" spans="1:18" x14ac:dyDescent="0.25">
      <c r="A332" t="s">
        <v>88</v>
      </c>
      <c r="B332" t="s">
        <v>89</v>
      </c>
      <c r="C332" t="s">
        <v>12</v>
      </c>
      <c r="D332">
        <v>2</v>
      </c>
      <c r="E332">
        <v>55</v>
      </c>
      <c r="F332">
        <v>0.189944129262304</v>
      </c>
      <c r="G332">
        <v>133</v>
      </c>
      <c r="H332">
        <v>0.36490996838644102</v>
      </c>
      <c r="I332">
        <v>68</v>
      </c>
      <c r="L332">
        <v>2.9656368840564301E-2</v>
      </c>
      <c r="M332">
        <v>1.53957590815495E-2</v>
      </c>
      <c r="N332">
        <v>2014</v>
      </c>
      <c r="O332" t="s">
        <v>13</v>
      </c>
      <c r="P332" t="s">
        <v>90</v>
      </c>
      <c r="Q332" t="s">
        <v>33</v>
      </c>
      <c r="R332" t="s">
        <v>34</v>
      </c>
    </row>
    <row r="333" spans="1:18" x14ac:dyDescent="0.25">
      <c r="A333" t="s">
        <v>88</v>
      </c>
      <c r="B333" t="s">
        <v>89</v>
      </c>
      <c r="C333" t="s">
        <v>12</v>
      </c>
      <c r="D333">
        <v>2</v>
      </c>
      <c r="E333">
        <v>62.5</v>
      </c>
      <c r="F333">
        <v>0.20143884459626499</v>
      </c>
      <c r="G333">
        <v>55</v>
      </c>
      <c r="H333">
        <v>0.280277718895864</v>
      </c>
      <c r="I333">
        <v>27</v>
      </c>
      <c r="L333">
        <v>5.7472077975052403E-2</v>
      </c>
      <c r="M333">
        <v>5.32442537607411E-2</v>
      </c>
      <c r="N333">
        <v>2014</v>
      </c>
      <c r="O333" t="s">
        <v>13</v>
      </c>
      <c r="P333" t="s">
        <v>90</v>
      </c>
      <c r="Q333" t="s">
        <v>33</v>
      </c>
      <c r="R333" t="s">
        <v>34</v>
      </c>
    </row>
    <row r="334" spans="1:18" x14ac:dyDescent="0.25">
      <c r="A334" t="s">
        <v>88</v>
      </c>
      <c r="B334" t="s">
        <v>89</v>
      </c>
      <c r="C334" t="s">
        <v>12</v>
      </c>
      <c r="D334">
        <v>1</v>
      </c>
      <c r="E334">
        <v>19</v>
      </c>
      <c r="F334">
        <v>0</v>
      </c>
      <c r="G334">
        <v>11</v>
      </c>
      <c r="H334">
        <v>7.9284582754700697E-2</v>
      </c>
      <c r="I334">
        <v>10</v>
      </c>
      <c r="L334">
        <v>7.1304878979787396E-3</v>
      </c>
      <c r="M334">
        <v>0</v>
      </c>
      <c r="N334">
        <v>2014</v>
      </c>
      <c r="O334" t="s">
        <v>13</v>
      </c>
      <c r="P334" t="s">
        <v>90</v>
      </c>
      <c r="Q334" t="s">
        <v>33</v>
      </c>
      <c r="R334" t="s">
        <v>34</v>
      </c>
    </row>
    <row r="335" spans="1:18" x14ac:dyDescent="0.25">
      <c r="A335" t="s">
        <v>88</v>
      </c>
      <c r="B335" t="s">
        <v>89</v>
      </c>
      <c r="C335" t="s">
        <v>12</v>
      </c>
      <c r="D335">
        <v>1</v>
      </c>
      <c r="E335">
        <v>25</v>
      </c>
      <c r="F335">
        <v>0</v>
      </c>
      <c r="G335">
        <v>78</v>
      </c>
      <c r="H335">
        <v>0.10941176174676499</v>
      </c>
      <c r="I335">
        <v>53</v>
      </c>
      <c r="L335">
        <v>3.0815108264820701E-2</v>
      </c>
      <c r="M335">
        <v>0</v>
      </c>
      <c r="N335">
        <v>2014</v>
      </c>
      <c r="O335" t="s">
        <v>13</v>
      </c>
      <c r="P335" t="s">
        <v>90</v>
      </c>
      <c r="Q335" t="s">
        <v>33</v>
      </c>
      <c r="R335" t="s">
        <v>34</v>
      </c>
    </row>
    <row r="336" spans="1:18" x14ac:dyDescent="0.25">
      <c r="A336" t="s">
        <v>88</v>
      </c>
      <c r="B336" t="s">
        <v>89</v>
      </c>
      <c r="C336" t="s">
        <v>12</v>
      </c>
      <c r="D336">
        <v>1</v>
      </c>
      <c r="E336">
        <v>35</v>
      </c>
      <c r="F336">
        <v>7.4626866099761803E-3</v>
      </c>
      <c r="G336">
        <v>108</v>
      </c>
      <c r="H336">
        <v>0.24089224642731299</v>
      </c>
      <c r="I336">
        <v>70</v>
      </c>
      <c r="L336">
        <v>3.3319666609502099E-2</v>
      </c>
      <c r="M336">
        <v>8.35516685530956E-3</v>
      </c>
      <c r="N336">
        <v>2014</v>
      </c>
      <c r="O336" t="s">
        <v>13</v>
      </c>
      <c r="P336" t="s">
        <v>90</v>
      </c>
      <c r="Q336" t="s">
        <v>33</v>
      </c>
      <c r="R336" t="s">
        <v>34</v>
      </c>
    </row>
    <row r="337" spans="1:18" x14ac:dyDescent="0.25">
      <c r="A337" t="s">
        <v>88</v>
      </c>
      <c r="B337" t="s">
        <v>89</v>
      </c>
      <c r="C337" t="s">
        <v>12</v>
      </c>
      <c r="D337">
        <v>1</v>
      </c>
      <c r="E337">
        <v>45</v>
      </c>
      <c r="F337">
        <v>7.08671439679774E-2</v>
      </c>
      <c r="G337">
        <v>172</v>
      </c>
      <c r="H337">
        <v>0.38758787395216099</v>
      </c>
      <c r="I337">
        <v>80</v>
      </c>
      <c r="L337">
        <v>1.7883618744905901E-2</v>
      </c>
      <c r="M337">
        <v>5.2310491547604299E-3</v>
      </c>
      <c r="N337">
        <v>2014</v>
      </c>
      <c r="O337" t="s">
        <v>13</v>
      </c>
      <c r="P337" t="s">
        <v>90</v>
      </c>
      <c r="Q337" t="s">
        <v>33</v>
      </c>
      <c r="R337" t="s">
        <v>34</v>
      </c>
    </row>
    <row r="338" spans="1:18" x14ac:dyDescent="0.25">
      <c r="A338" t="s">
        <v>88</v>
      </c>
      <c r="B338" t="s">
        <v>89</v>
      </c>
      <c r="C338" t="s">
        <v>12</v>
      </c>
      <c r="D338">
        <v>1</v>
      </c>
      <c r="E338">
        <v>55</v>
      </c>
      <c r="F338">
        <v>0.142268035212716</v>
      </c>
      <c r="G338">
        <v>183</v>
      </c>
      <c r="H338">
        <v>0.38117588071727698</v>
      </c>
      <c r="I338">
        <v>80</v>
      </c>
      <c r="L338">
        <v>2.8123721128972101E-2</v>
      </c>
      <c r="M338">
        <v>1.1281846629282199E-2</v>
      </c>
      <c r="N338">
        <v>2014</v>
      </c>
      <c r="O338" t="s">
        <v>13</v>
      </c>
      <c r="P338" t="s">
        <v>90</v>
      </c>
      <c r="Q338" t="s">
        <v>33</v>
      </c>
      <c r="R338" t="s">
        <v>34</v>
      </c>
    </row>
    <row r="339" spans="1:18" x14ac:dyDescent="0.25">
      <c r="A339" t="s">
        <v>88</v>
      </c>
      <c r="B339" t="s">
        <v>89</v>
      </c>
      <c r="C339" t="s">
        <v>12</v>
      </c>
      <c r="D339">
        <v>1</v>
      </c>
      <c r="E339">
        <v>62.5</v>
      </c>
      <c r="F339">
        <v>0.16750594698014201</v>
      </c>
      <c r="G339">
        <v>70</v>
      </c>
      <c r="H339">
        <v>0.41766064037683798</v>
      </c>
      <c r="I339">
        <v>29</v>
      </c>
      <c r="L339">
        <v>3.1951192922218499E-2</v>
      </c>
      <c r="M339">
        <v>1.12628476586556E-2</v>
      </c>
      <c r="N339">
        <v>2014</v>
      </c>
      <c r="O339" t="s">
        <v>13</v>
      </c>
      <c r="P339" t="s">
        <v>90</v>
      </c>
      <c r="Q339" t="s">
        <v>33</v>
      </c>
      <c r="R339" t="s">
        <v>34</v>
      </c>
    </row>
    <row r="340" spans="1:18" x14ac:dyDescent="0.25">
      <c r="A340" t="s">
        <v>88</v>
      </c>
      <c r="B340" t="s">
        <v>772</v>
      </c>
      <c r="C340" t="s">
        <v>12</v>
      </c>
      <c r="D340">
        <v>2</v>
      </c>
      <c r="E340">
        <v>19</v>
      </c>
      <c r="F340">
        <v>0</v>
      </c>
      <c r="G340">
        <v>7</v>
      </c>
      <c r="H340">
        <v>5.2959017609079499E-3</v>
      </c>
      <c r="I340">
        <v>2</v>
      </c>
      <c r="L340">
        <v>0.11382434098350799</v>
      </c>
      <c r="M340">
        <v>0</v>
      </c>
      <c r="N340">
        <v>2022</v>
      </c>
      <c r="O340" t="s">
        <v>13</v>
      </c>
      <c r="P340" t="s">
        <v>90</v>
      </c>
      <c r="Q340" t="s">
        <v>33</v>
      </c>
      <c r="R340" t="s">
        <v>34</v>
      </c>
    </row>
    <row r="341" spans="1:18" x14ac:dyDescent="0.25">
      <c r="A341" t="s">
        <v>88</v>
      </c>
      <c r="B341" t="s">
        <v>772</v>
      </c>
      <c r="C341" t="s">
        <v>12</v>
      </c>
      <c r="D341">
        <v>2</v>
      </c>
      <c r="E341">
        <v>25</v>
      </c>
      <c r="F341">
        <v>0</v>
      </c>
      <c r="G341">
        <v>51</v>
      </c>
      <c r="H341">
        <v>8.9297936157125099E-2</v>
      </c>
      <c r="I341">
        <v>23</v>
      </c>
      <c r="L341">
        <v>2.3115525288939801E-2</v>
      </c>
      <c r="M341">
        <v>0</v>
      </c>
      <c r="N341">
        <v>2022</v>
      </c>
      <c r="O341" t="s">
        <v>13</v>
      </c>
      <c r="P341" t="s">
        <v>90</v>
      </c>
      <c r="Q341" t="s">
        <v>33</v>
      </c>
      <c r="R341" t="s">
        <v>34</v>
      </c>
    </row>
    <row r="342" spans="1:18" x14ac:dyDescent="0.25">
      <c r="A342" t="s">
        <v>88</v>
      </c>
      <c r="B342" t="s">
        <v>772</v>
      </c>
      <c r="C342" t="s">
        <v>12</v>
      </c>
      <c r="D342">
        <v>2</v>
      </c>
      <c r="E342">
        <v>35</v>
      </c>
      <c r="F342">
        <v>2.7411098296130702E-2</v>
      </c>
      <c r="G342">
        <v>116</v>
      </c>
      <c r="H342">
        <v>0.15319742002767001</v>
      </c>
      <c r="I342">
        <v>51</v>
      </c>
      <c r="L342">
        <v>2.28538689379661E-2</v>
      </c>
      <c r="M342">
        <v>1.5600609651472501E-2</v>
      </c>
      <c r="N342">
        <v>2022</v>
      </c>
      <c r="O342" t="s">
        <v>13</v>
      </c>
      <c r="P342" t="s">
        <v>90</v>
      </c>
      <c r="Q342" t="s">
        <v>33</v>
      </c>
      <c r="R342" t="s">
        <v>34</v>
      </c>
    </row>
    <row r="343" spans="1:18" x14ac:dyDescent="0.25">
      <c r="A343" t="s">
        <v>88</v>
      </c>
      <c r="B343" t="s">
        <v>772</v>
      </c>
      <c r="C343" t="s">
        <v>12</v>
      </c>
      <c r="D343">
        <v>2</v>
      </c>
      <c r="E343">
        <v>45</v>
      </c>
      <c r="F343">
        <v>0.126667820287276</v>
      </c>
      <c r="G343">
        <v>174</v>
      </c>
      <c r="H343">
        <v>0.28314954619188898</v>
      </c>
      <c r="I343">
        <v>72</v>
      </c>
      <c r="L343">
        <v>1.9667632176620799E-2</v>
      </c>
      <c r="M343">
        <v>1.2949565211866101E-2</v>
      </c>
      <c r="N343">
        <v>2022</v>
      </c>
      <c r="O343" t="s">
        <v>13</v>
      </c>
      <c r="P343" t="s">
        <v>90</v>
      </c>
      <c r="Q343" t="s">
        <v>33</v>
      </c>
      <c r="R343" t="s">
        <v>34</v>
      </c>
    </row>
    <row r="344" spans="1:18" x14ac:dyDescent="0.25">
      <c r="A344" t="s">
        <v>88</v>
      </c>
      <c r="B344" t="s">
        <v>772</v>
      </c>
      <c r="C344" t="s">
        <v>12</v>
      </c>
      <c r="D344">
        <v>2</v>
      </c>
      <c r="E344">
        <v>55</v>
      </c>
      <c r="F344">
        <v>0.15650305373172699</v>
      </c>
      <c r="G344">
        <v>198</v>
      </c>
      <c r="H344">
        <v>0.28048242418018599</v>
      </c>
      <c r="I344">
        <v>80</v>
      </c>
      <c r="L344">
        <v>2.0687694072846201E-2</v>
      </c>
      <c r="M344">
        <v>1.5071397366752899E-2</v>
      </c>
      <c r="N344">
        <v>2022</v>
      </c>
      <c r="O344" t="s">
        <v>13</v>
      </c>
      <c r="P344" t="s">
        <v>90</v>
      </c>
      <c r="Q344" t="s">
        <v>33</v>
      </c>
      <c r="R344" t="s">
        <v>34</v>
      </c>
    </row>
    <row r="345" spans="1:18" x14ac:dyDescent="0.25">
      <c r="A345" t="s">
        <v>88</v>
      </c>
      <c r="B345" t="s">
        <v>772</v>
      </c>
      <c r="C345" t="s">
        <v>12</v>
      </c>
      <c r="D345">
        <v>2</v>
      </c>
      <c r="E345">
        <v>65</v>
      </c>
      <c r="F345">
        <v>0.28709738224813502</v>
      </c>
      <c r="G345">
        <v>172</v>
      </c>
      <c r="H345">
        <v>0.31645043248011701</v>
      </c>
      <c r="I345">
        <v>59</v>
      </c>
      <c r="L345">
        <v>1.38347881191572E-2</v>
      </c>
      <c r="M345">
        <v>1.1532643108482499E-2</v>
      </c>
      <c r="N345">
        <v>2022</v>
      </c>
      <c r="O345" t="s">
        <v>13</v>
      </c>
      <c r="P345" t="s">
        <v>90</v>
      </c>
      <c r="Q345" t="s">
        <v>33</v>
      </c>
      <c r="R345" t="s">
        <v>34</v>
      </c>
    </row>
    <row r="346" spans="1:18" x14ac:dyDescent="0.25">
      <c r="A346" t="s">
        <v>88</v>
      </c>
      <c r="B346" t="s">
        <v>772</v>
      </c>
      <c r="C346" t="s">
        <v>12</v>
      </c>
      <c r="D346">
        <v>1</v>
      </c>
      <c r="E346">
        <v>19</v>
      </c>
      <c r="F346">
        <v>0</v>
      </c>
      <c r="G346">
        <v>4</v>
      </c>
      <c r="H346">
        <v>3.9550098695125997E-3</v>
      </c>
      <c r="I346">
        <v>2</v>
      </c>
      <c r="L346">
        <v>0.106994922509489</v>
      </c>
      <c r="M346">
        <v>0</v>
      </c>
      <c r="N346">
        <v>2022</v>
      </c>
      <c r="O346" t="s">
        <v>13</v>
      </c>
      <c r="P346" t="s">
        <v>90</v>
      </c>
      <c r="Q346" t="s">
        <v>33</v>
      </c>
      <c r="R346" t="s">
        <v>34</v>
      </c>
    </row>
    <row r="347" spans="1:18" x14ac:dyDescent="0.25">
      <c r="A347" t="s">
        <v>88</v>
      </c>
      <c r="B347" t="s">
        <v>772</v>
      </c>
      <c r="C347" t="s">
        <v>12</v>
      </c>
      <c r="D347">
        <v>1</v>
      </c>
      <c r="E347">
        <v>25</v>
      </c>
      <c r="F347">
        <v>0</v>
      </c>
      <c r="G347">
        <v>39</v>
      </c>
      <c r="H347">
        <v>0.14696918406908499</v>
      </c>
      <c r="I347">
        <v>16</v>
      </c>
      <c r="L347">
        <v>9.7209059331691602E-3</v>
      </c>
      <c r="M347">
        <v>0</v>
      </c>
      <c r="N347">
        <v>2022</v>
      </c>
      <c r="O347" t="s">
        <v>13</v>
      </c>
      <c r="P347" t="s">
        <v>90</v>
      </c>
      <c r="Q347" t="s">
        <v>33</v>
      </c>
      <c r="R347" t="s">
        <v>34</v>
      </c>
    </row>
    <row r="348" spans="1:18" x14ac:dyDescent="0.25">
      <c r="A348" t="s">
        <v>88</v>
      </c>
      <c r="B348" t="s">
        <v>772</v>
      </c>
      <c r="C348" t="s">
        <v>12</v>
      </c>
      <c r="D348">
        <v>1</v>
      </c>
      <c r="E348">
        <v>35</v>
      </c>
      <c r="F348">
        <v>5.87088167447175E-2</v>
      </c>
      <c r="G348">
        <v>99</v>
      </c>
      <c r="H348">
        <v>0.175560170584206</v>
      </c>
      <c r="I348">
        <v>34</v>
      </c>
      <c r="L348">
        <v>1.20118810793787E-2</v>
      </c>
      <c r="M348">
        <v>1.02178465865887E-2</v>
      </c>
      <c r="N348">
        <v>2022</v>
      </c>
      <c r="O348" t="s">
        <v>13</v>
      </c>
      <c r="P348" t="s">
        <v>90</v>
      </c>
      <c r="Q348" t="s">
        <v>33</v>
      </c>
      <c r="R348" t="s">
        <v>34</v>
      </c>
    </row>
    <row r="349" spans="1:18" x14ac:dyDescent="0.25">
      <c r="A349" t="s">
        <v>88</v>
      </c>
      <c r="B349" t="s">
        <v>772</v>
      </c>
      <c r="C349" t="s">
        <v>12</v>
      </c>
      <c r="D349">
        <v>1</v>
      </c>
      <c r="E349">
        <v>45</v>
      </c>
      <c r="F349">
        <v>6.9289928002607304E-2</v>
      </c>
      <c r="G349">
        <v>123</v>
      </c>
      <c r="H349">
        <v>0.20660362161763199</v>
      </c>
      <c r="I349">
        <v>35</v>
      </c>
      <c r="L349">
        <v>2.0342151431194298E-2</v>
      </c>
      <c r="M349">
        <v>1.4921660864052499E-2</v>
      </c>
      <c r="N349">
        <v>2022</v>
      </c>
      <c r="O349" t="s">
        <v>13</v>
      </c>
      <c r="P349" t="s">
        <v>90</v>
      </c>
      <c r="Q349" t="s">
        <v>33</v>
      </c>
      <c r="R349" t="s">
        <v>34</v>
      </c>
    </row>
    <row r="350" spans="1:18" x14ac:dyDescent="0.25">
      <c r="A350" t="s">
        <v>88</v>
      </c>
      <c r="B350" t="s">
        <v>772</v>
      </c>
      <c r="C350" t="s">
        <v>12</v>
      </c>
      <c r="D350">
        <v>1</v>
      </c>
      <c r="E350">
        <v>55</v>
      </c>
      <c r="F350">
        <v>0.18575503926966</v>
      </c>
      <c r="G350">
        <v>231</v>
      </c>
      <c r="H350">
        <v>0.308905847615142</v>
      </c>
      <c r="I350">
        <v>96</v>
      </c>
      <c r="L350">
        <v>2.13464716377357E-2</v>
      </c>
      <c r="M350">
        <v>1.41680265061525E-2</v>
      </c>
      <c r="N350">
        <v>2022</v>
      </c>
      <c r="O350" t="s">
        <v>13</v>
      </c>
      <c r="P350" t="s">
        <v>90</v>
      </c>
      <c r="Q350" t="s">
        <v>33</v>
      </c>
      <c r="R350" t="s">
        <v>34</v>
      </c>
    </row>
    <row r="351" spans="1:18" x14ac:dyDescent="0.25">
      <c r="A351" t="s">
        <v>88</v>
      </c>
      <c r="B351" t="s">
        <v>772</v>
      </c>
      <c r="C351" t="s">
        <v>12</v>
      </c>
      <c r="D351">
        <v>1</v>
      </c>
      <c r="E351">
        <v>65</v>
      </c>
      <c r="F351">
        <v>0.254507404811675</v>
      </c>
      <c r="G351">
        <v>196</v>
      </c>
      <c r="H351">
        <v>0.34763449361198401</v>
      </c>
      <c r="I351">
        <v>65</v>
      </c>
      <c r="L351">
        <v>1.8352465141625401E-2</v>
      </c>
      <c r="M351">
        <v>1.1966357403217699E-2</v>
      </c>
      <c r="N351">
        <v>2022</v>
      </c>
      <c r="O351" t="s">
        <v>13</v>
      </c>
      <c r="P351" t="s">
        <v>90</v>
      </c>
      <c r="Q351" t="s">
        <v>33</v>
      </c>
      <c r="R351" t="s">
        <v>34</v>
      </c>
    </row>
    <row r="352" spans="1:18" x14ac:dyDescent="0.25">
      <c r="A352" t="s">
        <v>91</v>
      </c>
      <c r="B352" t="s">
        <v>92</v>
      </c>
      <c r="C352" t="s">
        <v>12</v>
      </c>
      <c r="D352">
        <v>2</v>
      </c>
      <c r="E352">
        <v>27.5</v>
      </c>
      <c r="F352">
        <v>1.57808962989691E-3</v>
      </c>
      <c r="G352">
        <v>723</v>
      </c>
      <c r="H352">
        <v>1.6026500730155699E-2</v>
      </c>
      <c r="I352">
        <v>324</v>
      </c>
      <c r="L352">
        <v>4.4737177963573398E-3</v>
      </c>
      <c r="M352">
        <v>7.0139748782501298E-3</v>
      </c>
      <c r="N352">
        <v>2011</v>
      </c>
      <c r="O352" t="s">
        <v>13</v>
      </c>
      <c r="P352" t="s">
        <v>93</v>
      </c>
      <c r="Q352" t="s">
        <v>94</v>
      </c>
      <c r="R352" t="s">
        <v>44</v>
      </c>
    </row>
    <row r="353" spans="1:18" x14ac:dyDescent="0.25">
      <c r="A353" t="s">
        <v>91</v>
      </c>
      <c r="B353" t="s">
        <v>92</v>
      </c>
      <c r="C353" t="s">
        <v>12</v>
      </c>
      <c r="D353">
        <v>2</v>
      </c>
      <c r="E353">
        <v>35</v>
      </c>
      <c r="F353">
        <v>5.3432512137462597E-3</v>
      </c>
      <c r="G353">
        <v>1107</v>
      </c>
      <c r="H353">
        <v>2.56682586305528E-2</v>
      </c>
      <c r="I353">
        <v>521</v>
      </c>
      <c r="L353">
        <v>6.2635702458486396E-3</v>
      </c>
      <c r="M353">
        <v>1.18852478838158E-2</v>
      </c>
      <c r="N353">
        <v>2011</v>
      </c>
      <c r="O353" t="s">
        <v>13</v>
      </c>
      <c r="P353" t="s">
        <v>93</v>
      </c>
      <c r="Q353" t="s">
        <v>94</v>
      </c>
      <c r="R353" t="s">
        <v>44</v>
      </c>
    </row>
    <row r="354" spans="1:18" x14ac:dyDescent="0.25">
      <c r="A354" t="s">
        <v>91</v>
      </c>
      <c r="B354" t="s">
        <v>92</v>
      </c>
      <c r="C354" t="s">
        <v>12</v>
      </c>
      <c r="D354">
        <v>2</v>
      </c>
      <c r="E354">
        <v>45</v>
      </c>
      <c r="F354">
        <v>1.3340047497787701E-2</v>
      </c>
      <c r="G354">
        <v>850</v>
      </c>
      <c r="H354">
        <v>3.3893529456586101E-2</v>
      </c>
      <c r="I354">
        <v>410</v>
      </c>
      <c r="L354">
        <v>1.03653474922522E-2</v>
      </c>
      <c r="M354">
        <v>2.4337038466642699E-2</v>
      </c>
      <c r="N354">
        <v>2011</v>
      </c>
      <c r="O354" t="s">
        <v>13</v>
      </c>
      <c r="P354" t="s">
        <v>93</v>
      </c>
      <c r="Q354" t="s">
        <v>94</v>
      </c>
      <c r="R354" t="s">
        <v>44</v>
      </c>
    </row>
    <row r="355" spans="1:18" x14ac:dyDescent="0.25">
      <c r="A355" t="s">
        <v>91</v>
      </c>
      <c r="B355" t="s">
        <v>92</v>
      </c>
      <c r="C355" t="s">
        <v>12</v>
      </c>
      <c r="D355">
        <v>2</v>
      </c>
      <c r="E355">
        <v>55</v>
      </c>
      <c r="F355">
        <v>3.2731631536271899E-2</v>
      </c>
      <c r="G355">
        <v>659</v>
      </c>
      <c r="H355">
        <v>4.8162925638867801E-2</v>
      </c>
      <c r="I355">
        <v>333</v>
      </c>
      <c r="L355">
        <v>8.4541080155971296E-3</v>
      </c>
      <c r="M355">
        <v>2.4827045658132301E-2</v>
      </c>
      <c r="N355">
        <v>2011</v>
      </c>
      <c r="O355" t="s">
        <v>13</v>
      </c>
      <c r="P355" t="s">
        <v>93</v>
      </c>
      <c r="Q355" t="s">
        <v>94</v>
      </c>
      <c r="R355" t="s">
        <v>44</v>
      </c>
    </row>
    <row r="356" spans="1:18" x14ac:dyDescent="0.25">
      <c r="A356" t="s">
        <v>91</v>
      </c>
      <c r="B356" t="s">
        <v>92</v>
      </c>
      <c r="C356" t="s">
        <v>12</v>
      </c>
      <c r="D356">
        <v>2</v>
      </c>
      <c r="E356">
        <v>62.5</v>
      </c>
      <c r="F356">
        <v>3.6086405359524697E-2</v>
      </c>
      <c r="G356">
        <v>300</v>
      </c>
      <c r="H356">
        <v>3.5035749172167098E-2</v>
      </c>
      <c r="I356">
        <v>163</v>
      </c>
      <c r="L356">
        <v>9.7318940498384993E-3</v>
      </c>
      <c r="M356">
        <v>4.5093611123834199E-2</v>
      </c>
      <c r="N356">
        <v>2011</v>
      </c>
      <c r="O356" t="s">
        <v>13</v>
      </c>
      <c r="P356" t="s">
        <v>93</v>
      </c>
      <c r="Q356" t="s">
        <v>94</v>
      </c>
      <c r="R356" t="s">
        <v>44</v>
      </c>
    </row>
    <row r="357" spans="1:18" x14ac:dyDescent="0.25">
      <c r="A357" t="s">
        <v>91</v>
      </c>
      <c r="B357" t="s">
        <v>92</v>
      </c>
      <c r="C357" t="s">
        <v>12</v>
      </c>
      <c r="D357">
        <v>1</v>
      </c>
      <c r="E357">
        <v>27.5</v>
      </c>
      <c r="F357">
        <v>3.0379547843614801E-3</v>
      </c>
      <c r="G357">
        <v>305</v>
      </c>
      <c r="H357">
        <v>6.25154673716372E-3</v>
      </c>
      <c r="I357">
        <v>108</v>
      </c>
      <c r="L357">
        <v>1.1624938045604299E-2</v>
      </c>
      <c r="M357">
        <v>4.8885882856151003E-2</v>
      </c>
      <c r="N357">
        <v>2011</v>
      </c>
      <c r="O357" t="s">
        <v>13</v>
      </c>
      <c r="P357" t="s">
        <v>93</v>
      </c>
      <c r="Q357" t="s">
        <v>94</v>
      </c>
      <c r="R357" t="s">
        <v>44</v>
      </c>
    </row>
    <row r="358" spans="1:18" x14ac:dyDescent="0.25">
      <c r="A358" t="s">
        <v>91</v>
      </c>
      <c r="B358" t="s">
        <v>92</v>
      </c>
      <c r="C358" t="s">
        <v>12</v>
      </c>
      <c r="D358">
        <v>1</v>
      </c>
      <c r="E358">
        <v>35</v>
      </c>
      <c r="F358">
        <v>0</v>
      </c>
      <c r="G358">
        <v>474</v>
      </c>
      <c r="H358">
        <v>4.0588100804024004E-3</v>
      </c>
      <c r="I358">
        <v>175</v>
      </c>
      <c r="L358">
        <v>0.109367260821939</v>
      </c>
      <c r="M358">
        <v>0</v>
      </c>
      <c r="N358">
        <v>2011</v>
      </c>
      <c r="O358" t="s">
        <v>13</v>
      </c>
      <c r="P358" t="s">
        <v>93</v>
      </c>
      <c r="Q358" t="s">
        <v>94</v>
      </c>
      <c r="R358" t="s">
        <v>44</v>
      </c>
    </row>
    <row r="359" spans="1:18" x14ac:dyDescent="0.25">
      <c r="A359" t="s">
        <v>91</v>
      </c>
      <c r="B359" t="s">
        <v>92</v>
      </c>
      <c r="C359" t="s">
        <v>12</v>
      </c>
      <c r="D359">
        <v>1</v>
      </c>
      <c r="E359">
        <v>45</v>
      </c>
      <c r="F359">
        <v>9.88935896580748E-3</v>
      </c>
      <c r="G359">
        <v>367</v>
      </c>
      <c r="H359">
        <v>3.4460645071174897E-2</v>
      </c>
      <c r="I359">
        <v>158</v>
      </c>
      <c r="L359">
        <v>5.6507233350652003E-3</v>
      </c>
      <c r="M359">
        <v>1.14475167480068E-2</v>
      </c>
      <c r="N359">
        <v>2011</v>
      </c>
      <c r="O359" t="s">
        <v>13</v>
      </c>
      <c r="P359" t="s">
        <v>93</v>
      </c>
      <c r="Q359" t="s">
        <v>94</v>
      </c>
      <c r="R359" t="s">
        <v>44</v>
      </c>
    </row>
    <row r="360" spans="1:18" x14ac:dyDescent="0.25">
      <c r="A360" t="s">
        <v>91</v>
      </c>
      <c r="B360" t="s">
        <v>92</v>
      </c>
      <c r="C360" t="s">
        <v>12</v>
      </c>
      <c r="D360">
        <v>1</v>
      </c>
      <c r="E360">
        <v>55</v>
      </c>
      <c r="F360">
        <v>4.09836345967418E-2</v>
      </c>
      <c r="G360">
        <v>296</v>
      </c>
      <c r="H360">
        <v>5.57613810935692E-2</v>
      </c>
      <c r="I360">
        <v>131</v>
      </c>
      <c r="L360">
        <v>4.0187461841945599E-3</v>
      </c>
      <c r="M360">
        <v>1.20083090690681E-2</v>
      </c>
      <c r="N360">
        <v>2011</v>
      </c>
      <c r="O360" t="s">
        <v>13</v>
      </c>
      <c r="P360" t="s">
        <v>93</v>
      </c>
      <c r="Q360" t="s">
        <v>94</v>
      </c>
      <c r="R360" t="s">
        <v>44</v>
      </c>
    </row>
    <row r="361" spans="1:18" x14ac:dyDescent="0.25">
      <c r="A361" t="s">
        <v>91</v>
      </c>
      <c r="B361" t="s">
        <v>92</v>
      </c>
      <c r="C361" t="s">
        <v>12</v>
      </c>
      <c r="D361">
        <v>1</v>
      </c>
      <c r="E361">
        <v>62.5</v>
      </c>
      <c r="F361">
        <v>5.09818198874687E-2</v>
      </c>
      <c r="G361">
        <v>142</v>
      </c>
      <c r="H361">
        <v>2.9576845034329401E-2</v>
      </c>
      <c r="I361">
        <v>68</v>
      </c>
      <c r="L361">
        <v>9.2838003395038695E-3</v>
      </c>
      <c r="M361">
        <v>6.0039309062301899E-2</v>
      </c>
      <c r="N361">
        <v>2011</v>
      </c>
      <c r="O361" t="s">
        <v>13</v>
      </c>
      <c r="P361" t="s">
        <v>93</v>
      </c>
      <c r="Q361" t="s">
        <v>94</v>
      </c>
      <c r="R361" t="s">
        <v>44</v>
      </c>
    </row>
    <row r="362" spans="1:18" x14ac:dyDescent="0.25">
      <c r="A362" t="s">
        <v>95</v>
      </c>
      <c r="B362" t="s">
        <v>96</v>
      </c>
      <c r="C362" t="s">
        <v>12</v>
      </c>
      <c r="D362">
        <v>2</v>
      </c>
      <c r="E362">
        <v>27.5</v>
      </c>
      <c r="F362">
        <v>0</v>
      </c>
      <c r="G362">
        <v>124</v>
      </c>
      <c r="H362">
        <v>1.2072711156617901E-2</v>
      </c>
      <c r="I362">
        <v>40</v>
      </c>
      <c r="L362">
        <v>0.15866448431931501</v>
      </c>
      <c r="M362">
        <v>0</v>
      </c>
      <c r="N362">
        <v>2007</v>
      </c>
      <c r="O362" t="s">
        <v>13</v>
      </c>
      <c r="P362" t="s">
        <v>97</v>
      </c>
      <c r="Q362" t="s">
        <v>43</v>
      </c>
      <c r="R362" t="s">
        <v>44</v>
      </c>
    </row>
    <row r="363" spans="1:18" x14ac:dyDescent="0.25">
      <c r="A363" t="s">
        <v>95</v>
      </c>
      <c r="B363" t="s">
        <v>96</v>
      </c>
      <c r="C363" t="s">
        <v>12</v>
      </c>
      <c r="D363">
        <v>2</v>
      </c>
      <c r="E363">
        <v>35</v>
      </c>
      <c r="F363">
        <v>8.5384615714598801E-3</v>
      </c>
      <c r="G363">
        <v>305</v>
      </c>
      <c r="H363">
        <v>6.8581465727235405E-2</v>
      </c>
      <c r="I363">
        <v>111</v>
      </c>
      <c r="L363">
        <v>5.6394958442331201E-2</v>
      </c>
      <c r="M363">
        <v>5.03003300855311E-2</v>
      </c>
      <c r="N363">
        <v>2007</v>
      </c>
      <c r="O363" t="s">
        <v>13</v>
      </c>
      <c r="P363" t="s">
        <v>97</v>
      </c>
      <c r="Q363" t="s">
        <v>43</v>
      </c>
      <c r="R363" t="s">
        <v>44</v>
      </c>
    </row>
    <row r="364" spans="1:18" x14ac:dyDescent="0.25">
      <c r="A364" t="s">
        <v>95</v>
      </c>
      <c r="B364" t="s">
        <v>96</v>
      </c>
      <c r="C364" t="s">
        <v>12</v>
      </c>
      <c r="D364">
        <v>2</v>
      </c>
      <c r="E364">
        <v>45</v>
      </c>
      <c r="F364">
        <v>9.9842759643893903E-3</v>
      </c>
      <c r="G364">
        <v>348</v>
      </c>
      <c r="H364">
        <v>0.102416301540712</v>
      </c>
      <c r="I364">
        <v>147</v>
      </c>
      <c r="L364">
        <v>8.3643750717923696E-2</v>
      </c>
      <c r="M364">
        <v>5.6518565356954702E-2</v>
      </c>
      <c r="N364">
        <v>2007</v>
      </c>
      <c r="O364" t="s">
        <v>13</v>
      </c>
      <c r="P364" t="s">
        <v>97</v>
      </c>
      <c r="Q364" t="s">
        <v>43</v>
      </c>
      <c r="R364" t="s">
        <v>44</v>
      </c>
    </row>
    <row r="365" spans="1:18" x14ac:dyDescent="0.25">
      <c r="A365" t="s">
        <v>95</v>
      </c>
      <c r="B365" t="s">
        <v>96</v>
      </c>
      <c r="C365" t="s">
        <v>12</v>
      </c>
      <c r="D365">
        <v>2</v>
      </c>
      <c r="E365">
        <v>55</v>
      </c>
      <c r="F365">
        <v>4.16024747837637E-2</v>
      </c>
      <c r="G365">
        <v>233</v>
      </c>
      <c r="H365">
        <v>0.22329513779523899</v>
      </c>
      <c r="I365">
        <v>95</v>
      </c>
      <c r="L365">
        <v>3.7952140135704603E-2</v>
      </c>
      <c r="M365">
        <v>1.9050896127979999E-2</v>
      </c>
      <c r="N365">
        <v>2007</v>
      </c>
      <c r="O365" t="s">
        <v>13</v>
      </c>
      <c r="P365" t="s">
        <v>97</v>
      </c>
      <c r="Q365" t="s">
        <v>43</v>
      </c>
      <c r="R365" t="s">
        <v>44</v>
      </c>
    </row>
    <row r="366" spans="1:18" x14ac:dyDescent="0.25">
      <c r="A366" t="s">
        <v>95</v>
      </c>
      <c r="B366" t="s">
        <v>96</v>
      </c>
      <c r="C366" t="s">
        <v>12</v>
      </c>
      <c r="D366">
        <v>2</v>
      </c>
      <c r="E366">
        <v>62.5</v>
      </c>
      <c r="F366">
        <v>3.73293995897006E-2</v>
      </c>
      <c r="G366">
        <v>66</v>
      </c>
      <c r="H366">
        <v>0.293317351999339</v>
      </c>
      <c r="I366">
        <v>31</v>
      </c>
      <c r="L366">
        <v>5.3754896855352903E-2</v>
      </c>
      <c r="M366">
        <v>1.7929301188349501E-2</v>
      </c>
      <c r="N366">
        <v>2007</v>
      </c>
      <c r="O366" t="s">
        <v>13</v>
      </c>
      <c r="P366" t="s">
        <v>97</v>
      </c>
      <c r="Q366" t="s">
        <v>43</v>
      </c>
      <c r="R366" t="s">
        <v>44</v>
      </c>
    </row>
    <row r="367" spans="1:18" x14ac:dyDescent="0.25">
      <c r="A367" t="s">
        <v>95</v>
      </c>
      <c r="B367" t="s">
        <v>96</v>
      </c>
      <c r="C367" t="s">
        <v>12</v>
      </c>
      <c r="D367">
        <v>1</v>
      </c>
      <c r="E367">
        <v>27.5</v>
      </c>
      <c r="F367">
        <v>0</v>
      </c>
      <c r="G367">
        <v>121</v>
      </c>
      <c r="H367">
        <v>5.4953482475292602E-2</v>
      </c>
      <c r="I367">
        <v>43</v>
      </c>
      <c r="L367">
        <v>3.4178843382483497E-2</v>
      </c>
      <c r="M367">
        <v>0</v>
      </c>
      <c r="N367">
        <v>2007</v>
      </c>
      <c r="O367" t="s">
        <v>13</v>
      </c>
      <c r="P367" t="s">
        <v>97</v>
      </c>
      <c r="Q367" t="s">
        <v>43</v>
      </c>
      <c r="R367" t="s">
        <v>44</v>
      </c>
    </row>
    <row r="368" spans="1:18" x14ac:dyDescent="0.25">
      <c r="A368" t="s">
        <v>95</v>
      </c>
      <c r="B368" t="s">
        <v>96</v>
      </c>
      <c r="C368" t="s">
        <v>12</v>
      </c>
      <c r="D368">
        <v>1</v>
      </c>
      <c r="E368">
        <v>35</v>
      </c>
      <c r="F368">
        <v>7.5259320299795301E-3</v>
      </c>
      <c r="G368">
        <v>201</v>
      </c>
      <c r="H368">
        <v>8.3338458156036202E-2</v>
      </c>
      <c r="I368">
        <v>72</v>
      </c>
      <c r="L368">
        <v>6.6919422021246705E-2</v>
      </c>
      <c r="M368">
        <v>4.8575517263034503E-2</v>
      </c>
      <c r="N368">
        <v>2007</v>
      </c>
      <c r="O368" t="s">
        <v>13</v>
      </c>
      <c r="P368" t="s">
        <v>97</v>
      </c>
      <c r="Q368" t="s">
        <v>43</v>
      </c>
      <c r="R368" t="s">
        <v>44</v>
      </c>
    </row>
    <row r="369" spans="1:18" x14ac:dyDescent="0.25">
      <c r="A369" t="s">
        <v>95</v>
      </c>
      <c r="B369" t="s">
        <v>96</v>
      </c>
      <c r="C369" t="s">
        <v>12</v>
      </c>
      <c r="D369">
        <v>1</v>
      </c>
      <c r="E369">
        <v>45</v>
      </c>
      <c r="F369">
        <v>3.5965077412695198E-3</v>
      </c>
      <c r="G369">
        <v>206</v>
      </c>
      <c r="H369">
        <v>0.189628489831625</v>
      </c>
      <c r="I369">
        <v>79</v>
      </c>
      <c r="L369">
        <v>3.8802024068981797E-2</v>
      </c>
      <c r="M369">
        <v>9.8230533822652403E-3</v>
      </c>
      <c r="N369">
        <v>2007</v>
      </c>
      <c r="O369" t="s">
        <v>13</v>
      </c>
      <c r="P369" t="s">
        <v>97</v>
      </c>
      <c r="Q369" t="s">
        <v>43</v>
      </c>
      <c r="R369" t="s">
        <v>44</v>
      </c>
    </row>
    <row r="370" spans="1:18" x14ac:dyDescent="0.25">
      <c r="A370" t="s">
        <v>95</v>
      </c>
      <c r="B370" t="s">
        <v>96</v>
      </c>
      <c r="C370" t="s">
        <v>12</v>
      </c>
      <c r="D370">
        <v>1</v>
      </c>
      <c r="E370">
        <v>55</v>
      </c>
      <c r="F370">
        <v>2.0009431649320099E-2</v>
      </c>
      <c r="G370">
        <v>104</v>
      </c>
      <c r="H370">
        <v>0.23424470143633899</v>
      </c>
      <c r="I370">
        <v>46</v>
      </c>
      <c r="L370">
        <v>3.5165191835442901E-2</v>
      </c>
      <c r="M370">
        <v>1.20648412867373E-2</v>
      </c>
      <c r="N370">
        <v>2007</v>
      </c>
      <c r="O370" t="s">
        <v>13</v>
      </c>
      <c r="P370" t="s">
        <v>97</v>
      </c>
      <c r="Q370" t="s">
        <v>43</v>
      </c>
      <c r="R370" t="s">
        <v>44</v>
      </c>
    </row>
    <row r="371" spans="1:18" x14ac:dyDescent="0.25">
      <c r="A371" t="s">
        <v>95</v>
      </c>
      <c r="B371" t="s">
        <v>96</v>
      </c>
      <c r="C371" t="s">
        <v>12</v>
      </c>
      <c r="D371">
        <v>1</v>
      </c>
      <c r="E371">
        <v>62.5</v>
      </c>
      <c r="F371">
        <v>0</v>
      </c>
      <c r="G371">
        <v>32</v>
      </c>
      <c r="H371">
        <v>0.145372368674999</v>
      </c>
      <c r="I371">
        <v>14</v>
      </c>
      <c r="L371">
        <v>0.20903629357886999</v>
      </c>
      <c r="M371">
        <v>0</v>
      </c>
      <c r="N371">
        <v>2007</v>
      </c>
      <c r="O371" t="s">
        <v>13</v>
      </c>
      <c r="P371" t="s">
        <v>97</v>
      </c>
      <c r="Q371" t="s">
        <v>43</v>
      </c>
      <c r="R371" t="s">
        <v>44</v>
      </c>
    </row>
    <row r="372" spans="1:18" x14ac:dyDescent="0.25">
      <c r="A372" t="s">
        <v>95</v>
      </c>
      <c r="B372" t="s">
        <v>98</v>
      </c>
      <c r="C372" t="s">
        <v>12</v>
      </c>
      <c r="D372">
        <v>2</v>
      </c>
      <c r="E372">
        <v>19</v>
      </c>
      <c r="J372">
        <v>6.6834485795313495E-2</v>
      </c>
      <c r="K372">
        <v>25</v>
      </c>
      <c r="L372">
        <v>1.52396508249749E-2</v>
      </c>
      <c r="M372">
        <v>0</v>
      </c>
      <c r="N372">
        <v>2020</v>
      </c>
      <c r="O372" t="s">
        <v>13</v>
      </c>
      <c r="P372" t="s">
        <v>97</v>
      </c>
      <c r="Q372" t="s">
        <v>43</v>
      </c>
      <c r="R372" t="s">
        <v>44</v>
      </c>
    </row>
    <row r="373" spans="1:18" x14ac:dyDescent="0.25">
      <c r="A373" t="s">
        <v>95</v>
      </c>
      <c r="B373" t="s">
        <v>98</v>
      </c>
      <c r="C373" t="s">
        <v>12</v>
      </c>
      <c r="D373">
        <v>2</v>
      </c>
      <c r="E373">
        <v>25</v>
      </c>
      <c r="J373">
        <v>9.4534735458865204E-3</v>
      </c>
      <c r="K373">
        <v>275</v>
      </c>
      <c r="L373">
        <v>1.2299404761962099E-2</v>
      </c>
      <c r="M373">
        <v>0</v>
      </c>
      <c r="N373">
        <v>2020</v>
      </c>
      <c r="O373" t="s">
        <v>13</v>
      </c>
      <c r="P373" t="s">
        <v>97</v>
      </c>
      <c r="Q373" t="s">
        <v>43</v>
      </c>
      <c r="R373" t="s">
        <v>44</v>
      </c>
    </row>
    <row r="374" spans="1:18" x14ac:dyDescent="0.25">
      <c r="A374" t="s">
        <v>95</v>
      </c>
      <c r="B374" t="s">
        <v>98</v>
      </c>
      <c r="C374" t="s">
        <v>12</v>
      </c>
      <c r="D374">
        <v>2</v>
      </c>
      <c r="E374">
        <v>35</v>
      </c>
      <c r="J374">
        <v>2.6441739992986199E-2</v>
      </c>
      <c r="K374">
        <v>332</v>
      </c>
      <c r="L374">
        <v>1.3029042598566401E-2</v>
      </c>
      <c r="M374">
        <v>0</v>
      </c>
      <c r="N374">
        <v>2020</v>
      </c>
      <c r="O374" t="s">
        <v>13</v>
      </c>
      <c r="P374" t="s">
        <v>97</v>
      </c>
      <c r="Q374" t="s">
        <v>43</v>
      </c>
      <c r="R374" t="s">
        <v>44</v>
      </c>
    </row>
    <row r="375" spans="1:18" x14ac:dyDescent="0.25">
      <c r="A375" t="s">
        <v>95</v>
      </c>
      <c r="B375" t="s">
        <v>98</v>
      </c>
      <c r="C375" t="s">
        <v>12</v>
      </c>
      <c r="D375">
        <v>2</v>
      </c>
      <c r="E375">
        <v>45</v>
      </c>
      <c r="F375">
        <v>3.5151109795959798E-2</v>
      </c>
      <c r="G375">
        <v>504</v>
      </c>
      <c r="H375">
        <v>5.66203394596346E-2</v>
      </c>
      <c r="I375">
        <v>267</v>
      </c>
      <c r="L375">
        <v>2.37680678302758E-2</v>
      </c>
      <c r="M375">
        <v>5.4019890444934403E-2</v>
      </c>
      <c r="N375">
        <v>2020</v>
      </c>
      <c r="O375" t="s">
        <v>13</v>
      </c>
      <c r="P375" t="s">
        <v>97</v>
      </c>
      <c r="Q375" t="s">
        <v>43</v>
      </c>
      <c r="R375" t="s">
        <v>44</v>
      </c>
    </row>
    <row r="376" spans="1:18" x14ac:dyDescent="0.25">
      <c r="A376" t="s">
        <v>95</v>
      </c>
      <c r="B376" t="s">
        <v>98</v>
      </c>
      <c r="C376" t="s">
        <v>12</v>
      </c>
      <c r="D376">
        <v>2</v>
      </c>
      <c r="E376">
        <v>55</v>
      </c>
      <c r="F376">
        <v>7.4177845023440006E-2</v>
      </c>
      <c r="G376">
        <v>467</v>
      </c>
      <c r="H376">
        <v>0.129885963382327</v>
      </c>
      <c r="I376">
        <v>240</v>
      </c>
      <c r="L376">
        <v>2.5076689434003301E-2</v>
      </c>
      <c r="M376">
        <v>3.5426201669962798E-2</v>
      </c>
      <c r="N376">
        <v>2020</v>
      </c>
      <c r="O376" t="s">
        <v>13</v>
      </c>
      <c r="P376" t="s">
        <v>97</v>
      </c>
      <c r="Q376" t="s">
        <v>43</v>
      </c>
      <c r="R376" t="s">
        <v>44</v>
      </c>
    </row>
    <row r="377" spans="1:18" x14ac:dyDescent="0.25">
      <c r="A377" t="s">
        <v>95</v>
      </c>
      <c r="B377" t="s">
        <v>98</v>
      </c>
      <c r="C377" t="s">
        <v>12</v>
      </c>
      <c r="D377">
        <v>2</v>
      </c>
      <c r="E377">
        <v>65</v>
      </c>
      <c r="F377">
        <v>0.11686899352107701</v>
      </c>
      <c r="G377">
        <v>391</v>
      </c>
      <c r="H377">
        <v>0.106878378232832</v>
      </c>
      <c r="I377">
        <v>182</v>
      </c>
      <c r="L377">
        <v>3.7272643608869602E-2</v>
      </c>
      <c r="M377">
        <v>8.9875105272963093E-2</v>
      </c>
      <c r="N377">
        <v>2020</v>
      </c>
      <c r="O377" t="s">
        <v>13</v>
      </c>
      <c r="P377" t="s">
        <v>97</v>
      </c>
      <c r="Q377" t="s">
        <v>43</v>
      </c>
      <c r="R377" t="s">
        <v>44</v>
      </c>
    </row>
    <row r="378" spans="1:18" x14ac:dyDescent="0.25">
      <c r="A378" t="s">
        <v>95</v>
      </c>
      <c r="B378" t="s">
        <v>98</v>
      </c>
      <c r="C378" t="s">
        <v>12</v>
      </c>
      <c r="D378">
        <v>1</v>
      </c>
      <c r="E378">
        <v>19</v>
      </c>
      <c r="J378">
        <v>2.3386555527621202E-3</v>
      </c>
      <c r="K378">
        <v>31</v>
      </c>
      <c r="L378">
        <v>4.5562928066785101E-2</v>
      </c>
      <c r="M378">
        <v>0</v>
      </c>
      <c r="N378">
        <v>2020</v>
      </c>
      <c r="O378" t="s">
        <v>13</v>
      </c>
      <c r="P378" t="s">
        <v>97</v>
      </c>
      <c r="Q378" t="s">
        <v>43</v>
      </c>
      <c r="R378" t="s">
        <v>44</v>
      </c>
    </row>
    <row r="379" spans="1:18" x14ac:dyDescent="0.25">
      <c r="A379" t="s">
        <v>95</v>
      </c>
      <c r="B379" t="s">
        <v>98</v>
      </c>
      <c r="C379" t="s">
        <v>12</v>
      </c>
      <c r="D379">
        <v>1</v>
      </c>
      <c r="E379">
        <v>25</v>
      </c>
      <c r="J379">
        <v>2.8421492786263301E-2</v>
      </c>
      <c r="K379">
        <v>190</v>
      </c>
      <c r="L379">
        <v>1.37823916399109E-2</v>
      </c>
      <c r="M379">
        <v>0</v>
      </c>
      <c r="N379">
        <v>2020</v>
      </c>
      <c r="O379" t="s">
        <v>13</v>
      </c>
      <c r="P379" t="s">
        <v>97</v>
      </c>
      <c r="Q379" t="s">
        <v>43</v>
      </c>
      <c r="R379" t="s">
        <v>44</v>
      </c>
    </row>
    <row r="380" spans="1:18" x14ac:dyDescent="0.25">
      <c r="A380" t="s">
        <v>95</v>
      </c>
      <c r="B380" t="s">
        <v>98</v>
      </c>
      <c r="C380" t="s">
        <v>12</v>
      </c>
      <c r="D380">
        <v>1</v>
      </c>
      <c r="E380">
        <v>35</v>
      </c>
      <c r="J380">
        <v>1.10920716720069E-2</v>
      </c>
      <c r="K380">
        <v>211</v>
      </c>
      <c r="L380">
        <v>1.3163070805919301E-2</v>
      </c>
      <c r="M380">
        <v>0</v>
      </c>
      <c r="N380">
        <v>2020</v>
      </c>
      <c r="O380" t="s">
        <v>13</v>
      </c>
      <c r="P380" t="s">
        <v>97</v>
      </c>
      <c r="Q380" t="s">
        <v>43</v>
      </c>
      <c r="R380" t="s">
        <v>44</v>
      </c>
    </row>
    <row r="381" spans="1:18" x14ac:dyDescent="0.25">
      <c r="A381" t="s">
        <v>95</v>
      </c>
      <c r="B381" t="s">
        <v>98</v>
      </c>
      <c r="C381" t="s">
        <v>12</v>
      </c>
      <c r="D381">
        <v>1</v>
      </c>
      <c r="E381">
        <v>45</v>
      </c>
      <c r="F381">
        <v>1.5924210850094701E-2</v>
      </c>
      <c r="G381">
        <v>374</v>
      </c>
      <c r="H381">
        <v>3.6754612190505E-2</v>
      </c>
      <c r="I381">
        <v>185</v>
      </c>
      <c r="L381">
        <v>4.5296272420188001E-2</v>
      </c>
      <c r="M381">
        <v>9.8816746715046103E-2</v>
      </c>
      <c r="N381">
        <v>2020</v>
      </c>
      <c r="O381" t="s">
        <v>13</v>
      </c>
      <c r="P381" t="s">
        <v>97</v>
      </c>
      <c r="Q381" t="s">
        <v>43</v>
      </c>
      <c r="R381" t="s">
        <v>44</v>
      </c>
    </row>
    <row r="382" spans="1:18" x14ac:dyDescent="0.25">
      <c r="A382" t="s">
        <v>95</v>
      </c>
      <c r="B382" t="s">
        <v>98</v>
      </c>
      <c r="C382" t="s">
        <v>12</v>
      </c>
      <c r="D382">
        <v>1</v>
      </c>
      <c r="E382">
        <v>55</v>
      </c>
      <c r="F382">
        <v>7.4192817436210201E-2</v>
      </c>
      <c r="G382">
        <v>307</v>
      </c>
      <c r="H382">
        <v>7.5174084321450799E-2</v>
      </c>
      <c r="I382">
        <v>147</v>
      </c>
      <c r="L382">
        <v>2.6094548292762601E-2</v>
      </c>
      <c r="M382">
        <v>6.9149690154281296E-2</v>
      </c>
      <c r="N382">
        <v>2020</v>
      </c>
      <c r="O382" t="s">
        <v>13</v>
      </c>
      <c r="P382" t="s">
        <v>97</v>
      </c>
      <c r="Q382" t="s">
        <v>43</v>
      </c>
      <c r="R382" t="s">
        <v>44</v>
      </c>
    </row>
    <row r="383" spans="1:18" x14ac:dyDescent="0.25">
      <c r="A383" t="s">
        <v>95</v>
      </c>
      <c r="B383" t="s">
        <v>98</v>
      </c>
      <c r="C383" t="s">
        <v>12</v>
      </c>
      <c r="D383">
        <v>1</v>
      </c>
      <c r="E383">
        <v>65</v>
      </c>
      <c r="F383">
        <v>0.152520380280281</v>
      </c>
      <c r="G383">
        <v>205</v>
      </c>
      <c r="H383">
        <v>6.0929640105867697E-2</v>
      </c>
      <c r="I383">
        <v>104</v>
      </c>
      <c r="L383">
        <v>2.3492093410026098E-2</v>
      </c>
      <c r="M383">
        <v>0.14076475225496099</v>
      </c>
      <c r="N383">
        <v>2020</v>
      </c>
      <c r="O383" t="s">
        <v>13</v>
      </c>
      <c r="P383" t="s">
        <v>97</v>
      </c>
      <c r="Q383" t="s">
        <v>43</v>
      </c>
      <c r="R383" t="s">
        <v>44</v>
      </c>
    </row>
    <row r="384" spans="1:18" x14ac:dyDescent="0.25">
      <c r="A384" t="s">
        <v>99</v>
      </c>
      <c r="B384" t="s">
        <v>100</v>
      </c>
      <c r="C384" t="s">
        <v>12</v>
      </c>
      <c r="D384">
        <v>2</v>
      </c>
      <c r="E384">
        <v>19</v>
      </c>
      <c r="F384">
        <v>0</v>
      </c>
      <c r="G384">
        <v>34</v>
      </c>
      <c r="H384">
        <v>9.8345108429657904E-3</v>
      </c>
      <c r="I384">
        <v>8</v>
      </c>
      <c r="L384">
        <v>0.13196899245824001</v>
      </c>
      <c r="M384">
        <v>0</v>
      </c>
      <c r="N384">
        <v>2008</v>
      </c>
      <c r="O384" t="s">
        <v>13</v>
      </c>
      <c r="P384" t="s">
        <v>101</v>
      </c>
      <c r="Q384" t="s">
        <v>61</v>
      </c>
      <c r="R384" t="s">
        <v>25</v>
      </c>
    </row>
    <row r="385" spans="1:18" x14ac:dyDescent="0.25">
      <c r="A385" t="s">
        <v>99</v>
      </c>
      <c r="B385" t="s">
        <v>100</v>
      </c>
      <c r="C385" t="s">
        <v>12</v>
      </c>
      <c r="D385">
        <v>2</v>
      </c>
      <c r="E385">
        <v>25</v>
      </c>
      <c r="F385">
        <v>0</v>
      </c>
      <c r="G385">
        <v>77</v>
      </c>
      <c r="H385">
        <v>7.9624764232511996E-2</v>
      </c>
      <c r="I385">
        <v>9</v>
      </c>
      <c r="L385">
        <v>9.1604612476573095E-3</v>
      </c>
      <c r="M385">
        <v>0</v>
      </c>
      <c r="N385">
        <v>2008</v>
      </c>
      <c r="O385" t="s">
        <v>13</v>
      </c>
      <c r="P385" t="s">
        <v>101</v>
      </c>
      <c r="Q385" t="s">
        <v>61</v>
      </c>
      <c r="R385" t="s">
        <v>25</v>
      </c>
    </row>
    <row r="386" spans="1:18" x14ac:dyDescent="0.25">
      <c r="A386" t="s">
        <v>99</v>
      </c>
      <c r="B386" t="s">
        <v>100</v>
      </c>
      <c r="C386" t="s">
        <v>12</v>
      </c>
      <c r="D386">
        <v>2</v>
      </c>
      <c r="E386">
        <v>35</v>
      </c>
      <c r="F386">
        <v>9.76578212611659E-3</v>
      </c>
      <c r="G386">
        <v>131</v>
      </c>
      <c r="H386">
        <v>0.25707672305710999</v>
      </c>
      <c r="I386">
        <v>13</v>
      </c>
      <c r="L386">
        <v>4.5129423096168797E-3</v>
      </c>
      <c r="M386">
        <v>1.22665656480434E-3</v>
      </c>
      <c r="N386">
        <v>2008</v>
      </c>
      <c r="O386" t="s">
        <v>13</v>
      </c>
      <c r="P386" t="s">
        <v>101</v>
      </c>
      <c r="Q386" t="s">
        <v>61</v>
      </c>
      <c r="R386" t="s">
        <v>25</v>
      </c>
    </row>
    <row r="387" spans="1:18" x14ac:dyDescent="0.25">
      <c r="A387" t="s">
        <v>99</v>
      </c>
      <c r="B387" t="s">
        <v>100</v>
      </c>
      <c r="C387" t="s">
        <v>12</v>
      </c>
      <c r="D387">
        <v>2</v>
      </c>
      <c r="E387">
        <v>45</v>
      </c>
      <c r="F387">
        <v>6.1167087178838203E-2</v>
      </c>
      <c r="G387">
        <v>128</v>
      </c>
      <c r="H387">
        <v>0.241902537190999</v>
      </c>
      <c r="I387">
        <v>23</v>
      </c>
      <c r="L387">
        <v>1.2575978753204899E-2</v>
      </c>
      <c r="M387">
        <v>7.0606606720780398E-3</v>
      </c>
      <c r="N387">
        <v>2008</v>
      </c>
      <c r="O387" t="s">
        <v>13</v>
      </c>
      <c r="P387" t="s">
        <v>101</v>
      </c>
      <c r="Q387" t="s">
        <v>61</v>
      </c>
      <c r="R387" t="s">
        <v>25</v>
      </c>
    </row>
    <row r="388" spans="1:18" x14ac:dyDescent="0.25">
      <c r="A388" t="s">
        <v>99</v>
      </c>
      <c r="B388" t="s">
        <v>100</v>
      </c>
      <c r="C388" t="s">
        <v>12</v>
      </c>
      <c r="D388">
        <v>2</v>
      </c>
      <c r="E388">
        <v>55</v>
      </c>
      <c r="F388">
        <v>0.27007791958129002</v>
      </c>
      <c r="G388">
        <v>110</v>
      </c>
      <c r="H388">
        <v>0.53375205664998904</v>
      </c>
      <c r="I388">
        <v>13</v>
      </c>
      <c r="L388">
        <v>4.0740309551369602E-3</v>
      </c>
      <c r="M388">
        <v>1.08132379611322E-3</v>
      </c>
      <c r="N388">
        <v>2008</v>
      </c>
      <c r="O388" t="s">
        <v>13</v>
      </c>
      <c r="P388" t="s">
        <v>101</v>
      </c>
      <c r="Q388" t="s">
        <v>61</v>
      </c>
      <c r="R388" t="s">
        <v>25</v>
      </c>
    </row>
    <row r="389" spans="1:18" x14ac:dyDescent="0.25">
      <c r="A389" t="s">
        <v>99</v>
      </c>
      <c r="B389" t="s">
        <v>100</v>
      </c>
      <c r="C389" t="s">
        <v>12</v>
      </c>
      <c r="D389">
        <v>2</v>
      </c>
      <c r="E389">
        <v>62.5</v>
      </c>
      <c r="F389">
        <v>0.35223334774800902</v>
      </c>
      <c r="G389">
        <v>51</v>
      </c>
      <c r="H389">
        <v>0.48245222722299502</v>
      </c>
      <c r="I389">
        <v>3</v>
      </c>
      <c r="L389">
        <v>8.2421213054619906E-3</v>
      </c>
      <c r="M389">
        <v>3.1468194129720501E-3</v>
      </c>
      <c r="N389">
        <v>2008</v>
      </c>
      <c r="O389" t="s">
        <v>13</v>
      </c>
      <c r="P389" t="s">
        <v>101</v>
      </c>
      <c r="Q389" t="s">
        <v>61</v>
      </c>
      <c r="R389" t="s">
        <v>25</v>
      </c>
    </row>
    <row r="390" spans="1:18" x14ac:dyDescent="0.25">
      <c r="A390" t="s">
        <v>99</v>
      </c>
      <c r="B390" t="s">
        <v>100</v>
      </c>
      <c r="C390" t="s">
        <v>12</v>
      </c>
      <c r="D390">
        <v>1</v>
      </c>
      <c r="E390">
        <v>19</v>
      </c>
      <c r="F390">
        <v>0</v>
      </c>
      <c r="G390">
        <v>25</v>
      </c>
      <c r="H390">
        <v>2.1088954677958301E-2</v>
      </c>
      <c r="I390">
        <v>2</v>
      </c>
      <c r="L390">
        <v>0.161703300277065</v>
      </c>
      <c r="M390">
        <v>0</v>
      </c>
      <c r="N390">
        <v>2008</v>
      </c>
      <c r="O390" t="s">
        <v>13</v>
      </c>
      <c r="P390" t="s">
        <v>101</v>
      </c>
      <c r="Q390" t="s">
        <v>61</v>
      </c>
      <c r="R390" t="s">
        <v>25</v>
      </c>
    </row>
    <row r="391" spans="1:18" x14ac:dyDescent="0.25">
      <c r="A391" t="s">
        <v>99</v>
      </c>
      <c r="B391" t="s">
        <v>100</v>
      </c>
      <c r="C391" t="s">
        <v>12</v>
      </c>
      <c r="D391">
        <v>1</v>
      </c>
      <c r="E391">
        <v>25</v>
      </c>
      <c r="F391">
        <v>0</v>
      </c>
      <c r="G391">
        <v>64</v>
      </c>
      <c r="H391">
        <v>0.16618194456157601</v>
      </c>
      <c r="I391">
        <v>7</v>
      </c>
      <c r="L391">
        <v>1.51251142673733E-3</v>
      </c>
      <c r="M391">
        <v>0</v>
      </c>
      <c r="N391">
        <v>2008</v>
      </c>
      <c r="O391" t="s">
        <v>13</v>
      </c>
      <c r="P391" t="s">
        <v>101</v>
      </c>
      <c r="Q391" t="s">
        <v>61</v>
      </c>
      <c r="R391" t="s">
        <v>25</v>
      </c>
    </row>
    <row r="392" spans="1:18" x14ac:dyDescent="0.25">
      <c r="A392" t="s">
        <v>99</v>
      </c>
      <c r="B392" t="s">
        <v>100</v>
      </c>
      <c r="C392" t="s">
        <v>12</v>
      </c>
      <c r="D392">
        <v>1</v>
      </c>
      <c r="E392">
        <v>35</v>
      </c>
      <c r="F392">
        <v>1.2636068551887101E-2</v>
      </c>
      <c r="G392">
        <v>83</v>
      </c>
      <c r="H392">
        <v>1.05117413726738E-2</v>
      </c>
      <c r="I392">
        <v>9</v>
      </c>
      <c r="L392">
        <v>4.1158881962190599E-2</v>
      </c>
      <c r="M392">
        <v>0.32694373205413602</v>
      </c>
      <c r="N392">
        <v>2008</v>
      </c>
      <c r="O392" t="s">
        <v>13</v>
      </c>
      <c r="P392" t="s">
        <v>101</v>
      </c>
      <c r="Q392" t="s">
        <v>61</v>
      </c>
      <c r="R392" t="s">
        <v>25</v>
      </c>
    </row>
    <row r="393" spans="1:18" x14ac:dyDescent="0.25">
      <c r="A393" t="s">
        <v>99</v>
      </c>
      <c r="B393" t="s">
        <v>100</v>
      </c>
      <c r="C393" t="s">
        <v>12</v>
      </c>
      <c r="D393">
        <v>1</v>
      </c>
      <c r="E393">
        <v>45</v>
      </c>
      <c r="F393">
        <v>2.26444903085312E-2</v>
      </c>
      <c r="G393">
        <v>124</v>
      </c>
      <c r="H393">
        <v>0.26851107157656201</v>
      </c>
      <c r="I393">
        <v>8</v>
      </c>
      <c r="L393">
        <v>4.4495205974547499E-3</v>
      </c>
      <c r="M393">
        <v>1.5099235246809901E-3</v>
      </c>
      <c r="N393">
        <v>2008</v>
      </c>
      <c r="O393" t="s">
        <v>13</v>
      </c>
      <c r="P393" t="s">
        <v>101</v>
      </c>
      <c r="Q393" t="s">
        <v>61</v>
      </c>
      <c r="R393" t="s">
        <v>25</v>
      </c>
    </row>
    <row r="394" spans="1:18" x14ac:dyDescent="0.25">
      <c r="A394" t="s">
        <v>99</v>
      </c>
      <c r="B394" t="s">
        <v>100</v>
      </c>
      <c r="C394" t="s">
        <v>12</v>
      </c>
      <c r="D394">
        <v>1</v>
      </c>
      <c r="E394">
        <v>55</v>
      </c>
      <c r="F394">
        <v>6.1741761633129597E-2</v>
      </c>
      <c r="G394">
        <v>91</v>
      </c>
      <c r="H394">
        <v>0.344182586464165</v>
      </c>
      <c r="I394">
        <v>9</v>
      </c>
      <c r="L394">
        <v>1.57466208437992E-2</v>
      </c>
      <c r="M394">
        <v>4.9093872397249702E-3</v>
      </c>
      <c r="N394">
        <v>2008</v>
      </c>
      <c r="O394" t="s">
        <v>13</v>
      </c>
      <c r="P394" t="s">
        <v>101</v>
      </c>
      <c r="Q394" t="s">
        <v>61</v>
      </c>
      <c r="R394" t="s">
        <v>25</v>
      </c>
    </row>
    <row r="395" spans="1:18" x14ac:dyDescent="0.25">
      <c r="A395" t="s">
        <v>99</v>
      </c>
      <c r="B395" t="s">
        <v>100</v>
      </c>
      <c r="C395" t="s">
        <v>12</v>
      </c>
      <c r="D395">
        <v>1</v>
      </c>
      <c r="E395">
        <v>62.5</v>
      </c>
      <c r="F395">
        <v>0.106918963418519</v>
      </c>
      <c r="G395">
        <v>43</v>
      </c>
      <c r="H395">
        <v>7.0873033642704697E-2</v>
      </c>
      <c r="I395">
        <v>4</v>
      </c>
      <c r="L395">
        <v>6.1763481113020297E-2</v>
      </c>
      <c r="M395">
        <v>0.26881943861774799</v>
      </c>
      <c r="N395">
        <v>2008</v>
      </c>
      <c r="O395" t="s">
        <v>13</v>
      </c>
      <c r="P395" t="s">
        <v>101</v>
      </c>
      <c r="Q395" t="s">
        <v>61</v>
      </c>
      <c r="R395" t="s">
        <v>25</v>
      </c>
    </row>
    <row r="396" spans="1:18" x14ac:dyDescent="0.25">
      <c r="A396" t="s">
        <v>102</v>
      </c>
      <c r="B396" t="s">
        <v>103</v>
      </c>
      <c r="C396" t="s">
        <v>12</v>
      </c>
      <c r="D396">
        <v>2</v>
      </c>
      <c r="E396">
        <v>27.5</v>
      </c>
      <c r="F396">
        <v>1.0638297872340399E-2</v>
      </c>
      <c r="G396">
        <v>470</v>
      </c>
      <c r="H396">
        <v>4.7712098808352199E-2</v>
      </c>
      <c r="I396">
        <v>436</v>
      </c>
      <c r="L396">
        <v>1.0308923830643101E-2</v>
      </c>
      <c r="M396">
        <v>1.46948863822429E-2</v>
      </c>
      <c r="N396">
        <v>2003</v>
      </c>
      <c r="O396" t="s">
        <v>53</v>
      </c>
      <c r="P396" t="s">
        <v>104</v>
      </c>
      <c r="Q396" t="s">
        <v>19</v>
      </c>
      <c r="R396" t="s">
        <v>20</v>
      </c>
    </row>
    <row r="397" spans="1:18" x14ac:dyDescent="0.25">
      <c r="A397" t="s">
        <v>102</v>
      </c>
      <c r="B397" t="s">
        <v>103</v>
      </c>
      <c r="C397" t="s">
        <v>12</v>
      </c>
      <c r="D397">
        <v>2</v>
      </c>
      <c r="E397">
        <v>35</v>
      </c>
      <c r="F397">
        <v>6.3856960408684603E-3</v>
      </c>
      <c r="G397">
        <v>783</v>
      </c>
      <c r="H397">
        <v>4.9490257016813997E-2</v>
      </c>
      <c r="I397">
        <v>714</v>
      </c>
      <c r="L397">
        <v>2.05886445675382E-2</v>
      </c>
      <c r="M397">
        <v>2.22346245343958E-2</v>
      </c>
      <c r="N397">
        <v>2003</v>
      </c>
      <c r="O397" t="s">
        <v>53</v>
      </c>
      <c r="P397" t="s">
        <v>104</v>
      </c>
      <c r="Q397" t="s">
        <v>19</v>
      </c>
      <c r="R397" t="s">
        <v>20</v>
      </c>
    </row>
    <row r="398" spans="1:18" x14ac:dyDescent="0.25">
      <c r="A398" t="s">
        <v>102</v>
      </c>
      <c r="B398" t="s">
        <v>103</v>
      </c>
      <c r="C398" t="s">
        <v>12</v>
      </c>
      <c r="D398">
        <v>2</v>
      </c>
      <c r="E398">
        <v>45</v>
      </c>
      <c r="F398">
        <v>3.2307692307692301E-2</v>
      </c>
      <c r="G398">
        <v>650</v>
      </c>
      <c r="H398">
        <v>8.2311457588536099E-2</v>
      </c>
      <c r="I398">
        <v>570</v>
      </c>
      <c r="L398">
        <v>1.65669749745769E-2</v>
      </c>
      <c r="M398">
        <v>2.4422735442438299E-2</v>
      </c>
      <c r="N398">
        <v>2003</v>
      </c>
      <c r="O398" t="s">
        <v>53</v>
      </c>
      <c r="P398" t="s">
        <v>104</v>
      </c>
      <c r="Q398" t="s">
        <v>19</v>
      </c>
      <c r="R398" t="s">
        <v>20</v>
      </c>
    </row>
    <row r="399" spans="1:18" x14ac:dyDescent="0.25">
      <c r="A399" t="s">
        <v>102</v>
      </c>
      <c r="B399" t="s">
        <v>103</v>
      </c>
      <c r="C399" t="s">
        <v>12</v>
      </c>
      <c r="D399">
        <v>2</v>
      </c>
      <c r="E399">
        <v>55</v>
      </c>
      <c r="F399">
        <v>4.8469387755101997E-2</v>
      </c>
      <c r="G399">
        <v>392</v>
      </c>
      <c r="H399">
        <v>8.1317566842367503E-2</v>
      </c>
      <c r="I399">
        <v>327</v>
      </c>
      <c r="L399">
        <v>1.9341797220918801E-2</v>
      </c>
      <c r="M399">
        <v>3.5589746667003597E-2</v>
      </c>
      <c r="N399">
        <v>2003</v>
      </c>
      <c r="O399" t="s">
        <v>53</v>
      </c>
      <c r="P399" t="s">
        <v>104</v>
      </c>
      <c r="Q399" t="s">
        <v>19</v>
      </c>
      <c r="R399" t="s">
        <v>20</v>
      </c>
    </row>
    <row r="400" spans="1:18" x14ac:dyDescent="0.25">
      <c r="A400" t="s">
        <v>102</v>
      </c>
      <c r="B400" t="s">
        <v>103</v>
      </c>
      <c r="C400" t="s">
        <v>12</v>
      </c>
      <c r="D400">
        <v>2</v>
      </c>
      <c r="E400">
        <v>62.5</v>
      </c>
      <c r="F400">
        <v>7.69230769230769E-2</v>
      </c>
      <c r="G400">
        <v>156</v>
      </c>
      <c r="H400">
        <v>0.11428188118634799</v>
      </c>
      <c r="I400">
        <v>134</v>
      </c>
      <c r="L400">
        <v>1.9398497211071199E-2</v>
      </c>
      <c r="M400">
        <v>3.2924937233440602E-2</v>
      </c>
      <c r="N400">
        <v>2003</v>
      </c>
      <c r="O400" t="s">
        <v>53</v>
      </c>
      <c r="P400" t="s">
        <v>104</v>
      </c>
      <c r="Q400" t="s">
        <v>19</v>
      </c>
      <c r="R400" t="s">
        <v>20</v>
      </c>
    </row>
    <row r="401" spans="1:18" x14ac:dyDescent="0.25">
      <c r="A401" t="s">
        <v>102</v>
      </c>
      <c r="B401" t="s">
        <v>103</v>
      </c>
      <c r="C401" t="s">
        <v>12</v>
      </c>
      <c r="D401">
        <v>1</v>
      </c>
      <c r="E401">
        <v>27.5</v>
      </c>
      <c r="F401">
        <v>7.8125E-3</v>
      </c>
      <c r="G401">
        <v>256</v>
      </c>
      <c r="H401">
        <v>4.3702839012643498E-2</v>
      </c>
      <c r="I401">
        <v>226</v>
      </c>
      <c r="L401">
        <v>1.15384891294398E-2</v>
      </c>
      <c r="M401">
        <v>1.5250080984853399E-2</v>
      </c>
      <c r="N401">
        <v>2003</v>
      </c>
      <c r="O401" t="s">
        <v>53</v>
      </c>
      <c r="P401" t="s">
        <v>104</v>
      </c>
      <c r="Q401" t="s">
        <v>19</v>
      </c>
      <c r="R401" t="s">
        <v>20</v>
      </c>
    </row>
    <row r="402" spans="1:18" x14ac:dyDescent="0.25">
      <c r="A402" t="s">
        <v>102</v>
      </c>
      <c r="B402" t="s">
        <v>103</v>
      </c>
      <c r="C402" t="s">
        <v>12</v>
      </c>
      <c r="D402">
        <v>1</v>
      </c>
      <c r="E402">
        <v>35</v>
      </c>
      <c r="F402">
        <v>4.2372881355932203E-3</v>
      </c>
      <c r="G402">
        <v>472</v>
      </c>
      <c r="H402">
        <v>6.4480814931754296E-2</v>
      </c>
      <c r="I402">
        <v>433</v>
      </c>
      <c r="L402">
        <v>9.3644156570364696E-3</v>
      </c>
      <c r="M402">
        <v>7.0783141820655402E-3</v>
      </c>
      <c r="N402">
        <v>2003</v>
      </c>
      <c r="O402" t="s">
        <v>53</v>
      </c>
      <c r="P402" t="s">
        <v>104</v>
      </c>
      <c r="Q402" t="s">
        <v>19</v>
      </c>
      <c r="R402" t="s">
        <v>20</v>
      </c>
    </row>
    <row r="403" spans="1:18" x14ac:dyDescent="0.25">
      <c r="A403" t="s">
        <v>102</v>
      </c>
      <c r="B403" t="s">
        <v>103</v>
      </c>
      <c r="C403" t="s">
        <v>12</v>
      </c>
      <c r="D403">
        <v>1</v>
      </c>
      <c r="E403">
        <v>45</v>
      </c>
      <c r="F403">
        <v>2.04081632653061E-2</v>
      </c>
      <c r="G403">
        <v>441</v>
      </c>
      <c r="H403">
        <v>6.0124651973429803E-2</v>
      </c>
      <c r="I403">
        <v>393</v>
      </c>
      <c r="L403">
        <v>1.45657239831794E-2</v>
      </c>
      <c r="M403">
        <v>2.2809311945047199E-2</v>
      </c>
      <c r="N403">
        <v>2003</v>
      </c>
      <c r="O403" t="s">
        <v>53</v>
      </c>
      <c r="P403" t="s">
        <v>104</v>
      </c>
      <c r="Q403" t="s">
        <v>19</v>
      </c>
      <c r="R403" t="s">
        <v>20</v>
      </c>
    </row>
    <row r="404" spans="1:18" x14ac:dyDescent="0.25">
      <c r="A404" t="s">
        <v>102</v>
      </c>
      <c r="B404" t="s">
        <v>103</v>
      </c>
      <c r="C404" t="s">
        <v>12</v>
      </c>
      <c r="D404">
        <v>1</v>
      </c>
      <c r="E404">
        <v>55</v>
      </c>
      <c r="F404">
        <v>5.6250000000000001E-2</v>
      </c>
      <c r="G404">
        <v>320</v>
      </c>
      <c r="H404">
        <v>6.2907352246939593E-2</v>
      </c>
      <c r="I404">
        <v>276</v>
      </c>
      <c r="L404">
        <v>1.6208021212773E-2</v>
      </c>
      <c r="M404">
        <v>4.4479849928711401E-2</v>
      </c>
      <c r="N404">
        <v>2003</v>
      </c>
      <c r="O404" t="s">
        <v>53</v>
      </c>
      <c r="P404" t="s">
        <v>104</v>
      </c>
      <c r="Q404" t="s">
        <v>19</v>
      </c>
      <c r="R404" t="s">
        <v>20</v>
      </c>
    </row>
    <row r="405" spans="1:18" x14ac:dyDescent="0.25">
      <c r="A405" t="s">
        <v>102</v>
      </c>
      <c r="B405" t="s">
        <v>103</v>
      </c>
      <c r="C405" t="s">
        <v>12</v>
      </c>
      <c r="D405">
        <v>1</v>
      </c>
      <c r="E405">
        <v>62.5</v>
      </c>
      <c r="F405">
        <v>0.14516129032258099</v>
      </c>
      <c r="G405">
        <v>124</v>
      </c>
      <c r="H405">
        <v>4.7529464245253797E-2</v>
      </c>
      <c r="I405">
        <v>98</v>
      </c>
      <c r="L405">
        <v>1.2913816591966601E-2</v>
      </c>
      <c r="M405">
        <v>9.1742634854535404E-2</v>
      </c>
      <c r="N405">
        <v>2003</v>
      </c>
      <c r="O405" t="s">
        <v>53</v>
      </c>
      <c r="P405" t="s">
        <v>104</v>
      </c>
      <c r="Q405" t="s">
        <v>19</v>
      </c>
      <c r="R405" t="s">
        <v>20</v>
      </c>
    </row>
    <row r="406" spans="1:18" x14ac:dyDescent="0.25">
      <c r="A406" t="s">
        <v>102</v>
      </c>
      <c r="B406" t="s">
        <v>105</v>
      </c>
      <c r="C406" t="s">
        <v>12</v>
      </c>
      <c r="D406">
        <v>2</v>
      </c>
      <c r="E406">
        <v>19</v>
      </c>
      <c r="F406">
        <v>8.1967213114754103E-3</v>
      </c>
      <c r="G406">
        <v>122</v>
      </c>
      <c r="H406">
        <v>5.08384486550413E-2</v>
      </c>
      <c r="I406">
        <v>102</v>
      </c>
      <c r="L406">
        <v>1.52002900907948E-2</v>
      </c>
      <c r="M406">
        <v>1.8450496004500001E-2</v>
      </c>
      <c r="N406">
        <v>2017</v>
      </c>
      <c r="O406" t="s">
        <v>13</v>
      </c>
      <c r="P406" t="s">
        <v>104</v>
      </c>
      <c r="Q406" t="s">
        <v>19</v>
      </c>
      <c r="R406" t="s">
        <v>20</v>
      </c>
    </row>
    <row r="407" spans="1:18" x14ac:dyDescent="0.25">
      <c r="A407" t="s">
        <v>102</v>
      </c>
      <c r="B407" t="s">
        <v>105</v>
      </c>
      <c r="C407" t="s">
        <v>12</v>
      </c>
      <c r="D407">
        <v>2</v>
      </c>
      <c r="E407">
        <v>25</v>
      </c>
      <c r="F407">
        <v>1.7752604961343801E-2</v>
      </c>
      <c r="G407">
        <v>675</v>
      </c>
      <c r="H407">
        <v>3.90152137229468E-2</v>
      </c>
      <c r="I407">
        <v>583</v>
      </c>
      <c r="L407">
        <v>3.4254449241852801E-2</v>
      </c>
      <c r="M407">
        <v>7.8927080959282706E-2</v>
      </c>
      <c r="N407">
        <v>2017</v>
      </c>
      <c r="O407" t="s">
        <v>13</v>
      </c>
      <c r="P407" t="s">
        <v>104</v>
      </c>
      <c r="Q407" t="s">
        <v>19</v>
      </c>
      <c r="R407" t="s">
        <v>20</v>
      </c>
    </row>
    <row r="408" spans="1:18" x14ac:dyDescent="0.25">
      <c r="A408" t="s">
        <v>102</v>
      </c>
      <c r="B408" t="s">
        <v>105</v>
      </c>
      <c r="C408" t="s">
        <v>12</v>
      </c>
      <c r="D408">
        <v>2</v>
      </c>
      <c r="E408">
        <v>35</v>
      </c>
      <c r="F408">
        <v>1.43222866369243E-2</v>
      </c>
      <c r="G408">
        <v>947</v>
      </c>
      <c r="H408">
        <v>6.5433832360461394E-2</v>
      </c>
      <c r="I408">
        <v>819</v>
      </c>
      <c r="L408">
        <v>5.1158213192854997E-2</v>
      </c>
      <c r="M408">
        <v>6.4819732647363404E-2</v>
      </c>
      <c r="N408">
        <v>2017</v>
      </c>
      <c r="O408" t="s">
        <v>13</v>
      </c>
      <c r="P408" t="s">
        <v>104</v>
      </c>
      <c r="Q408" t="s">
        <v>19</v>
      </c>
      <c r="R408" t="s">
        <v>20</v>
      </c>
    </row>
    <row r="409" spans="1:18" x14ac:dyDescent="0.25">
      <c r="A409" t="s">
        <v>102</v>
      </c>
      <c r="B409" t="s">
        <v>105</v>
      </c>
      <c r="C409" t="s">
        <v>12</v>
      </c>
      <c r="D409">
        <v>2</v>
      </c>
      <c r="E409">
        <v>45</v>
      </c>
      <c r="F409">
        <v>5.8956789925282901E-2</v>
      </c>
      <c r="G409">
        <v>882</v>
      </c>
      <c r="H409">
        <v>0.13063369666339</v>
      </c>
      <c r="I409">
        <v>733</v>
      </c>
      <c r="L409">
        <v>3.2054125350094401E-2</v>
      </c>
      <c r="M409">
        <v>4.0463318351591601E-2</v>
      </c>
      <c r="N409">
        <v>2017</v>
      </c>
      <c r="O409" t="s">
        <v>13</v>
      </c>
      <c r="P409" t="s">
        <v>104</v>
      </c>
      <c r="Q409" t="s">
        <v>19</v>
      </c>
      <c r="R409" t="s">
        <v>20</v>
      </c>
    </row>
    <row r="410" spans="1:18" x14ac:dyDescent="0.25">
      <c r="A410" t="s">
        <v>102</v>
      </c>
      <c r="B410" t="s">
        <v>105</v>
      </c>
      <c r="C410" t="s">
        <v>12</v>
      </c>
      <c r="D410">
        <v>2</v>
      </c>
      <c r="E410">
        <v>55</v>
      </c>
      <c r="F410">
        <v>0.164861094636677</v>
      </c>
      <c r="G410">
        <v>604</v>
      </c>
      <c r="H410">
        <v>0.162221128603276</v>
      </c>
      <c r="I410">
        <v>439</v>
      </c>
      <c r="L410">
        <v>3.3334746702344299E-2</v>
      </c>
      <c r="M410">
        <v>6.2686532495749694E-2</v>
      </c>
      <c r="N410">
        <v>2017</v>
      </c>
      <c r="O410" t="s">
        <v>13</v>
      </c>
      <c r="P410" t="s">
        <v>104</v>
      </c>
      <c r="Q410" t="s">
        <v>19</v>
      </c>
      <c r="R410" t="s">
        <v>20</v>
      </c>
    </row>
    <row r="411" spans="1:18" x14ac:dyDescent="0.25">
      <c r="A411" t="s">
        <v>102</v>
      </c>
      <c r="B411" t="s">
        <v>105</v>
      </c>
      <c r="C411" t="s">
        <v>12</v>
      </c>
      <c r="D411">
        <v>2</v>
      </c>
      <c r="E411">
        <v>65</v>
      </c>
      <c r="F411">
        <v>0.246691467630656</v>
      </c>
      <c r="G411">
        <v>460</v>
      </c>
      <c r="H411">
        <v>0.21931957341131</v>
      </c>
      <c r="I411">
        <v>308</v>
      </c>
      <c r="L411">
        <v>2.8029103134673002E-2</v>
      </c>
      <c r="M411">
        <v>4.4176015781864898E-2</v>
      </c>
      <c r="N411">
        <v>2017</v>
      </c>
      <c r="O411" t="s">
        <v>13</v>
      </c>
      <c r="P411" t="s">
        <v>104</v>
      </c>
      <c r="Q411" t="s">
        <v>19</v>
      </c>
      <c r="R411" t="s">
        <v>20</v>
      </c>
    </row>
    <row r="412" spans="1:18" x14ac:dyDescent="0.25">
      <c r="A412" t="s">
        <v>102</v>
      </c>
      <c r="B412" t="s">
        <v>105</v>
      </c>
      <c r="C412" t="s">
        <v>12</v>
      </c>
      <c r="D412">
        <v>1</v>
      </c>
      <c r="E412">
        <v>19</v>
      </c>
      <c r="F412">
        <v>0</v>
      </c>
      <c r="G412">
        <v>99</v>
      </c>
      <c r="H412">
        <v>2.1332201507540002E-2</v>
      </c>
      <c r="I412">
        <v>87</v>
      </c>
      <c r="L412">
        <v>4.4007954916601998E-2</v>
      </c>
      <c r="M412">
        <v>0</v>
      </c>
      <c r="N412">
        <v>2017</v>
      </c>
      <c r="O412" t="s">
        <v>13</v>
      </c>
      <c r="P412" t="s">
        <v>104</v>
      </c>
      <c r="Q412" t="s">
        <v>19</v>
      </c>
      <c r="R412" t="s">
        <v>20</v>
      </c>
    </row>
    <row r="413" spans="1:18" x14ac:dyDescent="0.25">
      <c r="A413" t="s">
        <v>102</v>
      </c>
      <c r="B413" t="s">
        <v>105</v>
      </c>
      <c r="C413" t="s">
        <v>12</v>
      </c>
      <c r="D413">
        <v>1</v>
      </c>
      <c r="E413">
        <v>25</v>
      </c>
      <c r="F413">
        <v>1.27782308026065E-2</v>
      </c>
      <c r="G413">
        <v>535</v>
      </c>
      <c r="H413">
        <v>3.6255028735915601E-2</v>
      </c>
      <c r="I413">
        <v>439</v>
      </c>
      <c r="L413">
        <v>2.9177117558164701E-2</v>
      </c>
      <c r="M413">
        <v>5.9387238268087998E-2</v>
      </c>
      <c r="N413">
        <v>2017</v>
      </c>
      <c r="O413" t="s">
        <v>13</v>
      </c>
      <c r="P413" t="s">
        <v>104</v>
      </c>
      <c r="Q413" t="s">
        <v>19</v>
      </c>
      <c r="R413" t="s">
        <v>20</v>
      </c>
    </row>
    <row r="414" spans="1:18" x14ac:dyDescent="0.25">
      <c r="A414" t="s">
        <v>102</v>
      </c>
      <c r="B414" t="s">
        <v>105</v>
      </c>
      <c r="C414" t="s">
        <v>12</v>
      </c>
      <c r="D414">
        <v>1</v>
      </c>
      <c r="E414">
        <v>35</v>
      </c>
      <c r="F414">
        <v>1.0840365067927399E-2</v>
      </c>
      <c r="G414">
        <v>742</v>
      </c>
      <c r="H414">
        <v>6.2733626443328402E-2</v>
      </c>
      <c r="I414">
        <v>630</v>
      </c>
      <c r="L414">
        <v>3.8549958218427202E-2</v>
      </c>
      <c r="M414">
        <v>4.3597623061025E-2</v>
      </c>
      <c r="N414">
        <v>2017</v>
      </c>
      <c r="O414" t="s">
        <v>13</v>
      </c>
      <c r="P414" t="s">
        <v>104</v>
      </c>
      <c r="Q414" t="s">
        <v>19</v>
      </c>
      <c r="R414" t="s">
        <v>20</v>
      </c>
    </row>
    <row r="415" spans="1:18" x14ac:dyDescent="0.25">
      <c r="A415" t="s">
        <v>102</v>
      </c>
      <c r="B415" t="s">
        <v>105</v>
      </c>
      <c r="C415" t="s">
        <v>12</v>
      </c>
      <c r="D415">
        <v>1</v>
      </c>
      <c r="E415">
        <v>45</v>
      </c>
      <c r="F415">
        <v>5.2583974750524301E-2</v>
      </c>
      <c r="G415">
        <v>790</v>
      </c>
      <c r="H415">
        <v>9.1373208441617407E-2</v>
      </c>
      <c r="I415">
        <v>636</v>
      </c>
      <c r="L415">
        <v>3.63862811011329E-2</v>
      </c>
      <c r="M415">
        <v>6.63541210021832E-2</v>
      </c>
      <c r="N415">
        <v>2017</v>
      </c>
      <c r="O415" t="s">
        <v>13</v>
      </c>
      <c r="P415" t="s">
        <v>104</v>
      </c>
      <c r="Q415" t="s">
        <v>19</v>
      </c>
      <c r="R415" t="s">
        <v>20</v>
      </c>
    </row>
    <row r="416" spans="1:18" x14ac:dyDescent="0.25">
      <c r="A416" t="s">
        <v>102</v>
      </c>
      <c r="B416" t="s">
        <v>105</v>
      </c>
      <c r="C416" t="s">
        <v>12</v>
      </c>
      <c r="D416">
        <v>1</v>
      </c>
      <c r="E416">
        <v>55</v>
      </c>
      <c r="F416">
        <v>0.14687081397868601</v>
      </c>
      <c r="G416">
        <v>521</v>
      </c>
      <c r="H416">
        <v>0.15257394941139499</v>
      </c>
      <c r="I416">
        <v>393</v>
      </c>
      <c r="L416">
        <v>2.1914559185944E-2</v>
      </c>
      <c r="M416">
        <v>4.0115840368947199E-2</v>
      </c>
      <c r="N416">
        <v>2017</v>
      </c>
      <c r="O416" t="s">
        <v>13</v>
      </c>
      <c r="P416" t="s">
        <v>104</v>
      </c>
      <c r="Q416" t="s">
        <v>19</v>
      </c>
      <c r="R416" t="s">
        <v>20</v>
      </c>
    </row>
    <row r="417" spans="1:18" x14ac:dyDescent="0.25">
      <c r="A417" t="s">
        <v>102</v>
      </c>
      <c r="B417" t="s">
        <v>105</v>
      </c>
      <c r="C417" t="s">
        <v>12</v>
      </c>
      <c r="D417">
        <v>1</v>
      </c>
      <c r="E417">
        <v>65</v>
      </c>
      <c r="F417">
        <v>0.166680527436914</v>
      </c>
      <c r="G417">
        <v>335</v>
      </c>
      <c r="H417">
        <v>0.20821922436294499</v>
      </c>
      <c r="I417">
        <v>242</v>
      </c>
      <c r="L417">
        <v>3.3628844278543499E-2</v>
      </c>
      <c r="M417">
        <v>4.2759248787896602E-2</v>
      </c>
      <c r="N417">
        <v>2017</v>
      </c>
      <c r="O417" t="s">
        <v>13</v>
      </c>
      <c r="P417" t="s">
        <v>104</v>
      </c>
      <c r="Q417" t="s">
        <v>19</v>
      </c>
      <c r="R417" t="s">
        <v>20</v>
      </c>
    </row>
    <row r="418" spans="1:18" x14ac:dyDescent="0.25">
      <c r="A418" t="s">
        <v>106</v>
      </c>
      <c r="B418" t="s">
        <v>107</v>
      </c>
      <c r="C418" t="s">
        <v>12</v>
      </c>
      <c r="D418">
        <v>2</v>
      </c>
      <c r="E418">
        <v>19</v>
      </c>
      <c r="J418">
        <v>1.35110850917795E-2</v>
      </c>
      <c r="K418">
        <v>519</v>
      </c>
      <c r="L418">
        <v>1.9245858676057499E-2</v>
      </c>
      <c r="M418">
        <v>0</v>
      </c>
      <c r="N418">
        <v>2012</v>
      </c>
      <c r="O418" t="s">
        <v>13</v>
      </c>
      <c r="P418" t="s">
        <v>108</v>
      </c>
      <c r="Q418" t="s">
        <v>109</v>
      </c>
      <c r="R418" t="s">
        <v>25</v>
      </c>
    </row>
    <row r="419" spans="1:18" x14ac:dyDescent="0.25">
      <c r="A419" t="s">
        <v>106</v>
      </c>
      <c r="B419" t="s">
        <v>107</v>
      </c>
      <c r="C419" t="s">
        <v>12</v>
      </c>
      <c r="D419">
        <v>2</v>
      </c>
      <c r="E419">
        <v>25</v>
      </c>
      <c r="J419">
        <v>1.0146111929294E-2</v>
      </c>
      <c r="K419">
        <v>2626</v>
      </c>
      <c r="L419">
        <v>2.0398400723113799E-2</v>
      </c>
      <c r="M419">
        <v>0</v>
      </c>
      <c r="N419">
        <v>2012</v>
      </c>
      <c r="O419" t="s">
        <v>13</v>
      </c>
      <c r="P419" t="s">
        <v>108</v>
      </c>
      <c r="Q419" t="s">
        <v>109</v>
      </c>
      <c r="R419" t="s">
        <v>25</v>
      </c>
    </row>
    <row r="420" spans="1:18" x14ac:dyDescent="0.25">
      <c r="A420" t="s">
        <v>106</v>
      </c>
      <c r="B420" t="s">
        <v>107</v>
      </c>
      <c r="C420" t="s">
        <v>12</v>
      </c>
      <c r="D420">
        <v>2</v>
      </c>
      <c r="E420">
        <v>35</v>
      </c>
      <c r="J420">
        <v>2.7534603944696801E-2</v>
      </c>
      <c r="K420">
        <v>2669</v>
      </c>
      <c r="L420">
        <v>1.9474215632045301E-2</v>
      </c>
      <c r="M420">
        <v>0</v>
      </c>
      <c r="N420">
        <v>2012</v>
      </c>
      <c r="O420" t="s">
        <v>13</v>
      </c>
      <c r="P420" t="s">
        <v>108</v>
      </c>
      <c r="Q420" t="s">
        <v>109</v>
      </c>
      <c r="R420" t="s">
        <v>25</v>
      </c>
    </row>
    <row r="421" spans="1:18" x14ac:dyDescent="0.25">
      <c r="A421" t="s">
        <v>106</v>
      </c>
      <c r="B421" t="s">
        <v>107</v>
      </c>
      <c r="C421" t="s">
        <v>12</v>
      </c>
      <c r="D421">
        <v>2</v>
      </c>
      <c r="E421">
        <v>45</v>
      </c>
      <c r="J421">
        <v>9.3731139787213993E-2</v>
      </c>
      <c r="K421">
        <v>1816</v>
      </c>
      <c r="L421">
        <v>1.9247014839835999E-2</v>
      </c>
      <c r="M421">
        <v>0</v>
      </c>
      <c r="N421">
        <v>2012</v>
      </c>
      <c r="O421" t="s">
        <v>13</v>
      </c>
      <c r="P421" t="s">
        <v>108</v>
      </c>
      <c r="Q421" t="s">
        <v>109</v>
      </c>
      <c r="R421" t="s">
        <v>25</v>
      </c>
    </row>
    <row r="422" spans="1:18" x14ac:dyDescent="0.25">
      <c r="A422" t="s">
        <v>106</v>
      </c>
      <c r="B422" t="s">
        <v>107</v>
      </c>
      <c r="C422" t="s">
        <v>12</v>
      </c>
      <c r="D422">
        <v>2</v>
      </c>
      <c r="E422">
        <v>55</v>
      </c>
      <c r="J422">
        <v>0.19479860355384701</v>
      </c>
      <c r="K422">
        <v>438</v>
      </c>
      <c r="L422">
        <v>1.95372891072421E-2</v>
      </c>
      <c r="M422">
        <v>0</v>
      </c>
      <c r="N422">
        <v>2012</v>
      </c>
      <c r="O422" t="s">
        <v>13</v>
      </c>
      <c r="P422" t="s">
        <v>108</v>
      </c>
      <c r="Q422" t="s">
        <v>109</v>
      </c>
      <c r="R422" t="s">
        <v>25</v>
      </c>
    </row>
    <row r="423" spans="1:18" x14ac:dyDescent="0.25">
      <c r="A423" t="s">
        <v>106</v>
      </c>
      <c r="B423" t="s">
        <v>107</v>
      </c>
      <c r="C423" t="s">
        <v>12</v>
      </c>
      <c r="D423">
        <v>1</v>
      </c>
      <c r="E423">
        <v>19</v>
      </c>
      <c r="J423">
        <v>1.1106525726780701E-2</v>
      </c>
      <c r="K423">
        <v>355</v>
      </c>
      <c r="L423">
        <v>4.6460637055620799E-2</v>
      </c>
      <c r="M423">
        <v>0</v>
      </c>
      <c r="N423">
        <v>2012</v>
      </c>
      <c r="O423" t="s">
        <v>13</v>
      </c>
      <c r="P423" t="s">
        <v>108</v>
      </c>
      <c r="Q423" t="s">
        <v>109</v>
      </c>
      <c r="R423" t="s">
        <v>25</v>
      </c>
    </row>
    <row r="424" spans="1:18" x14ac:dyDescent="0.25">
      <c r="A424" t="s">
        <v>106</v>
      </c>
      <c r="B424" t="s">
        <v>107</v>
      </c>
      <c r="C424" t="s">
        <v>12</v>
      </c>
      <c r="D424">
        <v>1</v>
      </c>
      <c r="E424">
        <v>25</v>
      </c>
      <c r="J424">
        <v>7.4126456428882303E-3</v>
      </c>
      <c r="K424">
        <v>1106</v>
      </c>
      <c r="L424">
        <v>2.0349434878910701E-2</v>
      </c>
      <c r="M424">
        <v>0</v>
      </c>
      <c r="N424">
        <v>2012</v>
      </c>
      <c r="O424" t="s">
        <v>13</v>
      </c>
      <c r="P424" t="s">
        <v>108</v>
      </c>
      <c r="Q424" t="s">
        <v>109</v>
      </c>
      <c r="R424" t="s">
        <v>25</v>
      </c>
    </row>
    <row r="425" spans="1:18" x14ac:dyDescent="0.25">
      <c r="A425" t="s">
        <v>106</v>
      </c>
      <c r="B425" t="s">
        <v>107</v>
      </c>
      <c r="C425" t="s">
        <v>12</v>
      </c>
      <c r="D425">
        <v>1</v>
      </c>
      <c r="E425">
        <v>35</v>
      </c>
      <c r="J425">
        <v>4.0019755005333398E-2</v>
      </c>
      <c r="K425">
        <v>1106</v>
      </c>
      <c r="L425">
        <v>1.86136619145938E-2</v>
      </c>
      <c r="M425">
        <v>0</v>
      </c>
      <c r="N425">
        <v>2012</v>
      </c>
      <c r="O425" t="s">
        <v>13</v>
      </c>
      <c r="P425" t="s">
        <v>108</v>
      </c>
      <c r="Q425" t="s">
        <v>109</v>
      </c>
      <c r="R425" t="s">
        <v>25</v>
      </c>
    </row>
    <row r="426" spans="1:18" x14ac:dyDescent="0.25">
      <c r="A426" t="s">
        <v>106</v>
      </c>
      <c r="B426" t="s">
        <v>107</v>
      </c>
      <c r="C426" t="s">
        <v>12</v>
      </c>
      <c r="D426">
        <v>1</v>
      </c>
      <c r="E426">
        <v>45</v>
      </c>
      <c r="J426">
        <v>9.2866394754620205E-2</v>
      </c>
      <c r="K426">
        <v>815</v>
      </c>
      <c r="L426">
        <v>1.85508511597305E-2</v>
      </c>
      <c r="M426">
        <v>0</v>
      </c>
      <c r="N426">
        <v>2012</v>
      </c>
      <c r="O426" t="s">
        <v>13</v>
      </c>
      <c r="P426" t="s">
        <v>108</v>
      </c>
      <c r="Q426" t="s">
        <v>109</v>
      </c>
      <c r="R426" t="s">
        <v>25</v>
      </c>
    </row>
    <row r="427" spans="1:18" x14ac:dyDescent="0.25">
      <c r="A427" t="s">
        <v>106</v>
      </c>
      <c r="B427" t="s">
        <v>107</v>
      </c>
      <c r="C427" t="s">
        <v>12</v>
      </c>
      <c r="D427">
        <v>1</v>
      </c>
      <c r="E427">
        <v>55</v>
      </c>
      <c r="J427">
        <v>0.17229227002627001</v>
      </c>
      <c r="K427">
        <v>308</v>
      </c>
      <c r="L427">
        <v>1.8506229944328299E-2</v>
      </c>
      <c r="M427">
        <v>0</v>
      </c>
      <c r="N427">
        <v>2012</v>
      </c>
      <c r="O427" t="s">
        <v>13</v>
      </c>
      <c r="P427" t="s">
        <v>108</v>
      </c>
      <c r="Q427" t="s">
        <v>109</v>
      </c>
      <c r="R427" t="s">
        <v>25</v>
      </c>
    </row>
    <row r="428" spans="1:18" x14ac:dyDescent="0.25">
      <c r="A428" t="s">
        <v>106</v>
      </c>
      <c r="B428" t="s">
        <v>110</v>
      </c>
      <c r="C428" t="s">
        <v>12</v>
      </c>
      <c r="D428">
        <v>2</v>
      </c>
      <c r="E428">
        <v>19</v>
      </c>
      <c r="F428">
        <v>0</v>
      </c>
      <c r="G428">
        <v>111</v>
      </c>
      <c r="H428">
        <v>7.3370226558119901E-3</v>
      </c>
      <c r="I428">
        <v>98</v>
      </c>
      <c r="L428">
        <v>0.117692904230698</v>
      </c>
      <c r="M428">
        <v>0</v>
      </c>
      <c r="N428">
        <v>2018</v>
      </c>
      <c r="O428" t="s">
        <v>13</v>
      </c>
      <c r="P428" t="s">
        <v>108</v>
      </c>
      <c r="Q428" t="s">
        <v>109</v>
      </c>
      <c r="R428" t="s">
        <v>25</v>
      </c>
    </row>
    <row r="429" spans="1:18" x14ac:dyDescent="0.25">
      <c r="A429" t="s">
        <v>106</v>
      </c>
      <c r="B429" t="s">
        <v>110</v>
      </c>
      <c r="C429" t="s">
        <v>12</v>
      </c>
      <c r="D429">
        <v>2</v>
      </c>
      <c r="E429">
        <v>25</v>
      </c>
      <c r="F429">
        <v>0</v>
      </c>
      <c r="G429">
        <v>535</v>
      </c>
      <c r="H429">
        <v>2.4238374463298702E-2</v>
      </c>
      <c r="I429">
        <v>463</v>
      </c>
      <c r="L429">
        <v>4.9343783302623997E-2</v>
      </c>
      <c r="M429">
        <v>0</v>
      </c>
      <c r="N429">
        <v>2018</v>
      </c>
      <c r="O429" t="s">
        <v>13</v>
      </c>
      <c r="P429" t="s">
        <v>108</v>
      </c>
      <c r="Q429" t="s">
        <v>109</v>
      </c>
      <c r="R429" t="s">
        <v>25</v>
      </c>
    </row>
    <row r="430" spans="1:18" x14ac:dyDescent="0.25">
      <c r="A430" t="s">
        <v>106</v>
      </c>
      <c r="B430" t="s">
        <v>110</v>
      </c>
      <c r="C430" t="s">
        <v>12</v>
      </c>
      <c r="D430">
        <v>2</v>
      </c>
      <c r="E430">
        <v>35</v>
      </c>
      <c r="F430">
        <v>9.4836969286881193E-3</v>
      </c>
      <c r="G430">
        <v>647</v>
      </c>
      <c r="H430">
        <v>4.8325467401630101E-2</v>
      </c>
      <c r="I430">
        <v>569</v>
      </c>
      <c r="L430">
        <v>5.2839761157274297E-2</v>
      </c>
      <c r="M430">
        <v>6.9460731479657395E-2</v>
      </c>
      <c r="N430">
        <v>2018</v>
      </c>
      <c r="O430" t="s">
        <v>13</v>
      </c>
      <c r="P430" t="s">
        <v>108</v>
      </c>
      <c r="Q430" t="s">
        <v>109</v>
      </c>
      <c r="R430" t="s">
        <v>25</v>
      </c>
    </row>
    <row r="431" spans="1:18" x14ac:dyDescent="0.25">
      <c r="A431" t="s">
        <v>106</v>
      </c>
      <c r="B431" t="s">
        <v>110</v>
      </c>
      <c r="C431" t="s">
        <v>12</v>
      </c>
      <c r="D431">
        <v>2</v>
      </c>
      <c r="E431">
        <v>45</v>
      </c>
      <c r="F431">
        <v>3.0973819455504099E-2</v>
      </c>
      <c r="G431">
        <v>557</v>
      </c>
      <c r="H431">
        <v>9.6887627044029603E-2</v>
      </c>
      <c r="I431">
        <v>471</v>
      </c>
      <c r="L431">
        <v>4.02264627908554E-2</v>
      </c>
      <c r="M431">
        <v>4.7409264556459503E-2</v>
      </c>
      <c r="N431">
        <v>2018</v>
      </c>
      <c r="O431" t="s">
        <v>13</v>
      </c>
      <c r="P431" t="s">
        <v>108</v>
      </c>
      <c r="Q431" t="s">
        <v>109</v>
      </c>
      <c r="R431" t="s">
        <v>25</v>
      </c>
    </row>
    <row r="432" spans="1:18" x14ac:dyDescent="0.25">
      <c r="A432" t="s">
        <v>106</v>
      </c>
      <c r="B432" t="s">
        <v>110</v>
      </c>
      <c r="C432" t="s">
        <v>12</v>
      </c>
      <c r="D432">
        <v>2</v>
      </c>
      <c r="E432">
        <v>55</v>
      </c>
      <c r="F432">
        <v>7.1897470556016502E-2</v>
      </c>
      <c r="G432">
        <v>434</v>
      </c>
      <c r="H432">
        <v>0.13807610815975899</v>
      </c>
      <c r="I432">
        <v>348</v>
      </c>
      <c r="L432">
        <v>3.7062050828720501E-2</v>
      </c>
      <c r="M432">
        <v>4.58604110629336E-2</v>
      </c>
      <c r="N432">
        <v>2018</v>
      </c>
      <c r="O432" t="s">
        <v>13</v>
      </c>
      <c r="P432" t="s">
        <v>108</v>
      </c>
      <c r="Q432" t="s">
        <v>109</v>
      </c>
      <c r="R432" t="s">
        <v>25</v>
      </c>
    </row>
    <row r="433" spans="1:18" x14ac:dyDescent="0.25">
      <c r="A433" t="s">
        <v>106</v>
      </c>
      <c r="B433" t="s">
        <v>110</v>
      </c>
      <c r="C433" t="s">
        <v>12</v>
      </c>
      <c r="D433">
        <v>2</v>
      </c>
      <c r="E433">
        <v>65</v>
      </c>
      <c r="F433">
        <v>9.6539254845527403E-2</v>
      </c>
      <c r="G433">
        <v>348</v>
      </c>
      <c r="H433">
        <v>0.15088885984752201</v>
      </c>
      <c r="I433">
        <v>268</v>
      </c>
      <c r="L433">
        <v>5.09379539756789E-2</v>
      </c>
      <c r="M433">
        <v>7.0533638541373497E-2</v>
      </c>
      <c r="N433">
        <v>2018</v>
      </c>
      <c r="O433" t="s">
        <v>13</v>
      </c>
      <c r="P433" t="s">
        <v>108</v>
      </c>
      <c r="Q433" t="s">
        <v>109</v>
      </c>
      <c r="R433" t="s">
        <v>25</v>
      </c>
    </row>
    <row r="434" spans="1:18" x14ac:dyDescent="0.25">
      <c r="A434" t="s">
        <v>106</v>
      </c>
      <c r="B434" t="s">
        <v>110</v>
      </c>
      <c r="C434" t="s">
        <v>12</v>
      </c>
      <c r="D434">
        <v>1</v>
      </c>
      <c r="E434">
        <v>19</v>
      </c>
      <c r="F434">
        <v>0</v>
      </c>
      <c r="G434">
        <v>120</v>
      </c>
      <c r="H434">
        <v>1.0345480262292201E-2</v>
      </c>
      <c r="I434">
        <v>108</v>
      </c>
      <c r="L434">
        <v>6.4556729573097299E-2</v>
      </c>
      <c r="M434">
        <v>0</v>
      </c>
      <c r="N434">
        <v>2018</v>
      </c>
      <c r="O434" t="s">
        <v>13</v>
      </c>
      <c r="P434" t="s">
        <v>108</v>
      </c>
      <c r="Q434" t="s">
        <v>109</v>
      </c>
      <c r="R434" t="s">
        <v>25</v>
      </c>
    </row>
    <row r="435" spans="1:18" x14ac:dyDescent="0.25">
      <c r="A435" t="s">
        <v>106</v>
      </c>
      <c r="B435" t="s">
        <v>110</v>
      </c>
      <c r="C435" t="s">
        <v>12</v>
      </c>
      <c r="D435">
        <v>1</v>
      </c>
      <c r="E435">
        <v>25</v>
      </c>
      <c r="F435">
        <v>0</v>
      </c>
      <c r="G435">
        <v>404</v>
      </c>
      <c r="H435">
        <v>1.5595672560868201E-2</v>
      </c>
      <c r="I435">
        <v>330</v>
      </c>
      <c r="L435">
        <v>7.3609784026344702E-2</v>
      </c>
      <c r="M435">
        <v>0</v>
      </c>
      <c r="N435">
        <v>2018</v>
      </c>
      <c r="O435" t="s">
        <v>13</v>
      </c>
      <c r="P435" t="s">
        <v>108</v>
      </c>
      <c r="Q435" t="s">
        <v>109</v>
      </c>
      <c r="R435" t="s">
        <v>25</v>
      </c>
    </row>
    <row r="436" spans="1:18" x14ac:dyDescent="0.25">
      <c r="A436" t="s">
        <v>106</v>
      </c>
      <c r="B436" t="s">
        <v>110</v>
      </c>
      <c r="C436" t="s">
        <v>12</v>
      </c>
      <c r="D436">
        <v>1</v>
      </c>
      <c r="E436">
        <v>35</v>
      </c>
      <c r="F436">
        <v>5.1509936743621299E-3</v>
      </c>
      <c r="G436">
        <v>407</v>
      </c>
      <c r="H436">
        <v>5.0098974339303298E-2</v>
      </c>
      <c r="I436">
        <v>334</v>
      </c>
      <c r="L436">
        <v>3.0672910712089701E-2</v>
      </c>
      <c r="M436">
        <v>2.9026866155846501E-2</v>
      </c>
      <c r="N436">
        <v>2018</v>
      </c>
      <c r="O436" t="s">
        <v>13</v>
      </c>
      <c r="P436" t="s">
        <v>108</v>
      </c>
      <c r="Q436" t="s">
        <v>109</v>
      </c>
      <c r="R436" t="s">
        <v>25</v>
      </c>
    </row>
    <row r="437" spans="1:18" x14ac:dyDescent="0.25">
      <c r="A437" t="s">
        <v>106</v>
      </c>
      <c r="B437" t="s">
        <v>110</v>
      </c>
      <c r="C437" t="s">
        <v>12</v>
      </c>
      <c r="D437">
        <v>1</v>
      </c>
      <c r="E437">
        <v>45</v>
      </c>
      <c r="F437">
        <v>5.3413308430783797E-2</v>
      </c>
      <c r="G437">
        <v>396</v>
      </c>
      <c r="H437">
        <v>9.1869571797317404E-2</v>
      </c>
      <c r="I437">
        <v>323</v>
      </c>
      <c r="L437">
        <v>2.0289692521050999E-2</v>
      </c>
      <c r="M437">
        <v>3.4538954666067601E-2</v>
      </c>
      <c r="N437">
        <v>2018</v>
      </c>
      <c r="O437" t="s">
        <v>13</v>
      </c>
      <c r="P437" t="s">
        <v>108</v>
      </c>
      <c r="Q437" t="s">
        <v>109</v>
      </c>
      <c r="R437" t="s">
        <v>25</v>
      </c>
    </row>
    <row r="438" spans="1:18" x14ac:dyDescent="0.25">
      <c r="A438" t="s">
        <v>106</v>
      </c>
      <c r="B438" t="s">
        <v>110</v>
      </c>
      <c r="C438" t="s">
        <v>12</v>
      </c>
      <c r="D438">
        <v>1</v>
      </c>
      <c r="E438">
        <v>55</v>
      </c>
      <c r="F438">
        <v>5.5283678740971398E-2</v>
      </c>
      <c r="G438">
        <v>361</v>
      </c>
      <c r="H438">
        <v>0.13624019853234501</v>
      </c>
      <c r="I438">
        <v>292</v>
      </c>
      <c r="L438">
        <v>2.4069525470581599E-2</v>
      </c>
      <c r="M438">
        <v>2.6076795720955899E-2</v>
      </c>
      <c r="N438">
        <v>2018</v>
      </c>
      <c r="O438" t="s">
        <v>13</v>
      </c>
      <c r="P438" t="s">
        <v>108</v>
      </c>
      <c r="Q438" t="s">
        <v>109</v>
      </c>
      <c r="R438" t="s">
        <v>25</v>
      </c>
    </row>
    <row r="439" spans="1:18" x14ac:dyDescent="0.25">
      <c r="A439" t="s">
        <v>106</v>
      </c>
      <c r="B439" t="s">
        <v>110</v>
      </c>
      <c r="C439" t="s">
        <v>12</v>
      </c>
      <c r="D439">
        <v>1</v>
      </c>
      <c r="E439">
        <v>65</v>
      </c>
      <c r="F439">
        <v>0.121906740044396</v>
      </c>
      <c r="G439">
        <v>256</v>
      </c>
      <c r="H439">
        <v>0.130472079950089</v>
      </c>
      <c r="I439">
        <v>209</v>
      </c>
      <c r="L439">
        <v>3.5761015644907197E-2</v>
      </c>
      <c r="M439">
        <v>6.7188496524161298E-2</v>
      </c>
      <c r="N439">
        <v>2018</v>
      </c>
      <c r="O439" t="s">
        <v>13</v>
      </c>
      <c r="P439" t="s">
        <v>108</v>
      </c>
      <c r="Q439" t="s">
        <v>109</v>
      </c>
      <c r="R439" t="s">
        <v>25</v>
      </c>
    </row>
    <row r="440" spans="1:18" x14ac:dyDescent="0.25">
      <c r="A440" t="s">
        <v>111</v>
      </c>
      <c r="B440" t="s">
        <v>112</v>
      </c>
      <c r="C440" t="s">
        <v>12</v>
      </c>
      <c r="D440">
        <v>2</v>
      </c>
      <c r="E440">
        <v>19</v>
      </c>
      <c r="F440">
        <v>0</v>
      </c>
      <c r="G440">
        <v>256</v>
      </c>
      <c r="H440">
        <v>2.40093363931792E-2</v>
      </c>
      <c r="I440">
        <v>56</v>
      </c>
      <c r="L440">
        <v>1.8863214298883501E-2</v>
      </c>
      <c r="M440">
        <v>0</v>
      </c>
      <c r="N440">
        <v>2005</v>
      </c>
      <c r="O440" t="s">
        <v>13</v>
      </c>
      <c r="P440" t="s">
        <v>113</v>
      </c>
      <c r="Q440" t="s">
        <v>19</v>
      </c>
      <c r="R440" t="s">
        <v>20</v>
      </c>
    </row>
    <row r="441" spans="1:18" x14ac:dyDescent="0.25">
      <c r="A441" t="s">
        <v>111</v>
      </c>
      <c r="B441" t="s">
        <v>112</v>
      </c>
      <c r="C441" t="s">
        <v>12</v>
      </c>
      <c r="D441">
        <v>2</v>
      </c>
      <c r="E441">
        <v>25</v>
      </c>
      <c r="F441">
        <v>1.1783189316575E-2</v>
      </c>
      <c r="G441">
        <v>1273</v>
      </c>
      <c r="H441">
        <v>1.75470335937256E-2</v>
      </c>
      <c r="I441">
        <v>281</v>
      </c>
      <c r="L441">
        <v>1.6134689324399099E-2</v>
      </c>
      <c r="M441">
        <v>6.0257290931473598E-2</v>
      </c>
      <c r="N441">
        <v>2005</v>
      </c>
      <c r="O441" t="s">
        <v>13</v>
      </c>
      <c r="P441" t="s">
        <v>113</v>
      </c>
      <c r="Q441" t="s">
        <v>19</v>
      </c>
      <c r="R441" t="s">
        <v>20</v>
      </c>
    </row>
    <row r="442" spans="1:18" x14ac:dyDescent="0.25">
      <c r="A442" t="s">
        <v>111</v>
      </c>
      <c r="B442" t="s">
        <v>112</v>
      </c>
      <c r="C442" t="s">
        <v>12</v>
      </c>
      <c r="D442">
        <v>2</v>
      </c>
      <c r="E442">
        <v>35</v>
      </c>
      <c r="F442">
        <v>3.6916395222584199E-2</v>
      </c>
      <c r="G442">
        <v>921</v>
      </c>
      <c r="H442">
        <v>3.8503102391513999E-2</v>
      </c>
      <c r="I442">
        <v>180</v>
      </c>
      <c r="L442">
        <v>1.8492827292390601E-2</v>
      </c>
      <c r="M442">
        <v>6.5060150398824998E-2</v>
      </c>
      <c r="N442">
        <v>2005</v>
      </c>
      <c r="O442" t="s">
        <v>13</v>
      </c>
      <c r="P442" t="s">
        <v>113</v>
      </c>
      <c r="Q442" t="s">
        <v>19</v>
      </c>
      <c r="R442" t="s">
        <v>20</v>
      </c>
    </row>
    <row r="443" spans="1:18" x14ac:dyDescent="0.25">
      <c r="A443" t="s">
        <v>111</v>
      </c>
      <c r="B443" t="s">
        <v>112</v>
      </c>
      <c r="C443" t="s">
        <v>12</v>
      </c>
      <c r="D443">
        <v>2</v>
      </c>
      <c r="E443">
        <v>45</v>
      </c>
      <c r="F443">
        <v>0.10371318822023</v>
      </c>
      <c r="G443">
        <v>781</v>
      </c>
      <c r="H443">
        <v>0.11841419840865</v>
      </c>
      <c r="I443">
        <v>194</v>
      </c>
      <c r="L443">
        <v>8.6123335900668199E-3</v>
      </c>
      <c r="M443">
        <v>1.78258675632126E-2</v>
      </c>
      <c r="N443">
        <v>2005</v>
      </c>
      <c r="O443" t="s">
        <v>13</v>
      </c>
      <c r="P443" t="s">
        <v>113</v>
      </c>
      <c r="Q443" t="s">
        <v>19</v>
      </c>
      <c r="R443" t="s">
        <v>20</v>
      </c>
    </row>
    <row r="444" spans="1:18" x14ac:dyDescent="0.25">
      <c r="A444" t="s">
        <v>111</v>
      </c>
      <c r="B444" t="s">
        <v>112</v>
      </c>
      <c r="C444" t="s">
        <v>12</v>
      </c>
      <c r="D444">
        <v>2</v>
      </c>
      <c r="E444">
        <v>55</v>
      </c>
      <c r="F444">
        <v>0.20079522862823099</v>
      </c>
      <c r="G444">
        <v>503</v>
      </c>
      <c r="H444">
        <v>0.165830804992222</v>
      </c>
      <c r="I444">
        <v>104</v>
      </c>
      <c r="L444">
        <v>1.32575929968031E-2</v>
      </c>
      <c r="M444">
        <v>2.6203630576374998E-2</v>
      </c>
      <c r="N444">
        <v>2005</v>
      </c>
      <c r="O444" t="s">
        <v>13</v>
      </c>
      <c r="P444" t="s">
        <v>113</v>
      </c>
      <c r="Q444" t="s">
        <v>19</v>
      </c>
      <c r="R444" t="s">
        <v>20</v>
      </c>
    </row>
    <row r="445" spans="1:18" x14ac:dyDescent="0.25">
      <c r="A445" t="s">
        <v>111</v>
      </c>
      <c r="B445" t="s">
        <v>112</v>
      </c>
      <c r="C445" t="s">
        <v>12</v>
      </c>
      <c r="D445">
        <v>2</v>
      </c>
      <c r="E445">
        <v>63</v>
      </c>
      <c r="F445">
        <v>0.317460317460317</v>
      </c>
      <c r="G445">
        <v>189</v>
      </c>
      <c r="H445">
        <v>0.110839094382104</v>
      </c>
      <c r="I445">
        <v>29</v>
      </c>
      <c r="L445">
        <v>8.4867029466595308E-3</v>
      </c>
      <c r="M445">
        <v>3.99549936107126E-2</v>
      </c>
      <c r="N445">
        <v>2005</v>
      </c>
      <c r="O445" t="s">
        <v>13</v>
      </c>
      <c r="P445" t="s">
        <v>113</v>
      </c>
      <c r="Q445" t="s">
        <v>19</v>
      </c>
      <c r="R445" t="s">
        <v>20</v>
      </c>
    </row>
    <row r="446" spans="1:18" x14ac:dyDescent="0.25">
      <c r="A446" t="s">
        <v>111</v>
      </c>
      <c r="B446" t="s">
        <v>112</v>
      </c>
      <c r="C446" t="s">
        <v>12</v>
      </c>
      <c r="D446">
        <v>1</v>
      </c>
      <c r="E446">
        <v>19</v>
      </c>
      <c r="F446">
        <v>6.3091482649842304E-3</v>
      </c>
      <c r="G446">
        <v>317</v>
      </c>
      <c r="H446">
        <v>3.5799194172754399E-3</v>
      </c>
      <c r="I446">
        <v>50</v>
      </c>
      <c r="L446">
        <v>2.7122584808415999E-2</v>
      </c>
      <c r="M446">
        <v>0.34868874582617498</v>
      </c>
      <c r="N446">
        <v>2005</v>
      </c>
      <c r="O446" t="s">
        <v>13</v>
      </c>
      <c r="P446" t="s">
        <v>113</v>
      </c>
      <c r="Q446" t="s">
        <v>19</v>
      </c>
      <c r="R446" t="s">
        <v>20</v>
      </c>
    </row>
    <row r="447" spans="1:18" x14ac:dyDescent="0.25">
      <c r="A447" t="s">
        <v>111</v>
      </c>
      <c r="B447" t="s">
        <v>112</v>
      </c>
      <c r="C447" t="s">
        <v>12</v>
      </c>
      <c r="D447">
        <v>1</v>
      </c>
      <c r="E447">
        <v>25</v>
      </c>
      <c r="F447">
        <v>9.3823299452697392E-3</v>
      </c>
      <c r="G447">
        <v>1279</v>
      </c>
      <c r="H447">
        <v>2.7992913434081501E-2</v>
      </c>
      <c r="I447">
        <v>292</v>
      </c>
      <c r="L447">
        <v>1.35013586191604E-2</v>
      </c>
      <c r="M447">
        <v>2.9218162907619898E-2</v>
      </c>
      <c r="N447">
        <v>2005</v>
      </c>
      <c r="O447" t="s">
        <v>13</v>
      </c>
      <c r="P447" t="s">
        <v>113</v>
      </c>
      <c r="Q447" t="s">
        <v>19</v>
      </c>
      <c r="R447" t="s">
        <v>20</v>
      </c>
    </row>
    <row r="448" spans="1:18" x14ac:dyDescent="0.25">
      <c r="A448" t="s">
        <v>111</v>
      </c>
      <c r="B448" t="s">
        <v>112</v>
      </c>
      <c r="C448" t="s">
        <v>12</v>
      </c>
      <c r="D448">
        <v>1</v>
      </c>
      <c r="E448">
        <v>35</v>
      </c>
      <c r="F448">
        <v>2.4024024024024E-2</v>
      </c>
      <c r="G448">
        <v>999</v>
      </c>
      <c r="H448">
        <v>3.6456494037039197E-2</v>
      </c>
      <c r="I448">
        <v>211</v>
      </c>
      <c r="L448">
        <v>1.4722697214769501E-2</v>
      </c>
      <c r="M448">
        <v>4.3907482964528101E-2</v>
      </c>
      <c r="N448">
        <v>2005</v>
      </c>
      <c r="O448" t="s">
        <v>13</v>
      </c>
      <c r="P448" t="s">
        <v>113</v>
      </c>
      <c r="Q448" t="s">
        <v>19</v>
      </c>
      <c r="R448" t="s">
        <v>20</v>
      </c>
    </row>
    <row r="449" spans="1:18" x14ac:dyDescent="0.25">
      <c r="A449" t="s">
        <v>111</v>
      </c>
      <c r="B449" t="s">
        <v>112</v>
      </c>
      <c r="C449" t="s">
        <v>12</v>
      </c>
      <c r="D449">
        <v>1</v>
      </c>
      <c r="E449">
        <v>45</v>
      </c>
      <c r="F449">
        <v>7.0048309178743995E-2</v>
      </c>
      <c r="G449">
        <v>828</v>
      </c>
      <c r="H449">
        <v>7.1191543537631394E-2</v>
      </c>
      <c r="I449">
        <v>171</v>
      </c>
      <c r="L449">
        <v>1.28773512189702E-2</v>
      </c>
      <c r="M449">
        <v>3.7496759531345299E-2</v>
      </c>
      <c r="N449">
        <v>2005</v>
      </c>
      <c r="O449" t="s">
        <v>13</v>
      </c>
      <c r="P449" t="s">
        <v>113</v>
      </c>
      <c r="Q449" t="s">
        <v>19</v>
      </c>
      <c r="R449" t="s">
        <v>20</v>
      </c>
    </row>
    <row r="450" spans="1:18" x14ac:dyDescent="0.25">
      <c r="A450" t="s">
        <v>111</v>
      </c>
      <c r="B450" t="s">
        <v>112</v>
      </c>
      <c r="C450" t="s">
        <v>12</v>
      </c>
      <c r="D450">
        <v>1</v>
      </c>
      <c r="E450">
        <v>55</v>
      </c>
      <c r="F450">
        <v>0.14689265536723201</v>
      </c>
      <c r="G450">
        <v>531</v>
      </c>
      <c r="H450">
        <v>9.2771162952652406E-2</v>
      </c>
      <c r="I450">
        <v>100</v>
      </c>
      <c r="L450">
        <v>1.3969193922740901E-2</v>
      </c>
      <c r="M450">
        <v>5.0633548291999501E-2</v>
      </c>
      <c r="N450">
        <v>2005</v>
      </c>
      <c r="O450" t="s">
        <v>13</v>
      </c>
      <c r="P450" t="s">
        <v>113</v>
      </c>
      <c r="Q450" t="s">
        <v>19</v>
      </c>
      <c r="R450" t="s">
        <v>20</v>
      </c>
    </row>
    <row r="451" spans="1:18" x14ac:dyDescent="0.25">
      <c r="A451" t="s">
        <v>111</v>
      </c>
      <c r="B451" t="s">
        <v>112</v>
      </c>
      <c r="C451" t="s">
        <v>12</v>
      </c>
      <c r="D451">
        <v>1</v>
      </c>
      <c r="E451">
        <v>63</v>
      </c>
      <c r="F451">
        <v>0.21904761904761899</v>
      </c>
      <c r="G451">
        <v>210</v>
      </c>
      <c r="H451">
        <v>0.134330926705514</v>
      </c>
      <c r="I451">
        <v>30</v>
      </c>
      <c r="L451">
        <v>2.8961188630554299E-2</v>
      </c>
      <c r="M451">
        <v>9.8322920301125799E-2</v>
      </c>
      <c r="N451">
        <v>2005</v>
      </c>
      <c r="O451" t="s">
        <v>13</v>
      </c>
      <c r="P451" t="s">
        <v>113</v>
      </c>
      <c r="Q451" t="s">
        <v>19</v>
      </c>
      <c r="R451" t="s">
        <v>20</v>
      </c>
    </row>
    <row r="452" spans="1:18" x14ac:dyDescent="0.25">
      <c r="A452" t="s">
        <v>111</v>
      </c>
      <c r="B452" t="s">
        <v>114</v>
      </c>
      <c r="C452" t="s">
        <v>12</v>
      </c>
      <c r="D452">
        <v>2</v>
      </c>
      <c r="E452">
        <v>19</v>
      </c>
      <c r="F452">
        <v>0</v>
      </c>
      <c r="G452">
        <v>90</v>
      </c>
      <c r="H452">
        <v>9.2512953983674706E-2</v>
      </c>
      <c r="I452">
        <v>44</v>
      </c>
      <c r="L452">
        <v>4.7624783324862197E-3</v>
      </c>
      <c r="M452">
        <v>0</v>
      </c>
      <c r="N452">
        <v>2011</v>
      </c>
      <c r="O452" t="s">
        <v>13</v>
      </c>
      <c r="P452" t="s">
        <v>113</v>
      </c>
      <c r="Q452" t="s">
        <v>19</v>
      </c>
      <c r="R452" t="s">
        <v>20</v>
      </c>
    </row>
    <row r="453" spans="1:18" x14ac:dyDescent="0.25">
      <c r="A453" t="s">
        <v>111</v>
      </c>
      <c r="B453" t="s">
        <v>114</v>
      </c>
      <c r="C453" t="s">
        <v>12</v>
      </c>
      <c r="D453">
        <v>2</v>
      </c>
      <c r="E453">
        <v>25</v>
      </c>
      <c r="F453">
        <v>3.5617985586936999E-3</v>
      </c>
      <c r="G453">
        <v>678</v>
      </c>
      <c r="H453">
        <v>0.10987532528070899</v>
      </c>
      <c r="I453">
        <v>277</v>
      </c>
      <c r="L453">
        <v>4.6551110385837898E-3</v>
      </c>
      <c r="M453">
        <v>2.2669927602835599E-3</v>
      </c>
      <c r="N453">
        <v>2011</v>
      </c>
      <c r="O453" t="s">
        <v>13</v>
      </c>
      <c r="P453" t="s">
        <v>113</v>
      </c>
      <c r="Q453" t="s">
        <v>19</v>
      </c>
      <c r="R453" t="s">
        <v>20</v>
      </c>
    </row>
    <row r="454" spans="1:18" x14ac:dyDescent="0.25">
      <c r="A454" t="s">
        <v>111</v>
      </c>
      <c r="B454" t="s">
        <v>114</v>
      </c>
      <c r="C454" t="s">
        <v>12</v>
      </c>
      <c r="D454">
        <v>2</v>
      </c>
      <c r="E454">
        <v>35</v>
      </c>
      <c r="F454">
        <v>1.8162891779866699E-2</v>
      </c>
      <c r="G454">
        <v>664</v>
      </c>
      <c r="H454">
        <v>0.112090459054247</v>
      </c>
      <c r="I454">
        <v>294</v>
      </c>
      <c r="L454">
        <v>2.1487083132601E-2</v>
      </c>
      <c r="M454">
        <v>1.8093908649444601E-2</v>
      </c>
      <c r="N454">
        <v>2011</v>
      </c>
      <c r="O454" t="s">
        <v>13</v>
      </c>
      <c r="P454" t="s">
        <v>113</v>
      </c>
      <c r="Q454" t="s">
        <v>19</v>
      </c>
      <c r="R454" t="s">
        <v>20</v>
      </c>
    </row>
    <row r="455" spans="1:18" x14ac:dyDescent="0.25">
      <c r="A455" t="s">
        <v>111</v>
      </c>
      <c r="B455" t="s">
        <v>114</v>
      </c>
      <c r="C455" t="s">
        <v>12</v>
      </c>
      <c r="D455">
        <v>2</v>
      </c>
      <c r="E455">
        <v>45</v>
      </c>
      <c r="F455">
        <v>0.14509071115909</v>
      </c>
      <c r="G455">
        <v>617</v>
      </c>
      <c r="H455">
        <v>0.121169003380111</v>
      </c>
      <c r="I455">
        <v>265</v>
      </c>
      <c r="L455">
        <v>1.19773166440261E-2</v>
      </c>
      <c r="M455">
        <v>2.9044213529485899E-2</v>
      </c>
      <c r="N455">
        <v>2011</v>
      </c>
      <c r="O455" t="s">
        <v>13</v>
      </c>
      <c r="P455" t="s">
        <v>113</v>
      </c>
      <c r="Q455" t="s">
        <v>19</v>
      </c>
      <c r="R455" t="s">
        <v>20</v>
      </c>
    </row>
    <row r="456" spans="1:18" x14ac:dyDescent="0.25">
      <c r="A456" t="s">
        <v>111</v>
      </c>
      <c r="B456" t="s">
        <v>114</v>
      </c>
      <c r="C456" t="s">
        <v>12</v>
      </c>
      <c r="D456">
        <v>2</v>
      </c>
      <c r="E456">
        <v>55</v>
      </c>
      <c r="F456">
        <v>0.181852485831482</v>
      </c>
      <c r="G456">
        <v>564</v>
      </c>
      <c r="H456">
        <v>0.249949335175214</v>
      </c>
      <c r="I456">
        <v>208</v>
      </c>
      <c r="L456">
        <v>1.51940284794884E-2</v>
      </c>
      <c r="M456">
        <v>1.5669486894236601E-2</v>
      </c>
      <c r="N456">
        <v>2011</v>
      </c>
      <c r="O456" t="s">
        <v>13</v>
      </c>
      <c r="P456" t="s">
        <v>113</v>
      </c>
      <c r="Q456" t="s">
        <v>19</v>
      </c>
      <c r="R456" t="s">
        <v>20</v>
      </c>
    </row>
    <row r="457" spans="1:18" x14ac:dyDescent="0.25">
      <c r="A457" t="s">
        <v>111</v>
      </c>
      <c r="B457" t="s">
        <v>114</v>
      </c>
      <c r="C457" t="s">
        <v>12</v>
      </c>
      <c r="D457">
        <v>2</v>
      </c>
      <c r="E457">
        <v>63</v>
      </c>
      <c r="F457">
        <v>0.24435454471834001</v>
      </c>
      <c r="G457">
        <v>346</v>
      </c>
      <c r="H457">
        <v>0.29921045695579701</v>
      </c>
      <c r="I457">
        <v>121</v>
      </c>
      <c r="L457">
        <v>1.29451886343198E-2</v>
      </c>
      <c r="M457">
        <v>1.1882222068068399E-2</v>
      </c>
      <c r="N457">
        <v>2011</v>
      </c>
      <c r="O457" t="s">
        <v>13</v>
      </c>
      <c r="P457" t="s">
        <v>113</v>
      </c>
      <c r="Q457" t="s">
        <v>19</v>
      </c>
      <c r="R457" t="s">
        <v>20</v>
      </c>
    </row>
    <row r="458" spans="1:18" x14ac:dyDescent="0.25">
      <c r="A458" t="s">
        <v>111</v>
      </c>
      <c r="B458" t="s">
        <v>114</v>
      </c>
      <c r="C458" t="s">
        <v>12</v>
      </c>
      <c r="D458">
        <v>1</v>
      </c>
      <c r="E458">
        <v>19</v>
      </c>
      <c r="F458">
        <v>0</v>
      </c>
      <c r="G458">
        <v>87</v>
      </c>
      <c r="H458">
        <v>5.3012055333733897E-2</v>
      </c>
      <c r="I458">
        <v>29</v>
      </c>
      <c r="L458">
        <v>6.83639313429315E-3</v>
      </c>
      <c r="M458">
        <v>0</v>
      </c>
      <c r="N458">
        <v>2011</v>
      </c>
      <c r="O458" t="s">
        <v>13</v>
      </c>
      <c r="P458" t="s">
        <v>113</v>
      </c>
      <c r="Q458" t="s">
        <v>19</v>
      </c>
      <c r="R458" t="s">
        <v>20</v>
      </c>
    </row>
    <row r="459" spans="1:18" x14ac:dyDescent="0.25">
      <c r="A459" t="s">
        <v>111</v>
      </c>
      <c r="B459" t="s">
        <v>114</v>
      </c>
      <c r="C459" t="s">
        <v>12</v>
      </c>
      <c r="D459">
        <v>1</v>
      </c>
      <c r="E459">
        <v>25</v>
      </c>
      <c r="F459">
        <v>1.41797799609591E-2</v>
      </c>
      <c r="G459">
        <v>362</v>
      </c>
      <c r="H459">
        <v>0.30629461032536498</v>
      </c>
      <c r="I459">
        <v>152</v>
      </c>
      <c r="L459">
        <v>2.1166761297911102E-3</v>
      </c>
      <c r="M459">
        <v>5.3147792309607596E-4</v>
      </c>
      <c r="N459">
        <v>2011</v>
      </c>
      <c r="O459" t="s">
        <v>13</v>
      </c>
      <c r="P459" t="s">
        <v>113</v>
      </c>
      <c r="Q459" t="s">
        <v>19</v>
      </c>
      <c r="R459" t="s">
        <v>20</v>
      </c>
    </row>
    <row r="460" spans="1:18" x14ac:dyDescent="0.25">
      <c r="A460" t="s">
        <v>111</v>
      </c>
      <c r="B460" t="s">
        <v>114</v>
      </c>
      <c r="C460" t="s">
        <v>12</v>
      </c>
      <c r="D460">
        <v>1</v>
      </c>
      <c r="E460">
        <v>35</v>
      </c>
      <c r="F460">
        <v>2.4192388542071799E-2</v>
      </c>
      <c r="G460">
        <v>389</v>
      </c>
      <c r="H460">
        <v>0.11262350755268399</v>
      </c>
      <c r="I460">
        <v>135</v>
      </c>
      <c r="L460">
        <v>7.3604480080520004E-3</v>
      </c>
      <c r="M460">
        <v>7.0646551706787996E-3</v>
      </c>
      <c r="N460">
        <v>2011</v>
      </c>
      <c r="O460" t="s">
        <v>13</v>
      </c>
      <c r="P460" t="s">
        <v>113</v>
      </c>
      <c r="Q460" t="s">
        <v>19</v>
      </c>
      <c r="R460" t="s">
        <v>20</v>
      </c>
    </row>
    <row r="461" spans="1:18" x14ac:dyDescent="0.25">
      <c r="A461" t="s">
        <v>111</v>
      </c>
      <c r="B461" t="s">
        <v>114</v>
      </c>
      <c r="C461" t="s">
        <v>12</v>
      </c>
      <c r="D461">
        <v>1</v>
      </c>
      <c r="E461">
        <v>45</v>
      </c>
      <c r="F461">
        <v>0.10004768296734499</v>
      </c>
      <c r="G461">
        <v>402</v>
      </c>
      <c r="H461">
        <v>0.11326681008987401</v>
      </c>
      <c r="I461">
        <v>152</v>
      </c>
      <c r="L461">
        <v>1.01652649082568E-2</v>
      </c>
      <c r="M461">
        <v>2.0432823141248498E-2</v>
      </c>
      <c r="N461">
        <v>2011</v>
      </c>
      <c r="O461" t="s">
        <v>13</v>
      </c>
      <c r="P461" t="s">
        <v>113</v>
      </c>
      <c r="Q461" t="s">
        <v>19</v>
      </c>
      <c r="R461" t="s">
        <v>20</v>
      </c>
    </row>
    <row r="462" spans="1:18" x14ac:dyDescent="0.25">
      <c r="A462" t="s">
        <v>111</v>
      </c>
      <c r="B462" t="s">
        <v>114</v>
      </c>
      <c r="C462" t="s">
        <v>12</v>
      </c>
      <c r="D462">
        <v>1</v>
      </c>
      <c r="E462">
        <v>55</v>
      </c>
      <c r="F462">
        <v>0.31789746414623699</v>
      </c>
      <c r="G462">
        <v>316</v>
      </c>
      <c r="H462">
        <v>0.16354567111794999</v>
      </c>
      <c r="I462">
        <v>126</v>
      </c>
      <c r="L462">
        <v>3.9135683531234602E-3</v>
      </c>
      <c r="M462">
        <v>1.12388470673191E-2</v>
      </c>
      <c r="N462">
        <v>2011</v>
      </c>
      <c r="O462" t="s">
        <v>13</v>
      </c>
      <c r="P462" t="s">
        <v>113</v>
      </c>
      <c r="Q462" t="s">
        <v>19</v>
      </c>
      <c r="R462" t="s">
        <v>20</v>
      </c>
    </row>
    <row r="463" spans="1:18" x14ac:dyDescent="0.25">
      <c r="A463" t="s">
        <v>111</v>
      </c>
      <c r="B463" t="s">
        <v>114</v>
      </c>
      <c r="C463" t="s">
        <v>12</v>
      </c>
      <c r="D463">
        <v>1</v>
      </c>
      <c r="E463">
        <v>63</v>
      </c>
      <c r="F463">
        <v>0.33576709406083199</v>
      </c>
      <c r="G463">
        <v>184</v>
      </c>
      <c r="H463">
        <v>0.25897998809712802</v>
      </c>
      <c r="I463">
        <v>63</v>
      </c>
      <c r="L463">
        <v>3.4948312188622502E-2</v>
      </c>
      <c r="M463">
        <v>5.4295879638499099E-2</v>
      </c>
      <c r="N463">
        <v>2011</v>
      </c>
      <c r="O463" t="s">
        <v>13</v>
      </c>
      <c r="P463" t="s">
        <v>113</v>
      </c>
      <c r="Q463" t="s">
        <v>19</v>
      </c>
      <c r="R463" t="s">
        <v>20</v>
      </c>
    </row>
    <row r="464" spans="1:18" x14ac:dyDescent="0.25">
      <c r="A464" t="s">
        <v>111</v>
      </c>
      <c r="B464" t="s">
        <v>115</v>
      </c>
      <c r="C464" t="s">
        <v>12</v>
      </c>
      <c r="D464">
        <v>2</v>
      </c>
      <c r="E464">
        <v>19</v>
      </c>
      <c r="F464">
        <v>1.51070743954468E-2</v>
      </c>
      <c r="G464">
        <v>116</v>
      </c>
      <c r="H464">
        <v>4.86762381968978E-2</v>
      </c>
      <c r="I464">
        <v>84</v>
      </c>
      <c r="L464">
        <v>8.6641235115062706E-3</v>
      </c>
      <c r="M464">
        <v>1.55559745982079E-2</v>
      </c>
      <c r="N464">
        <v>2017</v>
      </c>
      <c r="O464" t="s">
        <v>13</v>
      </c>
      <c r="P464" t="s">
        <v>113</v>
      </c>
      <c r="Q464" t="s">
        <v>19</v>
      </c>
      <c r="R464" t="s">
        <v>20</v>
      </c>
    </row>
    <row r="465" spans="1:18" x14ac:dyDescent="0.25">
      <c r="A465" t="s">
        <v>111</v>
      </c>
      <c r="B465" t="s">
        <v>115</v>
      </c>
      <c r="C465" t="s">
        <v>12</v>
      </c>
      <c r="D465">
        <v>2</v>
      </c>
      <c r="E465">
        <v>25</v>
      </c>
      <c r="F465">
        <v>5.9052369805068696E-3</v>
      </c>
      <c r="G465">
        <v>591</v>
      </c>
      <c r="H465">
        <v>0.110536240051627</v>
      </c>
      <c r="I465">
        <v>415</v>
      </c>
      <c r="L465">
        <v>6.5658706736121796E-3</v>
      </c>
      <c r="M465">
        <v>3.76531857904071E-3</v>
      </c>
      <c r="N465">
        <v>2017</v>
      </c>
      <c r="O465" t="s">
        <v>13</v>
      </c>
      <c r="P465" t="s">
        <v>113</v>
      </c>
      <c r="Q465" t="s">
        <v>19</v>
      </c>
      <c r="R465" t="s">
        <v>20</v>
      </c>
    </row>
    <row r="466" spans="1:18" x14ac:dyDescent="0.25">
      <c r="A466" t="s">
        <v>111</v>
      </c>
      <c r="B466" t="s">
        <v>115</v>
      </c>
      <c r="C466" t="s">
        <v>12</v>
      </c>
      <c r="D466">
        <v>2</v>
      </c>
      <c r="E466">
        <v>35</v>
      </c>
      <c r="F466">
        <v>2.6040055860304199E-2</v>
      </c>
      <c r="G466">
        <v>978</v>
      </c>
      <c r="H466">
        <v>0.140449409547205</v>
      </c>
      <c r="I466">
        <v>708</v>
      </c>
      <c r="L466">
        <v>1.24373307171016E-2</v>
      </c>
      <c r="M466">
        <v>1.00878095829296E-2</v>
      </c>
      <c r="N466">
        <v>2017</v>
      </c>
      <c r="O466" t="s">
        <v>13</v>
      </c>
      <c r="P466" t="s">
        <v>113</v>
      </c>
      <c r="Q466" t="s">
        <v>19</v>
      </c>
      <c r="R466" t="s">
        <v>20</v>
      </c>
    </row>
    <row r="467" spans="1:18" x14ac:dyDescent="0.25">
      <c r="A467" t="s">
        <v>111</v>
      </c>
      <c r="B467" t="s">
        <v>115</v>
      </c>
      <c r="C467" t="s">
        <v>12</v>
      </c>
      <c r="D467">
        <v>2</v>
      </c>
      <c r="E467">
        <v>45</v>
      </c>
      <c r="F467">
        <v>8.5959052044451797E-2</v>
      </c>
      <c r="G467">
        <v>672</v>
      </c>
      <c r="H467">
        <v>0.17363980208528901</v>
      </c>
      <c r="I467">
        <v>453</v>
      </c>
      <c r="L467">
        <v>1.19442011204344E-2</v>
      </c>
      <c r="M467">
        <v>1.3786186036633801E-2</v>
      </c>
      <c r="N467">
        <v>2017</v>
      </c>
      <c r="O467" t="s">
        <v>13</v>
      </c>
      <c r="P467" t="s">
        <v>113</v>
      </c>
      <c r="Q467" t="s">
        <v>19</v>
      </c>
      <c r="R467" t="s">
        <v>20</v>
      </c>
    </row>
    <row r="468" spans="1:18" x14ac:dyDescent="0.25">
      <c r="A468" t="s">
        <v>111</v>
      </c>
      <c r="B468" t="s">
        <v>115</v>
      </c>
      <c r="C468" t="s">
        <v>12</v>
      </c>
      <c r="D468">
        <v>2</v>
      </c>
      <c r="E468">
        <v>55</v>
      </c>
      <c r="F468">
        <v>0.21769982366320101</v>
      </c>
      <c r="G468">
        <v>681</v>
      </c>
      <c r="H468">
        <v>0.25554329947991</v>
      </c>
      <c r="I468">
        <v>406</v>
      </c>
      <c r="L468">
        <v>8.4242185123451704E-3</v>
      </c>
      <c r="M468">
        <v>9.7884002562729291E-3</v>
      </c>
      <c r="N468">
        <v>2017</v>
      </c>
      <c r="O468" t="s">
        <v>13</v>
      </c>
      <c r="P468" t="s">
        <v>113</v>
      </c>
      <c r="Q468" t="s">
        <v>19</v>
      </c>
      <c r="R468" t="s">
        <v>20</v>
      </c>
    </row>
    <row r="469" spans="1:18" x14ac:dyDescent="0.25">
      <c r="A469" t="s">
        <v>111</v>
      </c>
      <c r="B469" t="s">
        <v>115</v>
      </c>
      <c r="C469" t="s">
        <v>12</v>
      </c>
      <c r="D469">
        <v>2</v>
      </c>
      <c r="E469">
        <v>65</v>
      </c>
      <c r="F469">
        <v>0.30883898851643099</v>
      </c>
      <c r="G469">
        <v>631</v>
      </c>
      <c r="H469">
        <v>0.28919777887328602</v>
      </c>
      <c r="I469">
        <v>308</v>
      </c>
      <c r="L469">
        <v>9.4210319996139696E-3</v>
      </c>
      <c r="M469">
        <v>1.14167917708728E-2</v>
      </c>
      <c r="N469">
        <v>2017</v>
      </c>
      <c r="O469" t="s">
        <v>13</v>
      </c>
      <c r="P469" t="s">
        <v>113</v>
      </c>
      <c r="Q469" t="s">
        <v>19</v>
      </c>
      <c r="R469" t="s">
        <v>20</v>
      </c>
    </row>
    <row r="470" spans="1:18" x14ac:dyDescent="0.25">
      <c r="A470" t="s">
        <v>111</v>
      </c>
      <c r="B470" t="s">
        <v>115</v>
      </c>
      <c r="C470" t="s">
        <v>12</v>
      </c>
      <c r="D470">
        <v>1</v>
      </c>
      <c r="E470">
        <v>19</v>
      </c>
      <c r="F470">
        <v>1.9756539543403302E-2</v>
      </c>
      <c r="G470">
        <v>96</v>
      </c>
      <c r="H470">
        <v>5.8209136971582101E-2</v>
      </c>
      <c r="I470">
        <v>62</v>
      </c>
      <c r="L470">
        <v>7.7160834637361999E-3</v>
      </c>
      <c r="M470">
        <v>1.33869695530472E-2</v>
      </c>
      <c r="N470">
        <v>2017</v>
      </c>
      <c r="O470" t="s">
        <v>13</v>
      </c>
      <c r="P470" t="s">
        <v>113</v>
      </c>
      <c r="Q470" t="s">
        <v>19</v>
      </c>
      <c r="R470" t="s">
        <v>20</v>
      </c>
    </row>
    <row r="471" spans="1:18" x14ac:dyDescent="0.25">
      <c r="A471" t="s">
        <v>111</v>
      </c>
      <c r="B471" t="s">
        <v>115</v>
      </c>
      <c r="C471" t="s">
        <v>12</v>
      </c>
      <c r="D471">
        <v>1</v>
      </c>
      <c r="E471">
        <v>25</v>
      </c>
      <c r="F471">
        <v>5.9214353727157498E-3</v>
      </c>
      <c r="G471">
        <v>358</v>
      </c>
      <c r="H471">
        <v>7.7235245495516594E-2</v>
      </c>
      <c r="I471">
        <v>212</v>
      </c>
      <c r="L471">
        <v>8.1768833370461404E-3</v>
      </c>
      <c r="M471">
        <v>6.3969472443749197E-3</v>
      </c>
      <c r="N471">
        <v>2017</v>
      </c>
      <c r="O471" t="s">
        <v>13</v>
      </c>
      <c r="P471" t="s">
        <v>113</v>
      </c>
      <c r="Q471" t="s">
        <v>19</v>
      </c>
      <c r="R471" t="s">
        <v>20</v>
      </c>
    </row>
    <row r="472" spans="1:18" x14ac:dyDescent="0.25">
      <c r="A472" t="s">
        <v>111</v>
      </c>
      <c r="B472" t="s">
        <v>115</v>
      </c>
      <c r="C472" t="s">
        <v>12</v>
      </c>
      <c r="D472">
        <v>1</v>
      </c>
      <c r="E472">
        <v>35</v>
      </c>
      <c r="F472">
        <v>2.65134863195607E-2</v>
      </c>
      <c r="G472">
        <v>429</v>
      </c>
      <c r="H472">
        <v>0.131408474394379</v>
      </c>
      <c r="I472">
        <v>268</v>
      </c>
      <c r="L472">
        <v>9.1289638431916106E-3</v>
      </c>
      <c r="M472">
        <v>7.9980670398027299E-3</v>
      </c>
      <c r="N472">
        <v>2017</v>
      </c>
      <c r="O472" t="s">
        <v>13</v>
      </c>
      <c r="P472" t="s">
        <v>113</v>
      </c>
      <c r="Q472" t="s">
        <v>19</v>
      </c>
      <c r="R472" t="s">
        <v>20</v>
      </c>
    </row>
    <row r="473" spans="1:18" x14ac:dyDescent="0.25">
      <c r="A473" t="s">
        <v>111</v>
      </c>
      <c r="B473" t="s">
        <v>115</v>
      </c>
      <c r="C473" t="s">
        <v>12</v>
      </c>
      <c r="D473">
        <v>1</v>
      </c>
      <c r="E473">
        <v>45</v>
      </c>
      <c r="F473">
        <v>0.101419175505123</v>
      </c>
      <c r="G473">
        <v>461</v>
      </c>
      <c r="H473">
        <v>0.18450729625741999</v>
      </c>
      <c r="I473">
        <v>258</v>
      </c>
      <c r="L473">
        <v>8.8808430893206492E-3</v>
      </c>
      <c r="M473">
        <v>1.0630014120892499E-2</v>
      </c>
      <c r="N473">
        <v>2017</v>
      </c>
      <c r="O473" t="s">
        <v>13</v>
      </c>
      <c r="P473" t="s">
        <v>113</v>
      </c>
      <c r="Q473" t="s">
        <v>19</v>
      </c>
      <c r="R473" t="s">
        <v>20</v>
      </c>
    </row>
    <row r="474" spans="1:18" x14ac:dyDescent="0.25">
      <c r="A474" t="s">
        <v>111</v>
      </c>
      <c r="B474" t="s">
        <v>115</v>
      </c>
      <c r="C474" t="s">
        <v>12</v>
      </c>
      <c r="D474">
        <v>1</v>
      </c>
      <c r="E474">
        <v>55</v>
      </c>
      <c r="F474">
        <v>0.129656002362388</v>
      </c>
      <c r="G474">
        <v>376</v>
      </c>
      <c r="H474">
        <v>0.20052473993518799</v>
      </c>
      <c r="I474">
        <v>202</v>
      </c>
      <c r="L474">
        <v>8.6262281947611097E-3</v>
      </c>
      <c r="M474">
        <v>1.04040377197968E-2</v>
      </c>
      <c r="N474">
        <v>2017</v>
      </c>
      <c r="O474" t="s">
        <v>13</v>
      </c>
      <c r="P474" t="s">
        <v>113</v>
      </c>
      <c r="Q474" t="s">
        <v>19</v>
      </c>
      <c r="R474" t="s">
        <v>20</v>
      </c>
    </row>
    <row r="475" spans="1:18" x14ac:dyDescent="0.25">
      <c r="A475" t="s">
        <v>111</v>
      </c>
      <c r="B475" t="s">
        <v>115</v>
      </c>
      <c r="C475" t="s">
        <v>12</v>
      </c>
      <c r="D475">
        <v>1</v>
      </c>
      <c r="E475">
        <v>65</v>
      </c>
      <c r="F475">
        <v>0.236443651261251</v>
      </c>
      <c r="G475">
        <v>374</v>
      </c>
      <c r="H475">
        <v>0.23221761353922599</v>
      </c>
      <c r="I475">
        <v>200</v>
      </c>
      <c r="L475">
        <v>8.5160009119275605E-3</v>
      </c>
      <c r="M475">
        <v>1.26175443813432E-2</v>
      </c>
      <c r="N475">
        <v>2017</v>
      </c>
      <c r="O475" t="s">
        <v>13</v>
      </c>
      <c r="P475" t="s">
        <v>113</v>
      </c>
      <c r="Q475" t="s">
        <v>19</v>
      </c>
      <c r="R475" t="s">
        <v>20</v>
      </c>
    </row>
    <row r="476" spans="1:18" x14ac:dyDescent="0.25">
      <c r="A476" t="s">
        <v>116</v>
      </c>
      <c r="B476" t="s">
        <v>117</v>
      </c>
      <c r="C476" t="s">
        <v>12</v>
      </c>
      <c r="D476">
        <v>2</v>
      </c>
      <c r="E476">
        <v>27.5</v>
      </c>
      <c r="F476">
        <v>4.98831978397589E-3</v>
      </c>
      <c r="G476">
        <v>803</v>
      </c>
      <c r="H476">
        <v>3.1085609163984299E-2</v>
      </c>
      <c r="I476">
        <v>711</v>
      </c>
      <c r="L476">
        <v>1.1151655684005101E-2</v>
      </c>
      <c r="M476">
        <v>1.6169161491637399E-2</v>
      </c>
      <c r="N476">
        <v>2010</v>
      </c>
      <c r="O476" t="s">
        <v>13</v>
      </c>
      <c r="P476" t="s">
        <v>118</v>
      </c>
      <c r="Q476" t="s">
        <v>94</v>
      </c>
      <c r="R476" t="s">
        <v>44</v>
      </c>
    </row>
    <row r="477" spans="1:18" x14ac:dyDescent="0.25">
      <c r="A477" t="s">
        <v>116</v>
      </c>
      <c r="B477" t="s">
        <v>117</v>
      </c>
      <c r="C477" t="s">
        <v>12</v>
      </c>
      <c r="D477">
        <v>2</v>
      </c>
      <c r="E477">
        <v>35</v>
      </c>
      <c r="F477">
        <v>7.3463780642559397E-3</v>
      </c>
      <c r="G477">
        <v>1192</v>
      </c>
      <c r="H477">
        <v>2.7906821920178699E-2</v>
      </c>
      <c r="I477">
        <v>1055</v>
      </c>
      <c r="L477">
        <v>1.8783886564707301E-2</v>
      </c>
      <c r="M477">
        <v>3.5417613812937801E-2</v>
      </c>
      <c r="N477">
        <v>2010</v>
      </c>
      <c r="O477" t="s">
        <v>13</v>
      </c>
      <c r="P477" t="s">
        <v>118</v>
      </c>
      <c r="Q477" t="s">
        <v>94</v>
      </c>
      <c r="R477" t="s">
        <v>44</v>
      </c>
    </row>
    <row r="478" spans="1:18" x14ac:dyDescent="0.25">
      <c r="A478" t="s">
        <v>116</v>
      </c>
      <c r="B478" t="s">
        <v>117</v>
      </c>
      <c r="C478" t="s">
        <v>12</v>
      </c>
      <c r="D478">
        <v>2</v>
      </c>
      <c r="E478">
        <v>45</v>
      </c>
      <c r="F478">
        <v>7.52296182386002E-3</v>
      </c>
      <c r="G478">
        <v>977</v>
      </c>
      <c r="H478">
        <v>3.3053395258708797E-2</v>
      </c>
      <c r="I478">
        <v>884</v>
      </c>
      <c r="L478">
        <v>3.0552624897256998E-2</v>
      </c>
      <c r="M478">
        <v>5.0349971661125703E-2</v>
      </c>
      <c r="N478">
        <v>2010</v>
      </c>
      <c r="O478" t="s">
        <v>13</v>
      </c>
      <c r="P478" t="s">
        <v>118</v>
      </c>
      <c r="Q478" t="s">
        <v>94</v>
      </c>
      <c r="R478" t="s">
        <v>44</v>
      </c>
    </row>
    <row r="479" spans="1:18" x14ac:dyDescent="0.25">
      <c r="A479" t="s">
        <v>116</v>
      </c>
      <c r="B479" t="s">
        <v>117</v>
      </c>
      <c r="C479" t="s">
        <v>12</v>
      </c>
      <c r="D479">
        <v>2</v>
      </c>
      <c r="E479">
        <v>55</v>
      </c>
      <c r="F479">
        <v>3.9874889384179601E-2</v>
      </c>
      <c r="G479">
        <v>686</v>
      </c>
      <c r="H479">
        <v>6.1552231136192001E-2</v>
      </c>
      <c r="I479">
        <v>604</v>
      </c>
      <c r="L479">
        <v>2.0944676787600199E-2</v>
      </c>
      <c r="M479">
        <v>4.9078829704141201E-2</v>
      </c>
      <c r="N479">
        <v>2010</v>
      </c>
      <c r="O479" t="s">
        <v>13</v>
      </c>
      <c r="P479" t="s">
        <v>118</v>
      </c>
      <c r="Q479" t="s">
        <v>94</v>
      </c>
      <c r="R479" t="s">
        <v>44</v>
      </c>
    </row>
    <row r="480" spans="1:18" x14ac:dyDescent="0.25">
      <c r="A480" t="s">
        <v>116</v>
      </c>
      <c r="B480" t="s">
        <v>117</v>
      </c>
      <c r="C480" t="s">
        <v>12</v>
      </c>
      <c r="D480">
        <v>2</v>
      </c>
      <c r="E480">
        <v>65</v>
      </c>
      <c r="F480">
        <v>3.1802389396673701E-2</v>
      </c>
      <c r="G480">
        <v>484</v>
      </c>
      <c r="H480">
        <v>6.7211748065572799E-2</v>
      </c>
      <c r="I480">
        <v>437</v>
      </c>
      <c r="L480">
        <v>3.1648527737636899E-2</v>
      </c>
      <c r="M480">
        <v>6.0195400007156702E-2</v>
      </c>
      <c r="N480">
        <v>2010</v>
      </c>
      <c r="O480" t="s">
        <v>13</v>
      </c>
      <c r="P480" t="s">
        <v>118</v>
      </c>
      <c r="Q480" t="s">
        <v>94</v>
      </c>
      <c r="R480" t="s">
        <v>44</v>
      </c>
    </row>
    <row r="481" spans="1:18" x14ac:dyDescent="0.25">
      <c r="A481" t="s">
        <v>116</v>
      </c>
      <c r="B481" t="s">
        <v>117</v>
      </c>
      <c r="C481" t="s">
        <v>12</v>
      </c>
      <c r="D481">
        <v>2</v>
      </c>
      <c r="E481">
        <v>72.5</v>
      </c>
      <c r="F481">
        <v>3.4433551615139897E-2</v>
      </c>
      <c r="G481">
        <v>167</v>
      </c>
      <c r="H481">
        <v>0.120884212775082</v>
      </c>
      <c r="I481">
        <v>141</v>
      </c>
      <c r="L481">
        <v>3.2496934167665498E-2</v>
      </c>
      <c r="M481">
        <v>3.4228976779996902E-2</v>
      </c>
      <c r="N481">
        <v>2010</v>
      </c>
      <c r="O481" t="s">
        <v>13</v>
      </c>
      <c r="P481" t="s">
        <v>118</v>
      </c>
      <c r="Q481" t="s">
        <v>94</v>
      </c>
      <c r="R481" t="s">
        <v>44</v>
      </c>
    </row>
    <row r="482" spans="1:18" x14ac:dyDescent="0.25">
      <c r="A482" t="s">
        <v>116</v>
      </c>
      <c r="B482" t="s">
        <v>117</v>
      </c>
      <c r="C482" t="s">
        <v>12</v>
      </c>
      <c r="D482">
        <v>1</v>
      </c>
      <c r="E482">
        <v>27.5</v>
      </c>
      <c r="F482">
        <v>6.4494636825915101E-3</v>
      </c>
      <c r="G482">
        <v>149</v>
      </c>
      <c r="H482">
        <v>4.2947146183022797E-2</v>
      </c>
      <c r="I482">
        <v>133</v>
      </c>
      <c r="L482">
        <v>6.0316352633891599E-3</v>
      </c>
      <c r="M482">
        <v>7.7430017326755498E-3</v>
      </c>
      <c r="N482">
        <v>2010</v>
      </c>
      <c r="O482" t="s">
        <v>13</v>
      </c>
      <c r="P482" t="s">
        <v>118</v>
      </c>
      <c r="Q482" t="s">
        <v>94</v>
      </c>
      <c r="R482" t="s">
        <v>44</v>
      </c>
    </row>
    <row r="483" spans="1:18" x14ac:dyDescent="0.25">
      <c r="A483" t="s">
        <v>116</v>
      </c>
      <c r="B483" t="s">
        <v>117</v>
      </c>
      <c r="C483" t="s">
        <v>12</v>
      </c>
      <c r="D483">
        <v>1</v>
      </c>
      <c r="E483">
        <v>35</v>
      </c>
      <c r="F483">
        <v>1.6738076571333398E-2</v>
      </c>
      <c r="G483">
        <v>277</v>
      </c>
      <c r="H483">
        <v>3.8476730211266401E-2</v>
      </c>
      <c r="I483">
        <v>248</v>
      </c>
      <c r="L483">
        <v>1.60097665877207E-2</v>
      </c>
      <c r="M483">
        <v>3.4546621410868797E-2</v>
      </c>
      <c r="N483">
        <v>2010</v>
      </c>
      <c r="O483" t="s">
        <v>13</v>
      </c>
      <c r="P483" t="s">
        <v>118</v>
      </c>
      <c r="Q483" t="s">
        <v>94</v>
      </c>
      <c r="R483" t="s">
        <v>44</v>
      </c>
    </row>
    <row r="484" spans="1:18" x14ac:dyDescent="0.25">
      <c r="A484" t="s">
        <v>116</v>
      </c>
      <c r="B484" t="s">
        <v>117</v>
      </c>
      <c r="C484" t="s">
        <v>12</v>
      </c>
      <c r="D484">
        <v>1</v>
      </c>
      <c r="E484">
        <v>45</v>
      </c>
      <c r="F484">
        <v>4.2003959810648098E-2</v>
      </c>
      <c r="G484">
        <v>334</v>
      </c>
      <c r="H484">
        <v>5.6808577131271597E-2</v>
      </c>
      <c r="I484">
        <v>293</v>
      </c>
      <c r="L484">
        <v>1.3318420583021301E-2</v>
      </c>
      <c r="M484">
        <v>3.4928551662013703E-2</v>
      </c>
      <c r="N484">
        <v>2010</v>
      </c>
      <c r="O484" t="s">
        <v>13</v>
      </c>
      <c r="P484" t="s">
        <v>118</v>
      </c>
      <c r="Q484" t="s">
        <v>94</v>
      </c>
      <c r="R484" t="s">
        <v>44</v>
      </c>
    </row>
    <row r="485" spans="1:18" x14ac:dyDescent="0.25">
      <c r="A485" t="s">
        <v>116</v>
      </c>
      <c r="B485" t="s">
        <v>117</v>
      </c>
      <c r="C485" t="s">
        <v>12</v>
      </c>
      <c r="D485">
        <v>1</v>
      </c>
      <c r="E485">
        <v>55</v>
      </c>
      <c r="F485">
        <v>3.0319031391394601E-2</v>
      </c>
      <c r="G485">
        <v>446</v>
      </c>
      <c r="H485">
        <v>5.00973016501189E-2</v>
      </c>
      <c r="I485">
        <v>394</v>
      </c>
      <c r="L485">
        <v>1.9433684240277301E-2</v>
      </c>
      <c r="M485">
        <v>4.6781336681100301E-2</v>
      </c>
      <c r="N485">
        <v>2010</v>
      </c>
      <c r="O485" t="s">
        <v>13</v>
      </c>
      <c r="P485" t="s">
        <v>118</v>
      </c>
      <c r="Q485" t="s">
        <v>94</v>
      </c>
      <c r="R485" t="s">
        <v>44</v>
      </c>
    </row>
    <row r="486" spans="1:18" x14ac:dyDescent="0.25">
      <c r="A486" t="s">
        <v>116</v>
      </c>
      <c r="B486" t="s">
        <v>117</v>
      </c>
      <c r="C486" t="s">
        <v>12</v>
      </c>
      <c r="D486">
        <v>1</v>
      </c>
      <c r="E486">
        <v>65</v>
      </c>
      <c r="F486">
        <v>5.2619337459544301E-2</v>
      </c>
      <c r="G486">
        <v>337</v>
      </c>
      <c r="H486">
        <v>6.8617896740198595E-2</v>
      </c>
      <c r="I486">
        <v>303</v>
      </c>
      <c r="L486">
        <v>2.3825603386818401E-2</v>
      </c>
      <c r="M486">
        <v>5.7044698967516398E-2</v>
      </c>
      <c r="N486">
        <v>2010</v>
      </c>
      <c r="O486" t="s">
        <v>13</v>
      </c>
      <c r="P486" t="s">
        <v>118</v>
      </c>
      <c r="Q486" t="s">
        <v>94</v>
      </c>
      <c r="R486" t="s">
        <v>44</v>
      </c>
    </row>
    <row r="487" spans="1:18" x14ac:dyDescent="0.25">
      <c r="A487" t="s">
        <v>116</v>
      </c>
      <c r="B487" t="s">
        <v>117</v>
      </c>
      <c r="C487" t="s">
        <v>12</v>
      </c>
      <c r="D487">
        <v>1</v>
      </c>
      <c r="E487">
        <v>72.5</v>
      </c>
      <c r="F487">
        <v>6.2396203286130297E-2</v>
      </c>
      <c r="G487">
        <v>182</v>
      </c>
      <c r="H487">
        <v>7.3405484289990997E-2</v>
      </c>
      <c r="I487">
        <v>154</v>
      </c>
      <c r="L487">
        <v>2.1903121641212699E-2</v>
      </c>
      <c r="M487">
        <v>5.5804306136355002E-2</v>
      </c>
      <c r="N487">
        <v>2010</v>
      </c>
      <c r="O487" t="s">
        <v>13</v>
      </c>
      <c r="P487" t="s">
        <v>118</v>
      </c>
      <c r="Q487" t="s">
        <v>94</v>
      </c>
      <c r="R487" t="s">
        <v>44</v>
      </c>
    </row>
    <row r="488" spans="1:18" x14ac:dyDescent="0.25">
      <c r="A488" t="s">
        <v>119</v>
      </c>
      <c r="B488" t="s">
        <v>120</v>
      </c>
      <c r="C488" t="s">
        <v>12</v>
      </c>
      <c r="D488">
        <v>2</v>
      </c>
      <c r="E488">
        <v>19</v>
      </c>
      <c r="F488">
        <v>0</v>
      </c>
      <c r="G488">
        <v>271</v>
      </c>
      <c r="H488">
        <v>2.8247156348209498E-2</v>
      </c>
      <c r="I488">
        <v>243</v>
      </c>
      <c r="L488">
        <v>2.0998538794136799E-2</v>
      </c>
      <c r="M488">
        <v>0</v>
      </c>
      <c r="N488">
        <v>2015</v>
      </c>
      <c r="O488" t="s">
        <v>13</v>
      </c>
      <c r="P488" t="s">
        <v>121</v>
      </c>
      <c r="Q488" t="s">
        <v>94</v>
      </c>
      <c r="R488" t="s">
        <v>44</v>
      </c>
    </row>
    <row r="489" spans="1:18" x14ac:dyDescent="0.25">
      <c r="A489" t="s">
        <v>119</v>
      </c>
      <c r="B489" t="s">
        <v>120</v>
      </c>
      <c r="C489" t="s">
        <v>12</v>
      </c>
      <c r="D489">
        <v>2</v>
      </c>
      <c r="E489">
        <v>25</v>
      </c>
      <c r="F489">
        <v>5.9488399762046404E-4</v>
      </c>
      <c r="G489">
        <v>1681</v>
      </c>
      <c r="H489">
        <v>2.1061074635686901E-2</v>
      </c>
      <c r="I489">
        <v>1486</v>
      </c>
      <c r="L489">
        <v>3.4558985308826798E-2</v>
      </c>
      <c r="M489">
        <v>2.9358538834047699E-2</v>
      </c>
      <c r="N489">
        <v>2015</v>
      </c>
      <c r="O489" t="s">
        <v>13</v>
      </c>
      <c r="P489" t="s">
        <v>121</v>
      </c>
      <c r="Q489" t="s">
        <v>94</v>
      </c>
      <c r="R489" t="s">
        <v>44</v>
      </c>
    </row>
    <row r="490" spans="1:18" x14ac:dyDescent="0.25">
      <c r="A490" t="s">
        <v>119</v>
      </c>
      <c r="B490" t="s">
        <v>120</v>
      </c>
      <c r="C490" t="s">
        <v>12</v>
      </c>
      <c r="D490">
        <v>2</v>
      </c>
      <c r="E490">
        <v>35</v>
      </c>
      <c r="F490">
        <v>2.0891364902507E-3</v>
      </c>
      <c r="G490">
        <v>1436</v>
      </c>
      <c r="H490">
        <v>3.0021520770201301E-2</v>
      </c>
      <c r="I490">
        <v>1289</v>
      </c>
      <c r="L490">
        <v>3.97847429160764E-2</v>
      </c>
      <c r="M490">
        <v>4.0371511791395899E-2</v>
      </c>
      <c r="N490">
        <v>2015</v>
      </c>
      <c r="O490" t="s">
        <v>13</v>
      </c>
      <c r="P490" t="s">
        <v>121</v>
      </c>
      <c r="Q490" t="s">
        <v>94</v>
      </c>
      <c r="R490" t="s">
        <v>44</v>
      </c>
    </row>
    <row r="491" spans="1:18" x14ac:dyDescent="0.25">
      <c r="A491" t="s">
        <v>119</v>
      </c>
      <c r="B491" t="s">
        <v>120</v>
      </c>
      <c r="C491" t="s">
        <v>12</v>
      </c>
      <c r="D491">
        <v>2</v>
      </c>
      <c r="E491">
        <v>45</v>
      </c>
      <c r="F491">
        <v>9.5124851367419695E-3</v>
      </c>
      <c r="G491">
        <v>841</v>
      </c>
      <c r="H491">
        <v>3.8901120652045401E-2</v>
      </c>
      <c r="I491">
        <v>761</v>
      </c>
      <c r="L491">
        <v>4.4407917881043597E-2</v>
      </c>
      <c r="M491">
        <v>7.1440469654047697E-2</v>
      </c>
      <c r="N491">
        <v>2015</v>
      </c>
      <c r="O491" t="s">
        <v>13</v>
      </c>
      <c r="P491" t="s">
        <v>121</v>
      </c>
      <c r="Q491" t="s">
        <v>94</v>
      </c>
      <c r="R491" t="s">
        <v>44</v>
      </c>
    </row>
    <row r="492" spans="1:18" x14ac:dyDescent="0.25">
      <c r="A492" t="s">
        <v>119</v>
      </c>
      <c r="B492" t="s">
        <v>120</v>
      </c>
      <c r="C492" t="s">
        <v>12</v>
      </c>
      <c r="D492">
        <v>2</v>
      </c>
      <c r="E492">
        <v>55</v>
      </c>
      <c r="F492">
        <v>1.77619893428064E-2</v>
      </c>
      <c r="G492">
        <v>563</v>
      </c>
      <c r="H492">
        <v>5.64063553976384E-2</v>
      </c>
      <c r="I492">
        <v>500</v>
      </c>
      <c r="L492">
        <v>4.25676984336733E-2</v>
      </c>
      <c r="M492">
        <v>6.6843765815987694E-2</v>
      </c>
      <c r="N492">
        <v>2015</v>
      </c>
      <c r="O492" t="s">
        <v>13</v>
      </c>
      <c r="P492" t="s">
        <v>121</v>
      </c>
      <c r="Q492" t="s">
        <v>94</v>
      </c>
      <c r="R492" t="s">
        <v>44</v>
      </c>
    </row>
    <row r="493" spans="1:18" x14ac:dyDescent="0.25">
      <c r="A493" t="s">
        <v>119</v>
      </c>
      <c r="B493" t="s">
        <v>120</v>
      </c>
      <c r="C493" t="s">
        <v>12</v>
      </c>
      <c r="D493">
        <v>2</v>
      </c>
      <c r="E493">
        <v>65</v>
      </c>
      <c r="F493">
        <v>3.2835820895522401E-2</v>
      </c>
      <c r="G493">
        <v>335</v>
      </c>
      <c r="H493">
        <v>7.8198915147657005E-2</v>
      </c>
      <c r="I493">
        <v>301</v>
      </c>
      <c r="L493">
        <v>3.6154504634719302E-2</v>
      </c>
      <c r="M493">
        <v>5.6378550377573201E-2</v>
      </c>
      <c r="N493">
        <v>2015</v>
      </c>
      <c r="O493" t="s">
        <v>13</v>
      </c>
      <c r="P493" t="s">
        <v>121</v>
      </c>
      <c r="Q493" t="s">
        <v>94</v>
      </c>
      <c r="R493" t="s">
        <v>44</v>
      </c>
    </row>
    <row r="494" spans="1:18" x14ac:dyDescent="0.25">
      <c r="A494" t="s">
        <v>119</v>
      </c>
      <c r="B494" t="s">
        <v>120</v>
      </c>
      <c r="C494" t="s">
        <v>12</v>
      </c>
      <c r="D494">
        <v>1</v>
      </c>
      <c r="E494">
        <v>19</v>
      </c>
      <c r="F494">
        <v>0</v>
      </c>
      <c r="G494">
        <v>206</v>
      </c>
      <c r="H494">
        <v>1.00011284274999E-2</v>
      </c>
      <c r="I494">
        <v>183</v>
      </c>
      <c r="L494">
        <v>3.8972521613804198E-2</v>
      </c>
      <c r="M494">
        <v>0</v>
      </c>
      <c r="N494">
        <v>2015</v>
      </c>
      <c r="O494" t="s">
        <v>13</v>
      </c>
      <c r="P494" t="s">
        <v>121</v>
      </c>
      <c r="Q494" t="s">
        <v>94</v>
      </c>
      <c r="R494" t="s">
        <v>44</v>
      </c>
    </row>
    <row r="495" spans="1:18" x14ac:dyDescent="0.25">
      <c r="A495" t="s">
        <v>119</v>
      </c>
      <c r="B495" t="s">
        <v>120</v>
      </c>
      <c r="C495" t="s">
        <v>12</v>
      </c>
      <c r="D495">
        <v>1</v>
      </c>
      <c r="E495">
        <v>25</v>
      </c>
      <c r="F495">
        <v>1.9723865877711998E-3</v>
      </c>
      <c r="G495">
        <v>1014</v>
      </c>
      <c r="H495">
        <v>1.8906145882099198E-2</v>
      </c>
      <c r="I495">
        <v>896</v>
      </c>
      <c r="L495">
        <v>2.6776982625361399E-2</v>
      </c>
      <c r="M495">
        <v>3.6692151536490802E-2</v>
      </c>
      <c r="N495">
        <v>2015</v>
      </c>
      <c r="O495" t="s">
        <v>13</v>
      </c>
      <c r="P495" t="s">
        <v>121</v>
      </c>
      <c r="Q495" t="s">
        <v>94</v>
      </c>
      <c r="R495" t="s">
        <v>44</v>
      </c>
    </row>
    <row r="496" spans="1:18" x14ac:dyDescent="0.25">
      <c r="A496" t="s">
        <v>119</v>
      </c>
      <c r="B496" t="s">
        <v>120</v>
      </c>
      <c r="C496" t="s">
        <v>12</v>
      </c>
      <c r="D496">
        <v>1</v>
      </c>
      <c r="E496">
        <v>35</v>
      </c>
      <c r="F496">
        <v>3.8572806171649002E-3</v>
      </c>
      <c r="G496">
        <v>1037</v>
      </c>
      <c r="H496">
        <v>2.8761735035109801E-2</v>
      </c>
      <c r="I496">
        <v>925</v>
      </c>
      <c r="L496">
        <v>2.5260010964866301E-2</v>
      </c>
      <c r="M496">
        <v>3.35228661736163E-2</v>
      </c>
      <c r="N496">
        <v>2015</v>
      </c>
      <c r="O496" t="s">
        <v>13</v>
      </c>
      <c r="P496" t="s">
        <v>121</v>
      </c>
      <c r="Q496" t="s">
        <v>94</v>
      </c>
      <c r="R496" t="s">
        <v>44</v>
      </c>
    </row>
    <row r="497" spans="1:18" x14ac:dyDescent="0.25">
      <c r="A497" t="s">
        <v>119</v>
      </c>
      <c r="B497" t="s">
        <v>120</v>
      </c>
      <c r="C497" t="s">
        <v>12</v>
      </c>
      <c r="D497">
        <v>1</v>
      </c>
      <c r="E497">
        <v>45</v>
      </c>
      <c r="F497">
        <v>2.86123032904149E-3</v>
      </c>
      <c r="G497">
        <v>699</v>
      </c>
      <c r="H497">
        <v>4.3692610858411002E-2</v>
      </c>
      <c r="I497">
        <v>612</v>
      </c>
      <c r="L497">
        <v>2.9142837565244099E-2</v>
      </c>
      <c r="M497">
        <v>2.5246963340009001E-2</v>
      </c>
      <c r="N497">
        <v>2015</v>
      </c>
      <c r="O497" t="s">
        <v>13</v>
      </c>
      <c r="P497" t="s">
        <v>121</v>
      </c>
      <c r="Q497" t="s">
        <v>94</v>
      </c>
      <c r="R497" t="s">
        <v>44</v>
      </c>
    </row>
    <row r="498" spans="1:18" x14ac:dyDescent="0.25">
      <c r="A498" t="s">
        <v>119</v>
      </c>
      <c r="B498" t="s">
        <v>120</v>
      </c>
      <c r="C498" t="s">
        <v>12</v>
      </c>
      <c r="D498">
        <v>1</v>
      </c>
      <c r="E498">
        <v>55</v>
      </c>
      <c r="F498">
        <v>1.87891440501044E-2</v>
      </c>
      <c r="G498">
        <v>479</v>
      </c>
      <c r="H498">
        <v>7.21377080165789E-2</v>
      </c>
      <c r="I498">
        <v>426</v>
      </c>
      <c r="L498">
        <v>2.6465207999653101E-2</v>
      </c>
      <c r="M498">
        <v>3.3743655933911001E-2</v>
      </c>
      <c r="N498">
        <v>2015</v>
      </c>
      <c r="O498" t="s">
        <v>13</v>
      </c>
      <c r="P498" t="s">
        <v>121</v>
      </c>
      <c r="Q498" t="s">
        <v>94</v>
      </c>
      <c r="R498" t="s">
        <v>44</v>
      </c>
    </row>
    <row r="499" spans="1:18" x14ac:dyDescent="0.25">
      <c r="A499" t="s">
        <v>119</v>
      </c>
      <c r="B499" t="s">
        <v>120</v>
      </c>
      <c r="C499" t="s">
        <v>12</v>
      </c>
      <c r="D499">
        <v>1</v>
      </c>
      <c r="E499">
        <v>65</v>
      </c>
      <c r="F499">
        <v>2.8391167192429002E-2</v>
      </c>
      <c r="G499">
        <v>317</v>
      </c>
      <c r="H499">
        <v>9.6824998406939006E-2</v>
      </c>
      <c r="I499">
        <v>282</v>
      </c>
      <c r="L499">
        <v>3.3106840183898797E-2</v>
      </c>
      <c r="M499">
        <v>3.9492974172051998E-2</v>
      </c>
      <c r="N499">
        <v>2015</v>
      </c>
      <c r="O499" t="s">
        <v>13</v>
      </c>
      <c r="P499" t="s">
        <v>121</v>
      </c>
      <c r="Q499" t="s">
        <v>94</v>
      </c>
      <c r="R499" t="s">
        <v>44</v>
      </c>
    </row>
    <row r="500" spans="1:18" x14ac:dyDescent="0.25">
      <c r="A500" t="s">
        <v>122</v>
      </c>
      <c r="B500" t="s">
        <v>123</v>
      </c>
      <c r="C500" t="s">
        <v>12</v>
      </c>
      <c r="D500">
        <v>2</v>
      </c>
      <c r="E500">
        <v>27.5</v>
      </c>
      <c r="F500">
        <v>2.0492559586728501E-3</v>
      </c>
      <c r="G500">
        <v>411</v>
      </c>
      <c r="H500">
        <v>3.6337819054327099E-2</v>
      </c>
      <c r="I500">
        <v>147</v>
      </c>
      <c r="L500">
        <v>6.6659520343073904E-3</v>
      </c>
      <c r="M500">
        <v>6.5360489742010801E-3</v>
      </c>
      <c r="N500">
        <v>2002</v>
      </c>
      <c r="O500" t="s">
        <v>13</v>
      </c>
      <c r="P500" t="s">
        <v>124</v>
      </c>
      <c r="Q500" t="s">
        <v>125</v>
      </c>
      <c r="R500" t="s">
        <v>34</v>
      </c>
    </row>
    <row r="501" spans="1:18" x14ac:dyDescent="0.25">
      <c r="A501" t="s">
        <v>122</v>
      </c>
      <c r="B501" t="s">
        <v>123</v>
      </c>
      <c r="C501" t="s">
        <v>12</v>
      </c>
      <c r="D501">
        <v>2</v>
      </c>
      <c r="E501">
        <v>35</v>
      </c>
      <c r="F501">
        <v>7.6919180806973696E-3</v>
      </c>
      <c r="G501">
        <v>949</v>
      </c>
      <c r="H501">
        <v>4.6879846010296003E-2</v>
      </c>
      <c r="I501">
        <v>419</v>
      </c>
      <c r="L501">
        <v>1.0046564844776101E-2</v>
      </c>
      <c r="M501">
        <v>1.3416947878687699E-2</v>
      </c>
      <c r="N501">
        <v>2002</v>
      </c>
      <c r="O501" t="s">
        <v>13</v>
      </c>
      <c r="P501" t="s">
        <v>124</v>
      </c>
      <c r="Q501" t="s">
        <v>125</v>
      </c>
      <c r="R501" t="s">
        <v>34</v>
      </c>
    </row>
    <row r="502" spans="1:18" x14ac:dyDescent="0.25">
      <c r="A502" t="s">
        <v>122</v>
      </c>
      <c r="B502" t="s">
        <v>123</v>
      </c>
      <c r="C502" t="s">
        <v>12</v>
      </c>
      <c r="D502">
        <v>2</v>
      </c>
      <c r="E502">
        <v>45</v>
      </c>
      <c r="F502">
        <v>5.2825153949187E-2</v>
      </c>
      <c r="G502">
        <v>871</v>
      </c>
      <c r="H502">
        <v>7.6371480679993206E-2</v>
      </c>
      <c r="I502">
        <v>401</v>
      </c>
      <c r="L502">
        <v>7.9383375955368596E-3</v>
      </c>
      <c r="M502">
        <v>1.8894884706780701E-2</v>
      </c>
      <c r="N502">
        <v>2002</v>
      </c>
      <c r="O502" t="s">
        <v>13</v>
      </c>
      <c r="P502" t="s">
        <v>124</v>
      </c>
      <c r="Q502" t="s">
        <v>125</v>
      </c>
      <c r="R502" t="s">
        <v>34</v>
      </c>
    </row>
    <row r="503" spans="1:18" x14ac:dyDescent="0.25">
      <c r="A503" t="s">
        <v>122</v>
      </c>
      <c r="B503" t="s">
        <v>123</v>
      </c>
      <c r="C503" t="s">
        <v>12</v>
      </c>
      <c r="D503">
        <v>2</v>
      </c>
      <c r="E503">
        <v>55</v>
      </c>
      <c r="F503">
        <v>0.115263103496392</v>
      </c>
      <c r="G503">
        <v>576</v>
      </c>
      <c r="H503">
        <v>0.20959488881736699</v>
      </c>
      <c r="I503">
        <v>276</v>
      </c>
      <c r="L503">
        <v>6.0095651420009003E-3</v>
      </c>
      <c r="M503">
        <v>6.5003748348926001E-3</v>
      </c>
      <c r="N503">
        <v>2002</v>
      </c>
      <c r="O503" t="s">
        <v>13</v>
      </c>
      <c r="P503" t="s">
        <v>124</v>
      </c>
      <c r="Q503" t="s">
        <v>125</v>
      </c>
      <c r="R503" t="s">
        <v>34</v>
      </c>
    </row>
    <row r="504" spans="1:18" x14ac:dyDescent="0.25">
      <c r="A504" t="s">
        <v>122</v>
      </c>
      <c r="B504" t="s">
        <v>123</v>
      </c>
      <c r="C504" t="s">
        <v>12</v>
      </c>
      <c r="D504">
        <v>2</v>
      </c>
      <c r="E504">
        <v>62.5</v>
      </c>
      <c r="F504">
        <v>0.19053641172805799</v>
      </c>
      <c r="G504">
        <v>178</v>
      </c>
      <c r="H504">
        <v>0.103480964424287</v>
      </c>
      <c r="I504">
        <v>73</v>
      </c>
      <c r="L504">
        <v>1.37947243703571E-2</v>
      </c>
      <c r="M504">
        <v>5.5073860604182401E-2</v>
      </c>
      <c r="N504">
        <v>2002</v>
      </c>
      <c r="O504" t="s">
        <v>13</v>
      </c>
      <c r="P504" t="s">
        <v>124</v>
      </c>
      <c r="Q504" t="s">
        <v>125</v>
      </c>
      <c r="R504" t="s">
        <v>34</v>
      </c>
    </row>
    <row r="505" spans="1:18" x14ac:dyDescent="0.25">
      <c r="A505" t="s">
        <v>122</v>
      </c>
      <c r="B505" t="s">
        <v>123</v>
      </c>
      <c r="C505" t="s">
        <v>12</v>
      </c>
      <c r="D505">
        <v>1</v>
      </c>
      <c r="E505">
        <v>27.5</v>
      </c>
      <c r="F505">
        <v>3.9866980085882502E-3</v>
      </c>
      <c r="G505">
        <v>288</v>
      </c>
      <c r="H505">
        <v>2.5768452937019602E-2</v>
      </c>
      <c r="I505">
        <v>96</v>
      </c>
      <c r="L505">
        <v>9.07997501201919E-3</v>
      </c>
      <c r="M505">
        <v>1.4800585713224601E-2</v>
      </c>
      <c r="N505">
        <v>2002</v>
      </c>
      <c r="O505" t="s">
        <v>13</v>
      </c>
      <c r="P505" t="s">
        <v>124</v>
      </c>
      <c r="Q505" t="s">
        <v>125</v>
      </c>
      <c r="R505" t="s">
        <v>34</v>
      </c>
    </row>
    <row r="506" spans="1:18" x14ac:dyDescent="0.25">
      <c r="A506" t="s">
        <v>122</v>
      </c>
      <c r="B506" t="s">
        <v>123</v>
      </c>
      <c r="C506" t="s">
        <v>12</v>
      </c>
      <c r="D506">
        <v>1</v>
      </c>
      <c r="E506">
        <v>35</v>
      </c>
      <c r="F506">
        <v>1.2365660942833799E-2</v>
      </c>
      <c r="G506">
        <v>608</v>
      </c>
      <c r="H506">
        <v>3.1290393233829199E-2</v>
      </c>
      <c r="I506">
        <v>241</v>
      </c>
      <c r="L506">
        <v>7.4480593055707501E-3</v>
      </c>
      <c r="M506">
        <v>1.8501750544540601E-2</v>
      </c>
      <c r="N506">
        <v>2002</v>
      </c>
      <c r="O506" t="s">
        <v>13</v>
      </c>
      <c r="P506" t="s">
        <v>124</v>
      </c>
      <c r="Q506" t="s">
        <v>125</v>
      </c>
      <c r="R506" t="s">
        <v>34</v>
      </c>
    </row>
    <row r="507" spans="1:18" x14ac:dyDescent="0.25">
      <c r="A507" t="s">
        <v>122</v>
      </c>
      <c r="B507" t="s">
        <v>123</v>
      </c>
      <c r="C507" t="s">
        <v>12</v>
      </c>
      <c r="D507">
        <v>1</v>
      </c>
      <c r="E507">
        <v>45</v>
      </c>
      <c r="F507">
        <v>1.8672823443701799E-2</v>
      </c>
      <c r="G507">
        <v>589</v>
      </c>
      <c r="H507">
        <v>0.111139540597431</v>
      </c>
      <c r="I507">
        <v>267</v>
      </c>
      <c r="L507">
        <v>4.8522091513321297E-3</v>
      </c>
      <c r="M507">
        <v>4.4960716534912402E-3</v>
      </c>
      <c r="N507">
        <v>2002</v>
      </c>
      <c r="O507" t="s">
        <v>13</v>
      </c>
      <c r="P507" t="s">
        <v>124</v>
      </c>
      <c r="Q507" t="s">
        <v>125</v>
      </c>
      <c r="R507" t="s">
        <v>34</v>
      </c>
    </row>
    <row r="508" spans="1:18" x14ac:dyDescent="0.25">
      <c r="A508" t="s">
        <v>122</v>
      </c>
      <c r="B508" t="s">
        <v>123</v>
      </c>
      <c r="C508" t="s">
        <v>12</v>
      </c>
      <c r="D508">
        <v>1</v>
      </c>
      <c r="E508">
        <v>55</v>
      </c>
      <c r="F508">
        <v>0.106019848125256</v>
      </c>
      <c r="G508">
        <v>407</v>
      </c>
      <c r="H508">
        <v>8.1149773475336501E-2</v>
      </c>
      <c r="I508">
        <v>172</v>
      </c>
      <c r="L508">
        <v>8.2801509721647203E-3</v>
      </c>
      <c r="M508">
        <v>2.9094081194813302E-2</v>
      </c>
      <c r="N508">
        <v>2002</v>
      </c>
      <c r="O508" t="s">
        <v>13</v>
      </c>
      <c r="P508" t="s">
        <v>124</v>
      </c>
      <c r="Q508" t="s">
        <v>125</v>
      </c>
      <c r="R508" t="s">
        <v>34</v>
      </c>
    </row>
    <row r="509" spans="1:18" x14ac:dyDescent="0.25">
      <c r="A509" t="s">
        <v>122</v>
      </c>
      <c r="B509" t="s">
        <v>123</v>
      </c>
      <c r="C509" t="s">
        <v>12</v>
      </c>
      <c r="D509">
        <v>1</v>
      </c>
      <c r="E509">
        <v>62.5</v>
      </c>
      <c r="F509">
        <v>0.10482467185277999</v>
      </c>
      <c r="G509">
        <v>163</v>
      </c>
      <c r="H509">
        <v>8.0120282911738894E-2</v>
      </c>
      <c r="I509">
        <v>57</v>
      </c>
      <c r="L509">
        <v>7.2709454949605899E-3</v>
      </c>
      <c r="M509">
        <v>2.5679893809205101E-2</v>
      </c>
      <c r="N509">
        <v>2002</v>
      </c>
      <c r="O509" t="s">
        <v>13</v>
      </c>
      <c r="P509" t="s">
        <v>124</v>
      </c>
      <c r="Q509" t="s">
        <v>125</v>
      </c>
      <c r="R509" t="s">
        <v>34</v>
      </c>
    </row>
    <row r="510" spans="1:18" x14ac:dyDescent="0.25">
      <c r="A510" t="s">
        <v>122</v>
      </c>
      <c r="B510" t="s">
        <v>126</v>
      </c>
      <c r="C510" t="s">
        <v>12</v>
      </c>
      <c r="D510">
        <v>2</v>
      </c>
      <c r="E510">
        <v>27.5</v>
      </c>
      <c r="F510">
        <v>0</v>
      </c>
      <c r="G510">
        <v>150</v>
      </c>
      <c r="H510">
        <v>4.9766370971489698E-2</v>
      </c>
      <c r="I510">
        <v>146</v>
      </c>
      <c r="L510">
        <v>4.7104637115341297E-2</v>
      </c>
      <c r="M510">
        <v>0</v>
      </c>
      <c r="N510">
        <v>2011</v>
      </c>
      <c r="O510" t="s">
        <v>13</v>
      </c>
      <c r="P510" t="s">
        <v>124</v>
      </c>
      <c r="Q510" t="s">
        <v>125</v>
      </c>
      <c r="R510" t="s">
        <v>34</v>
      </c>
    </row>
    <row r="511" spans="1:18" x14ac:dyDescent="0.25">
      <c r="A511" t="s">
        <v>122</v>
      </c>
      <c r="B511" t="s">
        <v>126</v>
      </c>
      <c r="C511" t="s">
        <v>12</v>
      </c>
      <c r="D511">
        <v>2</v>
      </c>
      <c r="E511">
        <v>35</v>
      </c>
      <c r="F511">
        <v>1.7693278311220799E-2</v>
      </c>
      <c r="G511">
        <v>343</v>
      </c>
      <c r="H511">
        <v>0.10593555460048699</v>
      </c>
      <c r="I511">
        <v>321</v>
      </c>
      <c r="L511">
        <v>2.5157059026134201E-2</v>
      </c>
      <c r="M511">
        <v>2.1066764628802599E-2</v>
      </c>
      <c r="N511">
        <v>2011</v>
      </c>
      <c r="O511" t="s">
        <v>13</v>
      </c>
      <c r="P511" t="s">
        <v>124</v>
      </c>
      <c r="Q511" t="s">
        <v>125</v>
      </c>
      <c r="R511" t="s">
        <v>34</v>
      </c>
    </row>
    <row r="512" spans="1:18" x14ac:dyDescent="0.25">
      <c r="A512" t="s">
        <v>122</v>
      </c>
      <c r="B512" t="s">
        <v>126</v>
      </c>
      <c r="C512" t="s">
        <v>12</v>
      </c>
      <c r="D512">
        <v>2</v>
      </c>
      <c r="E512">
        <v>45</v>
      </c>
      <c r="F512">
        <v>6.3418820083271904E-2</v>
      </c>
      <c r="G512">
        <v>439</v>
      </c>
      <c r="H512">
        <v>0.17696040044675701</v>
      </c>
      <c r="I512">
        <v>386</v>
      </c>
      <c r="L512">
        <v>2.6263707437099802E-2</v>
      </c>
      <c r="M512">
        <v>2.2772185252272498E-2</v>
      </c>
      <c r="N512">
        <v>2011</v>
      </c>
      <c r="O512" t="s">
        <v>13</v>
      </c>
      <c r="P512" t="s">
        <v>124</v>
      </c>
      <c r="Q512" t="s">
        <v>125</v>
      </c>
      <c r="R512" t="s">
        <v>34</v>
      </c>
    </row>
    <row r="513" spans="1:18" x14ac:dyDescent="0.25">
      <c r="A513" t="s">
        <v>122</v>
      </c>
      <c r="B513" t="s">
        <v>126</v>
      </c>
      <c r="C513" t="s">
        <v>12</v>
      </c>
      <c r="D513">
        <v>2</v>
      </c>
      <c r="E513">
        <v>55</v>
      </c>
      <c r="F513">
        <v>0.113134547477812</v>
      </c>
      <c r="G513">
        <v>352</v>
      </c>
      <c r="H513">
        <v>0.291134858320302</v>
      </c>
      <c r="I513">
        <v>297</v>
      </c>
      <c r="L513">
        <v>3.1551075017415997E-2</v>
      </c>
      <c r="M513">
        <v>1.80877059036041E-2</v>
      </c>
      <c r="N513">
        <v>2011</v>
      </c>
      <c r="O513" t="s">
        <v>13</v>
      </c>
      <c r="P513" t="s">
        <v>124</v>
      </c>
      <c r="Q513" t="s">
        <v>125</v>
      </c>
      <c r="R513" t="s">
        <v>34</v>
      </c>
    </row>
    <row r="514" spans="1:18" x14ac:dyDescent="0.25">
      <c r="A514" t="s">
        <v>122</v>
      </c>
      <c r="B514" t="s">
        <v>126</v>
      </c>
      <c r="C514" t="s">
        <v>12</v>
      </c>
      <c r="D514">
        <v>2</v>
      </c>
      <c r="E514">
        <v>62.5</v>
      </c>
      <c r="F514">
        <v>0.186216623302871</v>
      </c>
      <c r="G514">
        <v>110</v>
      </c>
      <c r="H514">
        <v>0.23662397160326101</v>
      </c>
      <c r="I514">
        <v>83</v>
      </c>
      <c r="L514">
        <v>3.8662855508222203E-2</v>
      </c>
      <c r="M514">
        <v>4.1244551885789897E-2</v>
      </c>
      <c r="N514">
        <v>2011</v>
      </c>
      <c r="O514" t="s">
        <v>13</v>
      </c>
      <c r="P514" t="s">
        <v>124</v>
      </c>
      <c r="Q514" t="s">
        <v>125</v>
      </c>
      <c r="R514" t="s">
        <v>34</v>
      </c>
    </row>
    <row r="515" spans="1:18" x14ac:dyDescent="0.25">
      <c r="A515" t="s">
        <v>122</v>
      </c>
      <c r="B515" t="s">
        <v>126</v>
      </c>
      <c r="C515" t="s">
        <v>12</v>
      </c>
      <c r="D515">
        <v>1</v>
      </c>
      <c r="E515">
        <v>27.5</v>
      </c>
      <c r="F515">
        <v>1.27020516584053E-2</v>
      </c>
      <c r="G515">
        <v>123</v>
      </c>
      <c r="H515">
        <v>2.4579494465925798E-2</v>
      </c>
      <c r="I515">
        <v>107</v>
      </c>
      <c r="L515">
        <v>4.9916354512126303E-2</v>
      </c>
      <c r="M515">
        <v>0.14821959947104399</v>
      </c>
      <c r="N515">
        <v>2011</v>
      </c>
      <c r="O515" t="s">
        <v>13</v>
      </c>
      <c r="P515" t="s">
        <v>124</v>
      </c>
      <c r="Q515" t="s">
        <v>125</v>
      </c>
      <c r="R515" t="s">
        <v>34</v>
      </c>
    </row>
    <row r="516" spans="1:18" x14ac:dyDescent="0.25">
      <c r="A516" t="s">
        <v>122</v>
      </c>
      <c r="B516" t="s">
        <v>126</v>
      </c>
      <c r="C516" t="s">
        <v>12</v>
      </c>
      <c r="D516">
        <v>1</v>
      </c>
      <c r="E516">
        <v>35</v>
      </c>
      <c r="F516">
        <v>0</v>
      </c>
      <c r="G516">
        <v>265</v>
      </c>
      <c r="H516">
        <v>7.3351005100947705E-2</v>
      </c>
      <c r="I516">
        <v>247</v>
      </c>
      <c r="L516">
        <v>4.0036386369393301E-2</v>
      </c>
      <c r="M516">
        <v>0</v>
      </c>
      <c r="N516">
        <v>2011</v>
      </c>
      <c r="O516" t="s">
        <v>13</v>
      </c>
      <c r="P516" t="s">
        <v>124</v>
      </c>
      <c r="Q516" t="s">
        <v>125</v>
      </c>
      <c r="R516" t="s">
        <v>34</v>
      </c>
    </row>
    <row r="517" spans="1:18" x14ac:dyDescent="0.25">
      <c r="A517" t="s">
        <v>122</v>
      </c>
      <c r="B517" t="s">
        <v>126</v>
      </c>
      <c r="C517" t="s">
        <v>12</v>
      </c>
      <c r="D517">
        <v>1</v>
      </c>
      <c r="E517">
        <v>45</v>
      </c>
      <c r="F517">
        <v>4.5804481224164799E-2</v>
      </c>
      <c r="G517">
        <v>326</v>
      </c>
      <c r="H517">
        <v>0.131450572234876</v>
      </c>
      <c r="I517">
        <v>278</v>
      </c>
      <c r="L517">
        <v>2.8697759128189001E-2</v>
      </c>
      <c r="M517">
        <v>2.9855746552360798E-2</v>
      </c>
      <c r="N517">
        <v>2011</v>
      </c>
      <c r="O517" t="s">
        <v>13</v>
      </c>
      <c r="P517" t="s">
        <v>124</v>
      </c>
      <c r="Q517" t="s">
        <v>125</v>
      </c>
      <c r="R517" t="s">
        <v>34</v>
      </c>
    </row>
    <row r="518" spans="1:18" x14ac:dyDescent="0.25">
      <c r="A518" t="s">
        <v>122</v>
      </c>
      <c r="B518" t="s">
        <v>126</v>
      </c>
      <c r="C518" t="s">
        <v>12</v>
      </c>
      <c r="D518">
        <v>1</v>
      </c>
      <c r="E518">
        <v>55</v>
      </c>
      <c r="F518">
        <v>9.7729805426706104E-2</v>
      </c>
      <c r="G518">
        <v>298</v>
      </c>
      <c r="H518">
        <v>0.246959129465876</v>
      </c>
      <c r="I518">
        <v>253</v>
      </c>
      <c r="L518">
        <v>2.38818317978076E-2</v>
      </c>
      <c r="M518">
        <v>1.6582098493031602E-2</v>
      </c>
      <c r="N518">
        <v>2011</v>
      </c>
      <c r="O518" t="s">
        <v>13</v>
      </c>
      <c r="P518" t="s">
        <v>124</v>
      </c>
      <c r="Q518" t="s">
        <v>125</v>
      </c>
      <c r="R518" t="s">
        <v>34</v>
      </c>
    </row>
    <row r="519" spans="1:18" x14ac:dyDescent="0.25">
      <c r="A519" t="s">
        <v>122</v>
      </c>
      <c r="B519" t="s">
        <v>126</v>
      </c>
      <c r="C519" t="s">
        <v>12</v>
      </c>
      <c r="D519">
        <v>1</v>
      </c>
      <c r="E519">
        <v>62.5</v>
      </c>
      <c r="F519">
        <v>0.211870518348201</v>
      </c>
      <c r="G519">
        <v>84</v>
      </c>
      <c r="H519">
        <v>0.21841391840100699</v>
      </c>
      <c r="I519">
        <v>62</v>
      </c>
      <c r="L519">
        <v>2.6893575120793298E-2</v>
      </c>
      <c r="M519">
        <v>3.4385439208107701E-2</v>
      </c>
      <c r="N519">
        <v>2011</v>
      </c>
      <c r="O519" t="s">
        <v>13</v>
      </c>
      <c r="P519" t="s">
        <v>124</v>
      </c>
      <c r="Q519" t="s">
        <v>125</v>
      </c>
      <c r="R519" t="s">
        <v>34</v>
      </c>
    </row>
    <row r="520" spans="1:18" x14ac:dyDescent="0.25">
      <c r="A520" t="s">
        <v>127</v>
      </c>
      <c r="B520" t="s">
        <v>128</v>
      </c>
      <c r="C520" t="s">
        <v>12</v>
      </c>
      <c r="D520">
        <v>2</v>
      </c>
      <c r="E520">
        <v>27.5</v>
      </c>
      <c r="F520">
        <v>4.3795620437956199E-2</v>
      </c>
      <c r="G520">
        <v>137</v>
      </c>
      <c r="H520">
        <v>5.4228608921906001E-2</v>
      </c>
      <c r="I520">
        <v>24</v>
      </c>
      <c r="L520">
        <v>7.0772209258981303E-3</v>
      </c>
      <c r="M520">
        <v>2.1195288882011401E-2</v>
      </c>
      <c r="N520">
        <v>2002</v>
      </c>
      <c r="O520" t="s">
        <v>53</v>
      </c>
      <c r="P520" t="s">
        <v>129</v>
      </c>
      <c r="Q520" t="s">
        <v>33</v>
      </c>
      <c r="R520" t="s">
        <v>34</v>
      </c>
    </row>
    <row r="521" spans="1:18" x14ac:dyDescent="0.25">
      <c r="A521" t="s">
        <v>127</v>
      </c>
      <c r="B521" t="s">
        <v>128</v>
      </c>
      <c r="C521" t="s">
        <v>12</v>
      </c>
      <c r="D521">
        <v>2</v>
      </c>
      <c r="E521">
        <v>35</v>
      </c>
      <c r="F521">
        <v>6.0836501901140698E-2</v>
      </c>
      <c r="G521">
        <v>263</v>
      </c>
      <c r="H521">
        <v>0.104031728193096</v>
      </c>
      <c r="I521">
        <v>60</v>
      </c>
      <c r="L521">
        <v>5.23185888109403E-3</v>
      </c>
      <c r="M521">
        <v>9.7370182115565796E-3</v>
      </c>
      <c r="N521">
        <v>2002</v>
      </c>
      <c r="O521" t="s">
        <v>53</v>
      </c>
      <c r="P521" t="s">
        <v>129</v>
      </c>
      <c r="Q521" t="s">
        <v>33</v>
      </c>
      <c r="R521" t="s">
        <v>34</v>
      </c>
    </row>
    <row r="522" spans="1:18" x14ac:dyDescent="0.25">
      <c r="A522" t="s">
        <v>127</v>
      </c>
      <c r="B522" t="s">
        <v>128</v>
      </c>
      <c r="C522" t="s">
        <v>12</v>
      </c>
      <c r="D522">
        <v>2</v>
      </c>
      <c r="E522">
        <v>45</v>
      </c>
      <c r="F522">
        <v>4.81481481481481E-2</v>
      </c>
      <c r="G522">
        <v>270</v>
      </c>
      <c r="H522">
        <v>0.18073592914759401</v>
      </c>
      <c r="I522">
        <v>69</v>
      </c>
      <c r="L522">
        <v>1.4107285177154E-2</v>
      </c>
      <c r="M522">
        <v>1.0966562549433E-2</v>
      </c>
      <c r="N522">
        <v>2002</v>
      </c>
      <c r="O522" t="s">
        <v>53</v>
      </c>
      <c r="P522" t="s">
        <v>129</v>
      </c>
      <c r="Q522" t="s">
        <v>33</v>
      </c>
      <c r="R522" t="s">
        <v>34</v>
      </c>
    </row>
    <row r="523" spans="1:18" x14ac:dyDescent="0.25">
      <c r="A523" t="s">
        <v>127</v>
      </c>
      <c r="B523" t="s">
        <v>128</v>
      </c>
      <c r="C523" t="s">
        <v>12</v>
      </c>
      <c r="D523">
        <v>2</v>
      </c>
      <c r="E523">
        <v>55</v>
      </c>
      <c r="F523">
        <v>3.8709677419354799E-2</v>
      </c>
      <c r="G523">
        <v>155</v>
      </c>
      <c r="H523">
        <v>0.30382588494477503</v>
      </c>
      <c r="I523">
        <v>39</v>
      </c>
      <c r="L523">
        <v>4.8687427026420996E-3</v>
      </c>
      <c r="M523">
        <v>1.7258380751923601E-3</v>
      </c>
      <c r="N523">
        <v>2002</v>
      </c>
      <c r="O523" t="s">
        <v>53</v>
      </c>
      <c r="P523" t="s">
        <v>129</v>
      </c>
      <c r="Q523" t="s">
        <v>33</v>
      </c>
      <c r="R523" t="s">
        <v>34</v>
      </c>
    </row>
    <row r="524" spans="1:18" x14ac:dyDescent="0.25">
      <c r="A524" t="s">
        <v>127</v>
      </c>
      <c r="B524" t="s">
        <v>128</v>
      </c>
      <c r="C524" t="s">
        <v>12</v>
      </c>
      <c r="D524">
        <v>2</v>
      </c>
      <c r="E524">
        <v>62.5</v>
      </c>
      <c r="F524">
        <v>2.4390243902439001E-2</v>
      </c>
      <c r="G524">
        <v>41</v>
      </c>
      <c r="H524">
        <v>0.36787857065407598</v>
      </c>
      <c r="I524">
        <v>11</v>
      </c>
      <c r="L524">
        <v>5.4040167483028001E-3</v>
      </c>
      <c r="M524">
        <v>1.28224487797331E-3</v>
      </c>
      <c r="N524">
        <v>2002</v>
      </c>
      <c r="O524" t="s">
        <v>53</v>
      </c>
      <c r="P524" t="s">
        <v>129</v>
      </c>
      <c r="Q524" t="s">
        <v>33</v>
      </c>
      <c r="R524" t="s">
        <v>34</v>
      </c>
    </row>
    <row r="525" spans="1:18" x14ac:dyDescent="0.25">
      <c r="A525" t="s">
        <v>127</v>
      </c>
      <c r="B525" t="s">
        <v>128</v>
      </c>
      <c r="C525" t="s">
        <v>12</v>
      </c>
      <c r="D525">
        <v>1</v>
      </c>
      <c r="E525">
        <v>27.5</v>
      </c>
      <c r="F525">
        <v>0</v>
      </c>
      <c r="G525">
        <v>80</v>
      </c>
      <c r="H525">
        <v>8.2218686351268902E-2</v>
      </c>
      <c r="I525">
        <v>13</v>
      </c>
      <c r="L525">
        <v>2.3592811746866601E-3</v>
      </c>
      <c r="M525">
        <v>0</v>
      </c>
      <c r="N525">
        <v>2002</v>
      </c>
      <c r="O525" t="s">
        <v>53</v>
      </c>
      <c r="P525" t="s">
        <v>129</v>
      </c>
      <c r="Q525" t="s">
        <v>33</v>
      </c>
      <c r="R525" t="s">
        <v>34</v>
      </c>
    </row>
    <row r="526" spans="1:18" x14ac:dyDescent="0.25">
      <c r="A526" t="s">
        <v>127</v>
      </c>
      <c r="B526" t="s">
        <v>128</v>
      </c>
      <c r="C526" t="s">
        <v>12</v>
      </c>
      <c r="D526">
        <v>1</v>
      </c>
      <c r="E526">
        <v>35</v>
      </c>
      <c r="F526">
        <v>1.2903225806451601E-2</v>
      </c>
      <c r="G526">
        <v>155</v>
      </c>
      <c r="H526">
        <v>0.12555535353418401</v>
      </c>
      <c r="I526">
        <v>34</v>
      </c>
      <c r="L526">
        <v>2.6865777411689898E-3</v>
      </c>
      <c r="M526">
        <v>1.8496374315611101E-3</v>
      </c>
      <c r="N526">
        <v>2002</v>
      </c>
      <c r="O526" t="s">
        <v>53</v>
      </c>
      <c r="P526" t="s">
        <v>129</v>
      </c>
      <c r="Q526" t="s">
        <v>33</v>
      </c>
      <c r="R526" t="s">
        <v>34</v>
      </c>
    </row>
    <row r="527" spans="1:18" x14ac:dyDescent="0.25">
      <c r="A527" t="s">
        <v>127</v>
      </c>
      <c r="B527" t="s">
        <v>128</v>
      </c>
      <c r="C527" t="s">
        <v>12</v>
      </c>
      <c r="D527">
        <v>1</v>
      </c>
      <c r="E527">
        <v>45</v>
      </c>
      <c r="F527">
        <v>2.1052631578947399E-2</v>
      </c>
      <c r="G527">
        <v>190</v>
      </c>
      <c r="H527">
        <v>0.18960746783312901</v>
      </c>
      <c r="I527">
        <v>47</v>
      </c>
      <c r="L527">
        <v>6.9875969577926503E-3</v>
      </c>
      <c r="M527">
        <v>3.55771764188969E-3</v>
      </c>
      <c r="N527">
        <v>2002</v>
      </c>
      <c r="O527" t="s">
        <v>53</v>
      </c>
      <c r="P527" t="s">
        <v>129</v>
      </c>
      <c r="Q527" t="s">
        <v>33</v>
      </c>
      <c r="R527" t="s">
        <v>34</v>
      </c>
    </row>
    <row r="528" spans="1:18" x14ac:dyDescent="0.25">
      <c r="A528" t="s">
        <v>127</v>
      </c>
      <c r="B528" t="s">
        <v>128</v>
      </c>
      <c r="C528" t="s">
        <v>12</v>
      </c>
      <c r="D528">
        <v>1</v>
      </c>
      <c r="E528">
        <v>55</v>
      </c>
      <c r="F528">
        <v>1.6666666666666701E-2</v>
      </c>
      <c r="G528">
        <v>120</v>
      </c>
      <c r="H528">
        <v>7.0547464184078701E-2</v>
      </c>
      <c r="I528">
        <v>30</v>
      </c>
      <c r="L528">
        <v>4.5425319782153098E-2</v>
      </c>
      <c r="M528">
        <v>5.6539231453907803E-2</v>
      </c>
      <c r="N528">
        <v>2002</v>
      </c>
      <c r="O528" t="s">
        <v>53</v>
      </c>
      <c r="P528" t="s">
        <v>129</v>
      </c>
      <c r="Q528" t="s">
        <v>33</v>
      </c>
      <c r="R528" t="s">
        <v>34</v>
      </c>
    </row>
    <row r="529" spans="1:18" x14ac:dyDescent="0.25">
      <c r="A529" t="s">
        <v>127</v>
      </c>
      <c r="B529" t="s">
        <v>128</v>
      </c>
      <c r="C529" t="s">
        <v>12</v>
      </c>
      <c r="D529">
        <v>1</v>
      </c>
      <c r="E529">
        <v>62.5</v>
      </c>
      <c r="F529">
        <v>5.7142857142857099E-2</v>
      </c>
      <c r="G529">
        <v>35</v>
      </c>
      <c r="H529">
        <v>0.39088459795525199</v>
      </c>
      <c r="I529">
        <v>8</v>
      </c>
      <c r="L529">
        <v>3.1027174211992101E-3</v>
      </c>
      <c r="M529">
        <v>8.4746483078393397E-4</v>
      </c>
      <c r="N529">
        <v>2002</v>
      </c>
      <c r="O529" t="s">
        <v>53</v>
      </c>
      <c r="P529" t="s">
        <v>129</v>
      </c>
      <c r="Q529" t="s">
        <v>33</v>
      </c>
      <c r="R529" t="s">
        <v>34</v>
      </c>
    </row>
    <row r="530" spans="1:18" x14ac:dyDescent="0.25">
      <c r="A530" t="s">
        <v>127</v>
      </c>
      <c r="B530" t="s">
        <v>130</v>
      </c>
      <c r="C530" t="s">
        <v>12</v>
      </c>
      <c r="D530">
        <v>2</v>
      </c>
      <c r="E530">
        <v>27.5</v>
      </c>
      <c r="F530">
        <v>0</v>
      </c>
      <c r="G530">
        <v>178</v>
      </c>
      <c r="H530">
        <v>4.2103662637080701E-2</v>
      </c>
      <c r="I530">
        <v>47</v>
      </c>
      <c r="L530">
        <v>5.26487478648427E-2</v>
      </c>
      <c r="M530">
        <v>0</v>
      </c>
      <c r="N530">
        <v>2006</v>
      </c>
      <c r="O530" t="s">
        <v>53</v>
      </c>
      <c r="P530" t="s">
        <v>129</v>
      </c>
      <c r="Q530" t="s">
        <v>33</v>
      </c>
      <c r="R530" t="s">
        <v>34</v>
      </c>
    </row>
    <row r="531" spans="1:18" x14ac:dyDescent="0.25">
      <c r="A531" t="s">
        <v>127</v>
      </c>
      <c r="B531" t="s">
        <v>130</v>
      </c>
      <c r="C531" t="s">
        <v>12</v>
      </c>
      <c r="D531">
        <v>2</v>
      </c>
      <c r="E531">
        <v>35</v>
      </c>
      <c r="F531">
        <v>1.20481927710843E-2</v>
      </c>
      <c r="G531">
        <v>332</v>
      </c>
      <c r="H531">
        <v>0.12737453567214299</v>
      </c>
      <c r="I531">
        <v>109</v>
      </c>
      <c r="L531">
        <v>2.6769078067785401E-2</v>
      </c>
      <c r="M531">
        <v>1.5812507986313701E-2</v>
      </c>
      <c r="N531">
        <v>2006</v>
      </c>
      <c r="O531" t="s">
        <v>53</v>
      </c>
      <c r="P531" t="s">
        <v>129</v>
      </c>
      <c r="Q531" t="s">
        <v>33</v>
      </c>
      <c r="R531" t="s">
        <v>34</v>
      </c>
    </row>
    <row r="532" spans="1:18" x14ac:dyDescent="0.25">
      <c r="A532" t="s">
        <v>127</v>
      </c>
      <c r="B532" t="s">
        <v>130</v>
      </c>
      <c r="C532" t="s">
        <v>12</v>
      </c>
      <c r="D532">
        <v>2</v>
      </c>
      <c r="E532">
        <v>45</v>
      </c>
      <c r="F532">
        <v>3.5326086956521702E-2</v>
      </c>
      <c r="G532">
        <v>368</v>
      </c>
      <c r="H532">
        <v>0.31354793187984997</v>
      </c>
      <c r="I532">
        <v>139</v>
      </c>
      <c r="L532">
        <v>1.7181882996514401E-2</v>
      </c>
      <c r="M532">
        <v>5.1089078118642297E-3</v>
      </c>
      <c r="N532">
        <v>2006</v>
      </c>
      <c r="O532" t="s">
        <v>53</v>
      </c>
      <c r="P532" t="s">
        <v>129</v>
      </c>
      <c r="Q532" t="s">
        <v>33</v>
      </c>
      <c r="R532" t="s">
        <v>34</v>
      </c>
    </row>
    <row r="533" spans="1:18" x14ac:dyDescent="0.25">
      <c r="A533" t="s">
        <v>127</v>
      </c>
      <c r="B533" t="s">
        <v>130</v>
      </c>
      <c r="C533" t="s">
        <v>12</v>
      </c>
      <c r="D533">
        <v>2</v>
      </c>
      <c r="E533">
        <v>55</v>
      </c>
      <c r="F533">
        <v>0.105431309904153</v>
      </c>
      <c r="G533">
        <v>313</v>
      </c>
      <c r="H533">
        <v>0.39649557516269202</v>
      </c>
      <c r="I533">
        <v>131</v>
      </c>
      <c r="L533">
        <v>2.1416036455351301E-2</v>
      </c>
      <c r="M533">
        <v>6.6894185520531202E-3</v>
      </c>
      <c r="N533">
        <v>2006</v>
      </c>
      <c r="O533" t="s">
        <v>53</v>
      </c>
      <c r="P533" t="s">
        <v>129</v>
      </c>
      <c r="Q533" t="s">
        <v>33</v>
      </c>
      <c r="R533" t="s">
        <v>34</v>
      </c>
    </row>
    <row r="534" spans="1:18" x14ac:dyDescent="0.25">
      <c r="A534" t="s">
        <v>127</v>
      </c>
      <c r="B534" t="s">
        <v>130</v>
      </c>
      <c r="C534" t="s">
        <v>12</v>
      </c>
      <c r="D534">
        <v>2</v>
      </c>
      <c r="E534">
        <v>62.5</v>
      </c>
      <c r="F534">
        <v>0.109090909090909</v>
      </c>
      <c r="G534">
        <v>55</v>
      </c>
      <c r="H534">
        <v>0.39588993247406601</v>
      </c>
      <c r="I534">
        <v>24</v>
      </c>
      <c r="L534">
        <v>3.0555164643448401E-2</v>
      </c>
      <c r="M534">
        <v>1.02908140598188E-2</v>
      </c>
      <c r="N534">
        <v>2006</v>
      </c>
      <c r="O534" t="s">
        <v>53</v>
      </c>
      <c r="P534" t="s">
        <v>129</v>
      </c>
      <c r="Q534" t="s">
        <v>33</v>
      </c>
      <c r="R534" t="s">
        <v>34</v>
      </c>
    </row>
    <row r="535" spans="1:18" x14ac:dyDescent="0.25">
      <c r="A535" t="s">
        <v>127</v>
      </c>
      <c r="B535" t="s">
        <v>130</v>
      </c>
      <c r="C535" t="s">
        <v>12</v>
      </c>
      <c r="D535">
        <v>1</v>
      </c>
      <c r="E535">
        <v>27.5</v>
      </c>
      <c r="F535">
        <v>0</v>
      </c>
      <c r="G535">
        <v>100</v>
      </c>
      <c r="H535">
        <v>6.5338804625190094E-2</v>
      </c>
      <c r="I535">
        <v>26</v>
      </c>
      <c r="L535">
        <v>3.6152319477726999E-2</v>
      </c>
      <c r="M535">
        <v>0</v>
      </c>
      <c r="N535">
        <v>2006</v>
      </c>
      <c r="O535" t="s">
        <v>53</v>
      </c>
      <c r="P535" t="s">
        <v>129</v>
      </c>
      <c r="Q535" t="s">
        <v>33</v>
      </c>
      <c r="R535" t="s">
        <v>34</v>
      </c>
    </row>
    <row r="536" spans="1:18" x14ac:dyDescent="0.25">
      <c r="A536" t="s">
        <v>127</v>
      </c>
      <c r="B536" t="s">
        <v>130</v>
      </c>
      <c r="C536" t="s">
        <v>12</v>
      </c>
      <c r="D536">
        <v>1</v>
      </c>
      <c r="E536">
        <v>35</v>
      </c>
      <c r="F536">
        <v>2.1739130434782601E-2</v>
      </c>
      <c r="G536">
        <v>184</v>
      </c>
      <c r="H536">
        <v>8.6239129493438094E-2</v>
      </c>
      <c r="I536">
        <v>49</v>
      </c>
      <c r="L536">
        <v>2.3347297690324498E-2</v>
      </c>
      <c r="M536">
        <v>2.5887309843353301E-2</v>
      </c>
      <c r="N536">
        <v>2006</v>
      </c>
      <c r="O536" t="s">
        <v>53</v>
      </c>
      <c r="P536" t="s">
        <v>129</v>
      </c>
      <c r="Q536" t="s">
        <v>33</v>
      </c>
      <c r="R536" t="s">
        <v>34</v>
      </c>
    </row>
    <row r="537" spans="1:18" x14ac:dyDescent="0.25">
      <c r="A537" t="s">
        <v>127</v>
      </c>
      <c r="B537" t="s">
        <v>130</v>
      </c>
      <c r="C537" t="s">
        <v>12</v>
      </c>
      <c r="D537">
        <v>1</v>
      </c>
      <c r="E537">
        <v>45</v>
      </c>
      <c r="F537">
        <v>1.53061224489796E-2</v>
      </c>
      <c r="G537">
        <v>196</v>
      </c>
      <c r="H537">
        <v>0.196381745353258</v>
      </c>
      <c r="I537">
        <v>69</v>
      </c>
      <c r="L537">
        <v>1.87897407521775E-2</v>
      </c>
      <c r="M537">
        <v>7.5168652594940098E-3</v>
      </c>
      <c r="N537">
        <v>2006</v>
      </c>
      <c r="O537" t="s">
        <v>53</v>
      </c>
      <c r="P537" t="s">
        <v>129</v>
      </c>
      <c r="Q537" t="s">
        <v>33</v>
      </c>
      <c r="R537" t="s">
        <v>34</v>
      </c>
    </row>
    <row r="538" spans="1:18" x14ac:dyDescent="0.25">
      <c r="A538" t="s">
        <v>127</v>
      </c>
      <c r="B538" t="s">
        <v>130</v>
      </c>
      <c r="C538" t="s">
        <v>12</v>
      </c>
      <c r="D538">
        <v>1</v>
      </c>
      <c r="E538">
        <v>55</v>
      </c>
      <c r="F538">
        <v>7.9787234042553196E-2</v>
      </c>
      <c r="G538">
        <v>188</v>
      </c>
      <c r="H538">
        <v>0.31675884643610802</v>
      </c>
      <c r="I538">
        <v>61</v>
      </c>
      <c r="L538">
        <v>2.4738076014934499E-2</v>
      </c>
      <c r="M538">
        <v>1.02064326198445E-2</v>
      </c>
      <c r="N538">
        <v>2006</v>
      </c>
      <c r="O538" t="s">
        <v>53</v>
      </c>
      <c r="P538" t="s">
        <v>129</v>
      </c>
      <c r="Q538" t="s">
        <v>33</v>
      </c>
      <c r="R538" t="s">
        <v>34</v>
      </c>
    </row>
    <row r="539" spans="1:18" x14ac:dyDescent="0.25">
      <c r="A539" t="s">
        <v>127</v>
      </c>
      <c r="B539" t="s">
        <v>130</v>
      </c>
      <c r="C539" t="s">
        <v>12</v>
      </c>
      <c r="D539">
        <v>1</v>
      </c>
      <c r="E539">
        <v>62.5</v>
      </c>
      <c r="F539">
        <v>0.23529411764705899</v>
      </c>
      <c r="G539">
        <v>34</v>
      </c>
      <c r="H539">
        <v>0.65154437897829998</v>
      </c>
      <c r="I539">
        <v>8</v>
      </c>
      <c r="L539">
        <v>6.8237004511253804E-3</v>
      </c>
      <c r="M539">
        <v>7.9508161325032205E-4</v>
      </c>
      <c r="N539">
        <v>2006</v>
      </c>
      <c r="O539" t="s">
        <v>53</v>
      </c>
      <c r="P539" t="s">
        <v>129</v>
      </c>
      <c r="Q539" t="s">
        <v>33</v>
      </c>
      <c r="R539" t="s">
        <v>34</v>
      </c>
    </row>
    <row r="540" spans="1:18" x14ac:dyDescent="0.25">
      <c r="A540" t="s">
        <v>127</v>
      </c>
      <c r="B540" t="s">
        <v>131</v>
      </c>
      <c r="C540" t="s">
        <v>12</v>
      </c>
      <c r="D540">
        <v>2</v>
      </c>
      <c r="E540">
        <v>27.5</v>
      </c>
      <c r="F540">
        <v>0</v>
      </c>
      <c r="G540">
        <v>193</v>
      </c>
      <c r="H540">
        <v>0.16875770605938301</v>
      </c>
      <c r="I540">
        <v>68</v>
      </c>
      <c r="L540">
        <v>9.3579079833475392E-3</v>
      </c>
      <c r="M540">
        <v>0</v>
      </c>
      <c r="N540">
        <v>2008</v>
      </c>
      <c r="O540" t="s">
        <v>53</v>
      </c>
      <c r="P540" t="s">
        <v>129</v>
      </c>
      <c r="Q540" t="s">
        <v>33</v>
      </c>
      <c r="R540" t="s">
        <v>34</v>
      </c>
    </row>
    <row r="541" spans="1:18" x14ac:dyDescent="0.25">
      <c r="A541" t="s">
        <v>127</v>
      </c>
      <c r="B541" t="s">
        <v>131</v>
      </c>
      <c r="C541" t="s">
        <v>12</v>
      </c>
      <c r="D541">
        <v>2</v>
      </c>
      <c r="E541">
        <v>35</v>
      </c>
      <c r="F541">
        <v>1.34048257372654E-2</v>
      </c>
      <c r="G541">
        <v>373</v>
      </c>
      <c r="H541">
        <v>0.19744529024462101</v>
      </c>
      <c r="I541">
        <v>146</v>
      </c>
      <c r="L541">
        <v>1.4929377968693199E-2</v>
      </c>
      <c r="M541">
        <v>5.9670824727125803E-3</v>
      </c>
      <c r="N541">
        <v>2008</v>
      </c>
      <c r="O541" t="s">
        <v>53</v>
      </c>
      <c r="P541" t="s">
        <v>129</v>
      </c>
      <c r="Q541" t="s">
        <v>33</v>
      </c>
      <c r="R541" t="s">
        <v>34</v>
      </c>
    </row>
    <row r="542" spans="1:18" x14ac:dyDescent="0.25">
      <c r="A542" t="s">
        <v>127</v>
      </c>
      <c r="B542" t="s">
        <v>131</v>
      </c>
      <c r="C542" t="s">
        <v>12</v>
      </c>
      <c r="D542">
        <v>2</v>
      </c>
      <c r="E542">
        <v>45</v>
      </c>
      <c r="F542">
        <v>5.4644808743169397E-2</v>
      </c>
      <c r="G542">
        <v>366</v>
      </c>
      <c r="H542">
        <v>0.27754584594929599</v>
      </c>
      <c r="I542">
        <v>177</v>
      </c>
      <c r="L542">
        <v>1.9242597707599101E-2</v>
      </c>
      <c r="M542">
        <v>8.4646047103591592E-3</v>
      </c>
      <c r="N542">
        <v>2008</v>
      </c>
      <c r="O542" t="s">
        <v>53</v>
      </c>
      <c r="P542" t="s">
        <v>129</v>
      </c>
      <c r="Q542" t="s">
        <v>33</v>
      </c>
      <c r="R542" t="s">
        <v>34</v>
      </c>
    </row>
    <row r="543" spans="1:18" x14ac:dyDescent="0.25">
      <c r="A543" t="s">
        <v>127</v>
      </c>
      <c r="B543" t="s">
        <v>131</v>
      </c>
      <c r="C543" t="s">
        <v>12</v>
      </c>
      <c r="D543">
        <v>2</v>
      </c>
      <c r="E543">
        <v>55</v>
      </c>
      <c r="F543">
        <v>0.14859437751004001</v>
      </c>
      <c r="G543">
        <v>249</v>
      </c>
      <c r="H543">
        <v>0.37921145504153803</v>
      </c>
      <c r="I543">
        <v>114</v>
      </c>
      <c r="L543">
        <v>1.47134833265961E-2</v>
      </c>
      <c r="M543">
        <v>6.1710317292929702E-3</v>
      </c>
      <c r="N543">
        <v>2008</v>
      </c>
      <c r="O543" t="s">
        <v>53</v>
      </c>
      <c r="P543" t="s">
        <v>129</v>
      </c>
      <c r="Q543" t="s">
        <v>33</v>
      </c>
      <c r="R543" t="s">
        <v>34</v>
      </c>
    </row>
    <row r="544" spans="1:18" x14ac:dyDescent="0.25">
      <c r="A544" t="s">
        <v>127</v>
      </c>
      <c r="B544" t="s">
        <v>131</v>
      </c>
      <c r="C544" t="s">
        <v>12</v>
      </c>
      <c r="D544">
        <v>2</v>
      </c>
      <c r="E544">
        <v>62.5</v>
      </c>
      <c r="F544">
        <v>0.121621621621622</v>
      </c>
      <c r="G544">
        <v>74</v>
      </c>
      <c r="H544">
        <v>0.48210904110831498</v>
      </c>
      <c r="I544">
        <v>37</v>
      </c>
      <c r="L544">
        <v>1.35197611119636E-2</v>
      </c>
      <c r="M544">
        <v>3.0333697760704498E-3</v>
      </c>
      <c r="N544">
        <v>2008</v>
      </c>
      <c r="O544" t="s">
        <v>53</v>
      </c>
      <c r="P544" t="s">
        <v>129</v>
      </c>
      <c r="Q544" t="s">
        <v>33</v>
      </c>
      <c r="R544" t="s">
        <v>34</v>
      </c>
    </row>
    <row r="545" spans="1:18" x14ac:dyDescent="0.25">
      <c r="A545" t="s">
        <v>127</v>
      </c>
      <c r="B545" t="s">
        <v>131</v>
      </c>
      <c r="C545" t="s">
        <v>12</v>
      </c>
      <c r="D545">
        <v>1</v>
      </c>
      <c r="E545">
        <v>27.5</v>
      </c>
      <c r="F545">
        <v>3.3613445378151301E-2</v>
      </c>
      <c r="G545">
        <v>119</v>
      </c>
      <c r="H545">
        <v>0.18423855097546801</v>
      </c>
      <c r="I545">
        <v>36</v>
      </c>
      <c r="L545">
        <v>4.5789400424296302E-3</v>
      </c>
      <c r="M545">
        <v>3.0715788268470502E-3</v>
      </c>
      <c r="N545">
        <v>2008</v>
      </c>
      <c r="O545" t="s">
        <v>53</v>
      </c>
      <c r="P545" t="s">
        <v>129</v>
      </c>
      <c r="Q545" t="s">
        <v>33</v>
      </c>
      <c r="R545" t="s">
        <v>34</v>
      </c>
    </row>
    <row r="546" spans="1:18" x14ac:dyDescent="0.25">
      <c r="A546" t="s">
        <v>127</v>
      </c>
      <c r="B546" t="s">
        <v>131</v>
      </c>
      <c r="C546" t="s">
        <v>12</v>
      </c>
      <c r="D546">
        <v>1</v>
      </c>
      <c r="E546">
        <v>35</v>
      </c>
      <c r="F546">
        <v>4.2194092827004199E-3</v>
      </c>
      <c r="G546">
        <v>237</v>
      </c>
      <c r="H546">
        <v>0.20135282473744601</v>
      </c>
      <c r="I546">
        <v>84</v>
      </c>
      <c r="L546">
        <v>1.5701043983904601E-2</v>
      </c>
      <c r="M546">
        <v>4.2551699649887604E-3</v>
      </c>
      <c r="N546">
        <v>2008</v>
      </c>
      <c r="O546" t="s">
        <v>53</v>
      </c>
      <c r="P546" t="s">
        <v>129</v>
      </c>
      <c r="Q546" t="s">
        <v>33</v>
      </c>
      <c r="R546" t="s">
        <v>34</v>
      </c>
    </row>
    <row r="547" spans="1:18" x14ac:dyDescent="0.25">
      <c r="A547" t="s">
        <v>127</v>
      </c>
      <c r="B547" t="s">
        <v>131</v>
      </c>
      <c r="C547" t="s">
        <v>12</v>
      </c>
      <c r="D547">
        <v>1</v>
      </c>
      <c r="E547">
        <v>45</v>
      </c>
      <c r="F547">
        <v>1.6666666666666701E-2</v>
      </c>
      <c r="G547">
        <v>240</v>
      </c>
      <c r="H547">
        <v>0.28115678671487399</v>
      </c>
      <c r="I547">
        <v>102</v>
      </c>
      <c r="L547">
        <v>1.34142054363963E-2</v>
      </c>
      <c r="M547">
        <v>3.6545856177871601E-3</v>
      </c>
      <c r="N547">
        <v>2008</v>
      </c>
      <c r="O547" t="s">
        <v>53</v>
      </c>
      <c r="P547" t="s">
        <v>129</v>
      </c>
      <c r="Q547" t="s">
        <v>33</v>
      </c>
      <c r="R547" t="s">
        <v>34</v>
      </c>
    </row>
    <row r="548" spans="1:18" x14ac:dyDescent="0.25">
      <c r="A548" t="s">
        <v>127</v>
      </c>
      <c r="B548" t="s">
        <v>131</v>
      </c>
      <c r="C548" t="s">
        <v>12</v>
      </c>
      <c r="D548">
        <v>1</v>
      </c>
      <c r="E548">
        <v>55</v>
      </c>
      <c r="F548">
        <v>0.11483253588516699</v>
      </c>
      <c r="G548">
        <v>209</v>
      </c>
      <c r="H548">
        <v>0.364381884110004</v>
      </c>
      <c r="I548">
        <v>94</v>
      </c>
      <c r="L548">
        <v>1.6779301138147299E-2</v>
      </c>
      <c r="M548">
        <v>6.5867308453416602E-3</v>
      </c>
      <c r="N548">
        <v>2008</v>
      </c>
      <c r="O548" t="s">
        <v>53</v>
      </c>
      <c r="P548" t="s">
        <v>129</v>
      </c>
      <c r="Q548" t="s">
        <v>33</v>
      </c>
      <c r="R548" t="s">
        <v>34</v>
      </c>
    </row>
    <row r="549" spans="1:18" x14ac:dyDescent="0.25">
      <c r="A549" t="s">
        <v>127</v>
      </c>
      <c r="B549" t="s">
        <v>131</v>
      </c>
      <c r="C549" t="s">
        <v>12</v>
      </c>
      <c r="D549">
        <v>1</v>
      </c>
      <c r="E549">
        <v>62.5</v>
      </c>
      <c r="F549">
        <v>7.69230769230769E-2</v>
      </c>
      <c r="G549">
        <v>52</v>
      </c>
      <c r="H549">
        <v>0.41363420650321397</v>
      </c>
      <c r="I549">
        <v>29</v>
      </c>
      <c r="L549">
        <v>1.4073605542934501E-2</v>
      </c>
      <c r="M549">
        <v>3.7370818415612601E-3</v>
      </c>
      <c r="N549">
        <v>2008</v>
      </c>
      <c r="O549" t="s">
        <v>53</v>
      </c>
      <c r="P549" t="s">
        <v>129</v>
      </c>
      <c r="Q549" t="s">
        <v>33</v>
      </c>
      <c r="R549" t="s">
        <v>34</v>
      </c>
    </row>
    <row r="550" spans="1:18" x14ac:dyDescent="0.25">
      <c r="A550" t="s">
        <v>127</v>
      </c>
      <c r="B550" t="s">
        <v>132</v>
      </c>
      <c r="C550" t="s">
        <v>12</v>
      </c>
      <c r="D550">
        <v>2</v>
      </c>
      <c r="E550">
        <v>25</v>
      </c>
      <c r="F550">
        <v>0</v>
      </c>
      <c r="G550">
        <v>68</v>
      </c>
      <c r="H550">
        <v>0.10747630779527199</v>
      </c>
      <c r="I550">
        <v>34</v>
      </c>
      <c r="L550">
        <v>6.5573921063602103E-2</v>
      </c>
      <c r="M550">
        <v>0</v>
      </c>
      <c r="N550">
        <v>2009</v>
      </c>
      <c r="O550" t="s">
        <v>53</v>
      </c>
      <c r="P550" t="s">
        <v>129</v>
      </c>
      <c r="Q550" t="s">
        <v>33</v>
      </c>
      <c r="R550" t="s">
        <v>34</v>
      </c>
    </row>
    <row r="551" spans="1:18" x14ac:dyDescent="0.25">
      <c r="A551" t="s">
        <v>127</v>
      </c>
      <c r="B551" t="s">
        <v>132</v>
      </c>
      <c r="C551" t="s">
        <v>12</v>
      </c>
      <c r="D551">
        <v>2</v>
      </c>
      <c r="E551">
        <v>35</v>
      </c>
      <c r="F551">
        <v>2.3809523809523801E-2</v>
      </c>
      <c r="G551">
        <v>126</v>
      </c>
      <c r="H551">
        <v>0.24686255436790899</v>
      </c>
      <c r="I551">
        <v>68</v>
      </c>
      <c r="L551">
        <v>3.88192953688586E-2</v>
      </c>
      <c r="M551">
        <v>1.3534392208585801E-2</v>
      </c>
      <c r="N551">
        <v>2009</v>
      </c>
      <c r="O551" t="s">
        <v>53</v>
      </c>
      <c r="P551" t="s">
        <v>129</v>
      </c>
      <c r="Q551" t="s">
        <v>33</v>
      </c>
      <c r="R551" t="s">
        <v>34</v>
      </c>
    </row>
    <row r="552" spans="1:18" x14ac:dyDescent="0.25">
      <c r="A552" t="s">
        <v>127</v>
      </c>
      <c r="B552" t="s">
        <v>132</v>
      </c>
      <c r="C552" t="s">
        <v>12</v>
      </c>
      <c r="D552">
        <v>2</v>
      </c>
      <c r="E552">
        <v>45</v>
      </c>
      <c r="F552">
        <v>9.2783505154639206E-2</v>
      </c>
      <c r="G552">
        <v>97</v>
      </c>
      <c r="H552">
        <v>0.52348165325519203</v>
      </c>
      <c r="I552">
        <v>61</v>
      </c>
      <c r="L552">
        <v>2.3889266108093402E-2</v>
      </c>
      <c r="M552">
        <v>3.7218753325374701E-3</v>
      </c>
      <c r="N552">
        <v>2009</v>
      </c>
      <c r="O552" t="s">
        <v>53</v>
      </c>
      <c r="P552" t="s">
        <v>129</v>
      </c>
      <c r="Q552" t="s">
        <v>33</v>
      </c>
      <c r="R552" t="s">
        <v>34</v>
      </c>
    </row>
    <row r="553" spans="1:18" x14ac:dyDescent="0.25">
      <c r="A553" t="s">
        <v>127</v>
      </c>
      <c r="B553" t="s">
        <v>132</v>
      </c>
      <c r="C553" t="s">
        <v>12</v>
      </c>
      <c r="D553">
        <v>2</v>
      </c>
      <c r="E553">
        <v>55</v>
      </c>
      <c r="F553">
        <v>0.140625</v>
      </c>
      <c r="G553">
        <v>128</v>
      </c>
      <c r="H553">
        <v>0.66571072050220603</v>
      </c>
      <c r="I553">
        <v>80</v>
      </c>
      <c r="L553">
        <v>3.1108536327746999E-2</v>
      </c>
      <c r="M553">
        <v>2.71447621887555E-3</v>
      </c>
      <c r="N553">
        <v>2009</v>
      </c>
      <c r="O553" t="s">
        <v>53</v>
      </c>
      <c r="P553" t="s">
        <v>129</v>
      </c>
      <c r="Q553" t="s">
        <v>33</v>
      </c>
      <c r="R553" t="s">
        <v>34</v>
      </c>
    </row>
    <row r="554" spans="1:18" x14ac:dyDescent="0.25">
      <c r="A554" t="s">
        <v>127</v>
      </c>
      <c r="B554" t="s">
        <v>132</v>
      </c>
      <c r="C554" t="s">
        <v>12</v>
      </c>
      <c r="D554">
        <v>2</v>
      </c>
      <c r="E554">
        <v>62.5</v>
      </c>
      <c r="F554">
        <v>0.33333333333333298</v>
      </c>
      <c r="G554">
        <v>27</v>
      </c>
      <c r="H554">
        <v>0.75591743760969399</v>
      </c>
      <c r="I554">
        <v>15</v>
      </c>
      <c r="L554">
        <v>3.3059677040243901E-2</v>
      </c>
      <c r="M554">
        <v>2.0621159051616E-3</v>
      </c>
      <c r="N554">
        <v>2009</v>
      </c>
      <c r="O554" t="s">
        <v>53</v>
      </c>
      <c r="P554" t="s">
        <v>129</v>
      </c>
      <c r="Q554" t="s">
        <v>33</v>
      </c>
      <c r="R554" t="s">
        <v>34</v>
      </c>
    </row>
    <row r="555" spans="1:18" x14ac:dyDescent="0.25">
      <c r="A555" t="s">
        <v>127</v>
      </c>
      <c r="B555" t="s">
        <v>132</v>
      </c>
      <c r="C555" t="s">
        <v>12</v>
      </c>
      <c r="D555">
        <v>1</v>
      </c>
      <c r="E555">
        <v>25</v>
      </c>
      <c r="F555">
        <v>0</v>
      </c>
      <c r="G555">
        <v>39</v>
      </c>
      <c r="H555">
        <v>0.32954852479112701</v>
      </c>
      <c r="I555">
        <v>15</v>
      </c>
      <c r="L555">
        <v>2.8003494348199199E-2</v>
      </c>
      <c r="M555">
        <v>0</v>
      </c>
      <c r="N555">
        <v>2009</v>
      </c>
      <c r="O555" t="s">
        <v>53</v>
      </c>
      <c r="P555" t="s">
        <v>129</v>
      </c>
      <c r="Q555" t="s">
        <v>33</v>
      </c>
      <c r="R555" t="s">
        <v>34</v>
      </c>
    </row>
    <row r="556" spans="1:18" x14ac:dyDescent="0.25">
      <c r="A556" t="s">
        <v>127</v>
      </c>
      <c r="B556" t="s">
        <v>132</v>
      </c>
      <c r="C556" t="s">
        <v>12</v>
      </c>
      <c r="D556">
        <v>1</v>
      </c>
      <c r="E556">
        <v>35</v>
      </c>
      <c r="F556">
        <v>0</v>
      </c>
      <c r="G556">
        <v>53</v>
      </c>
      <c r="H556">
        <v>0.33996709812811299</v>
      </c>
      <c r="I556">
        <v>26</v>
      </c>
      <c r="L556">
        <v>3.52500299911103E-2</v>
      </c>
      <c r="M556">
        <v>0</v>
      </c>
      <c r="N556">
        <v>2009</v>
      </c>
      <c r="O556" t="s">
        <v>53</v>
      </c>
      <c r="P556" t="s">
        <v>129</v>
      </c>
      <c r="Q556" t="s">
        <v>33</v>
      </c>
      <c r="R556" t="s">
        <v>34</v>
      </c>
    </row>
    <row r="557" spans="1:18" x14ac:dyDescent="0.25">
      <c r="A557" t="s">
        <v>127</v>
      </c>
      <c r="B557" t="s">
        <v>132</v>
      </c>
      <c r="C557" t="s">
        <v>12</v>
      </c>
      <c r="D557">
        <v>1</v>
      </c>
      <c r="E557">
        <v>45</v>
      </c>
      <c r="F557">
        <v>0</v>
      </c>
      <c r="G557">
        <v>54</v>
      </c>
      <c r="H557">
        <v>0.46493170307762199</v>
      </c>
      <c r="I557">
        <v>25</v>
      </c>
      <c r="L557">
        <v>2.3217019491404801E-2</v>
      </c>
      <c r="M557">
        <v>0</v>
      </c>
      <c r="N557">
        <v>2009</v>
      </c>
      <c r="O557" t="s">
        <v>53</v>
      </c>
      <c r="P557" t="s">
        <v>129</v>
      </c>
      <c r="Q557" t="s">
        <v>33</v>
      </c>
      <c r="R557" t="s">
        <v>34</v>
      </c>
    </row>
    <row r="558" spans="1:18" x14ac:dyDescent="0.25">
      <c r="A558" t="s">
        <v>127</v>
      </c>
      <c r="B558" t="s">
        <v>132</v>
      </c>
      <c r="C558" t="s">
        <v>12</v>
      </c>
      <c r="D558">
        <v>1</v>
      </c>
      <c r="E558">
        <v>55</v>
      </c>
      <c r="F558">
        <v>0.16666666666666699</v>
      </c>
      <c r="G558">
        <v>72</v>
      </c>
      <c r="H558">
        <v>0.72071908238951699</v>
      </c>
      <c r="I558">
        <v>45</v>
      </c>
      <c r="L558">
        <v>1.18953840549099E-2</v>
      </c>
      <c r="M558">
        <v>8.0745269675560997E-4</v>
      </c>
      <c r="N558">
        <v>2009</v>
      </c>
      <c r="O558" t="s">
        <v>53</v>
      </c>
      <c r="P558" t="s">
        <v>129</v>
      </c>
      <c r="Q558" t="s">
        <v>33</v>
      </c>
      <c r="R558" t="s">
        <v>34</v>
      </c>
    </row>
    <row r="559" spans="1:18" x14ac:dyDescent="0.25">
      <c r="A559" t="s">
        <v>127</v>
      </c>
      <c r="B559" t="s">
        <v>132</v>
      </c>
      <c r="C559" t="s">
        <v>12</v>
      </c>
      <c r="D559">
        <v>1</v>
      </c>
      <c r="E559">
        <v>62.5</v>
      </c>
      <c r="F559">
        <v>0.28571428571428598</v>
      </c>
      <c r="G559">
        <v>28</v>
      </c>
      <c r="H559">
        <v>0.84177431997957797</v>
      </c>
      <c r="I559">
        <v>15</v>
      </c>
      <c r="L559">
        <v>9.6529363525382807E-3</v>
      </c>
      <c r="M559">
        <v>2.7930642109678803E-4</v>
      </c>
      <c r="N559">
        <v>2009</v>
      </c>
      <c r="O559" t="s">
        <v>53</v>
      </c>
      <c r="P559" t="s">
        <v>129</v>
      </c>
      <c r="Q559" t="s">
        <v>33</v>
      </c>
      <c r="R559" t="s">
        <v>34</v>
      </c>
    </row>
    <row r="560" spans="1:18" x14ac:dyDescent="0.25">
      <c r="A560" t="s">
        <v>127</v>
      </c>
      <c r="B560" t="s">
        <v>133</v>
      </c>
      <c r="C560" t="s">
        <v>12</v>
      </c>
      <c r="D560">
        <v>2</v>
      </c>
      <c r="E560">
        <v>19</v>
      </c>
      <c r="F560">
        <v>0</v>
      </c>
      <c r="G560">
        <v>8</v>
      </c>
      <c r="H560">
        <v>1.02031202035891E-2</v>
      </c>
      <c r="I560">
        <v>2</v>
      </c>
      <c r="L560">
        <v>0.137344563579367</v>
      </c>
      <c r="M560">
        <v>0</v>
      </c>
      <c r="N560">
        <v>2009</v>
      </c>
      <c r="O560" t="s">
        <v>53</v>
      </c>
      <c r="P560" t="s">
        <v>129</v>
      </c>
      <c r="Q560" t="s">
        <v>33</v>
      </c>
      <c r="R560" t="s">
        <v>34</v>
      </c>
    </row>
    <row r="561" spans="1:18" x14ac:dyDescent="0.25">
      <c r="A561" t="s">
        <v>127</v>
      </c>
      <c r="B561" t="s">
        <v>133</v>
      </c>
      <c r="C561" t="s">
        <v>12</v>
      </c>
      <c r="D561">
        <v>2</v>
      </c>
      <c r="E561">
        <v>25</v>
      </c>
      <c r="F561">
        <v>0</v>
      </c>
      <c r="G561">
        <v>122</v>
      </c>
      <c r="H561">
        <v>0.185174419374243</v>
      </c>
      <c r="I561">
        <v>91</v>
      </c>
      <c r="L561">
        <v>9.1748380908935508E-3</v>
      </c>
      <c r="M561">
        <v>0</v>
      </c>
      <c r="N561">
        <v>2009</v>
      </c>
      <c r="O561" t="s">
        <v>53</v>
      </c>
      <c r="P561" t="s">
        <v>129</v>
      </c>
      <c r="Q561" t="s">
        <v>33</v>
      </c>
      <c r="R561" t="s">
        <v>34</v>
      </c>
    </row>
    <row r="562" spans="1:18" x14ac:dyDescent="0.25">
      <c r="A562" t="s">
        <v>127</v>
      </c>
      <c r="B562" t="s">
        <v>133</v>
      </c>
      <c r="C562" t="s">
        <v>12</v>
      </c>
      <c r="D562">
        <v>2</v>
      </c>
      <c r="E562">
        <v>35</v>
      </c>
      <c r="F562">
        <v>6.8027210884353704E-3</v>
      </c>
      <c r="G562">
        <v>147</v>
      </c>
      <c r="H562">
        <v>0.293518066906024</v>
      </c>
      <c r="I562">
        <v>118</v>
      </c>
      <c r="L562">
        <v>9.8351995881185497E-3</v>
      </c>
      <c r="M562">
        <v>1.89906989887237E-3</v>
      </c>
      <c r="N562">
        <v>2009</v>
      </c>
      <c r="O562" t="s">
        <v>53</v>
      </c>
      <c r="P562" t="s">
        <v>129</v>
      </c>
      <c r="Q562" t="s">
        <v>33</v>
      </c>
      <c r="R562" t="s">
        <v>34</v>
      </c>
    </row>
    <row r="563" spans="1:18" x14ac:dyDescent="0.25">
      <c r="A563" t="s">
        <v>127</v>
      </c>
      <c r="B563" t="s">
        <v>133</v>
      </c>
      <c r="C563" t="s">
        <v>12</v>
      </c>
      <c r="D563">
        <v>2</v>
      </c>
      <c r="E563">
        <v>45</v>
      </c>
      <c r="F563">
        <v>2.4193548387096801E-2</v>
      </c>
      <c r="G563">
        <v>124</v>
      </c>
      <c r="H563">
        <v>0.36760058814540902</v>
      </c>
      <c r="I563">
        <v>109</v>
      </c>
      <c r="L563">
        <v>1.31240875987025E-2</v>
      </c>
      <c r="M563">
        <v>2.6744318185610702E-3</v>
      </c>
      <c r="N563">
        <v>2009</v>
      </c>
      <c r="O563" t="s">
        <v>53</v>
      </c>
      <c r="P563" t="s">
        <v>129</v>
      </c>
      <c r="Q563" t="s">
        <v>33</v>
      </c>
      <c r="R563" t="s">
        <v>34</v>
      </c>
    </row>
    <row r="564" spans="1:18" x14ac:dyDescent="0.25">
      <c r="A564" t="s">
        <v>127</v>
      </c>
      <c r="B564" t="s">
        <v>133</v>
      </c>
      <c r="C564" t="s">
        <v>12</v>
      </c>
      <c r="D564">
        <v>2</v>
      </c>
      <c r="E564">
        <v>55</v>
      </c>
      <c r="F564">
        <v>7.5187969924811998E-2</v>
      </c>
      <c r="G564">
        <v>133</v>
      </c>
      <c r="H564">
        <v>0.358627580626802</v>
      </c>
      <c r="I564">
        <v>98</v>
      </c>
      <c r="L564">
        <v>1.40418742163778E-2</v>
      </c>
      <c r="M564">
        <v>4.6538551161422496E-3</v>
      </c>
      <c r="N564">
        <v>2009</v>
      </c>
      <c r="O564" t="s">
        <v>53</v>
      </c>
      <c r="P564" t="s">
        <v>129</v>
      </c>
      <c r="Q564" t="s">
        <v>33</v>
      </c>
      <c r="R564" t="s">
        <v>34</v>
      </c>
    </row>
    <row r="565" spans="1:18" x14ac:dyDescent="0.25">
      <c r="A565" t="s">
        <v>127</v>
      </c>
      <c r="B565" t="s">
        <v>133</v>
      </c>
      <c r="C565" t="s">
        <v>12</v>
      </c>
      <c r="D565">
        <v>2</v>
      </c>
      <c r="E565">
        <v>62.5</v>
      </c>
      <c r="F565">
        <v>7.1428571428571397E-2</v>
      </c>
      <c r="G565">
        <v>28</v>
      </c>
      <c r="H565">
        <v>0.45542917046062398</v>
      </c>
      <c r="I565">
        <v>22</v>
      </c>
      <c r="L565">
        <v>1.316366080733E-2</v>
      </c>
      <c r="M565">
        <v>2.60519763752648E-3</v>
      </c>
      <c r="N565">
        <v>2009</v>
      </c>
      <c r="O565" t="s">
        <v>53</v>
      </c>
      <c r="P565" t="s">
        <v>129</v>
      </c>
      <c r="Q565" t="s">
        <v>33</v>
      </c>
      <c r="R565" t="s">
        <v>34</v>
      </c>
    </row>
    <row r="566" spans="1:18" x14ac:dyDescent="0.25">
      <c r="A566" t="s">
        <v>127</v>
      </c>
      <c r="B566" t="s">
        <v>133</v>
      </c>
      <c r="C566" t="s">
        <v>12</v>
      </c>
      <c r="D566">
        <v>1</v>
      </c>
      <c r="E566">
        <v>19</v>
      </c>
      <c r="F566">
        <v>0</v>
      </c>
      <c r="G566">
        <v>18</v>
      </c>
      <c r="H566">
        <v>0.33911815147123198</v>
      </c>
      <c r="I566">
        <v>6</v>
      </c>
      <c r="L566">
        <v>8.88445466907824E-4</v>
      </c>
      <c r="M566">
        <v>0</v>
      </c>
      <c r="N566">
        <v>2009</v>
      </c>
      <c r="O566" t="s">
        <v>53</v>
      </c>
      <c r="P566" t="s">
        <v>129</v>
      </c>
      <c r="Q566" t="s">
        <v>33</v>
      </c>
      <c r="R566" t="s">
        <v>34</v>
      </c>
    </row>
    <row r="567" spans="1:18" x14ac:dyDescent="0.25">
      <c r="A567" t="s">
        <v>127</v>
      </c>
      <c r="B567" t="s">
        <v>133</v>
      </c>
      <c r="C567" t="s">
        <v>12</v>
      </c>
      <c r="D567">
        <v>1</v>
      </c>
      <c r="E567">
        <v>25</v>
      </c>
      <c r="F567">
        <v>0</v>
      </c>
      <c r="G567">
        <v>90</v>
      </c>
      <c r="H567">
        <v>0.17855224293781899</v>
      </c>
      <c r="I567">
        <v>83</v>
      </c>
      <c r="L567">
        <v>9.6494433404236708E-3</v>
      </c>
      <c r="M567">
        <v>0</v>
      </c>
      <c r="N567">
        <v>2009</v>
      </c>
      <c r="O567" t="s">
        <v>53</v>
      </c>
      <c r="P567" t="s">
        <v>129</v>
      </c>
      <c r="Q567" t="s">
        <v>33</v>
      </c>
      <c r="R567" t="s">
        <v>34</v>
      </c>
    </row>
    <row r="568" spans="1:18" x14ac:dyDescent="0.25">
      <c r="A568" t="s">
        <v>127</v>
      </c>
      <c r="B568" t="s">
        <v>133</v>
      </c>
      <c r="C568" t="s">
        <v>12</v>
      </c>
      <c r="D568">
        <v>1</v>
      </c>
      <c r="E568">
        <v>35</v>
      </c>
      <c r="F568">
        <v>0</v>
      </c>
      <c r="G568">
        <v>90</v>
      </c>
      <c r="H568">
        <v>0.211910589906987</v>
      </c>
      <c r="I568">
        <v>76</v>
      </c>
      <c r="L568">
        <v>1.84525753246115E-2</v>
      </c>
      <c r="M568">
        <v>0</v>
      </c>
      <c r="N568">
        <v>2009</v>
      </c>
      <c r="O568" t="s">
        <v>53</v>
      </c>
      <c r="P568" t="s">
        <v>129</v>
      </c>
      <c r="Q568" t="s">
        <v>33</v>
      </c>
      <c r="R568" t="s">
        <v>34</v>
      </c>
    </row>
    <row r="569" spans="1:18" x14ac:dyDescent="0.25">
      <c r="A569" t="s">
        <v>127</v>
      </c>
      <c r="B569" t="s">
        <v>133</v>
      </c>
      <c r="C569" t="s">
        <v>12</v>
      </c>
      <c r="D569">
        <v>1</v>
      </c>
      <c r="E569">
        <v>45</v>
      </c>
      <c r="F569">
        <v>1.0752688172042999E-2</v>
      </c>
      <c r="G569">
        <v>93</v>
      </c>
      <c r="H569">
        <v>0.40482297617069002</v>
      </c>
      <c r="I569">
        <v>78</v>
      </c>
      <c r="L569">
        <v>1.4910237929870399E-2</v>
      </c>
      <c r="M569">
        <v>1.9077172423206301E-3</v>
      </c>
      <c r="N569">
        <v>2009</v>
      </c>
      <c r="O569" t="s">
        <v>53</v>
      </c>
      <c r="P569" t="s">
        <v>129</v>
      </c>
      <c r="Q569" t="s">
        <v>33</v>
      </c>
      <c r="R569" t="s">
        <v>34</v>
      </c>
    </row>
    <row r="570" spans="1:18" x14ac:dyDescent="0.25">
      <c r="A570" t="s">
        <v>127</v>
      </c>
      <c r="B570" t="s">
        <v>133</v>
      </c>
      <c r="C570" t="s">
        <v>12</v>
      </c>
      <c r="D570">
        <v>1</v>
      </c>
      <c r="E570">
        <v>55</v>
      </c>
      <c r="F570">
        <v>9.1743119266055106E-2</v>
      </c>
      <c r="G570">
        <v>109</v>
      </c>
      <c r="H570">
        <v>0.46992251902017601</v>
      </c>
      <c r="I570">
        <v>87</v>
      </c>
      <c r="L570">
        <v>1.1742251193699199E-2</v>
      </c>
      <c r="M570">
        <v>2.4436427022131498E-3</v>
      </c>
      <c r="N570">
        <v>2009</v>
      </c>
      <c r="O570" t="s">
        <v>53</v>
      </c>
      <c r="P570" t="s">
        <v>129</v>
      </c>
      <c r="Q570" t="s">
        <v>33</v>
      </c>
      <c r="R570" t="s">
        <v>34</v>
      </c>
    </row>
    <row r="571" spans="1:18" x14ac:dyDescent="0.25">
      <c r="A571" t="s">
        <v>127</v>
      </c>
      <c r="B571" t="s">
        <v>133</v>
      </c>
      <c r="C571" t="s">
        <v>12</v>
      </c>
      <c r="D571">
        <v>1</v>
      </c>
      <c r="E571">
        <v>62.5</v>
      </c>
      <c r="F571">
        <v>0.17142857142857101</v>
      </c>
      <c r="G571">
        <v>35</v>
      </c>
      <c r="H571">
        <v>0.379822309318191</v>
      </c>
      <c r="I571">
        <v>21</v>
      </c>
      <c r="L571">
        <v>3.1332323596388198E-2</v>
      </c>
      <c r="M571">
        <v>1.32479494061154E-2</v>
      </c>
      <c r="N571">
        <v>2009</v>
      </c>
      <c r="O571" t="s">
        <v>53</v>
      </c>
      <c r="P571" t="s">
        <v>129</v>
      </c>
      <c r="Q571" t="s">
        <v>33</v>
      </c>
      <c r="R571" t="s">
        <v>34</v>
      </c>
    </row>
    <row r="572" spans="1:18" x14ac:dyDescent="0.25">
      <c r="A572" t="s">
        <v>134</v>
      </c>
      <c r="B572" t="s">
        <v>135</v>
      </c>
      <c r="C572" t="s">
        <v>12</v>
      </c>
      <c r="D572">
        <v>2</v>
      </c>
      <c r="E572">
        <v>19</v>
      </c>
      <c r="F572">
        <v>1.5637652126232E-3</v>
      </c>
      <c r="G572">
        <v>144</v>
      </c>
      <c r="H572">
        <v>1.49794110674977E-2</v>
      </c>
      <c r="I572">
        <v>131</v>
      </c>
      <c r="L572">
        <v>1.9438775779401798E-2</v>
      </c>
      <c r="M572">
        <v>2.9239840153563301E-2</v>
      </c>
      <c r="N572">
        <v>2010</v>
      </c>
      <c r="O572" t="s">
        <v>13</v>
      </c>
      <c r="P572" t="s">
        <v>136</v>
      </c>
      <c r="Q572" t="s">
        <v>29</v>
      </c>
      <c r="R572" t="s">
        <v>20</v>
      </c>
    </row>
    <row r="573" spans="1:18" x14ac:dyDescent="0.25">
      <c r="A573" t="s">
        <v>134</v>
      </c>
      <c r="B573" t="s">
        <v>135</v>
      </c>
      <c r="C573" t="s">
        <v>12</v>
      </c>
      <c r="D573">
        <v>2</v>
      </c>
      <c r="E573">
        <v>25</v>
      </c>
      <c r="F573">
        <v>3.9599348763620897E-3</v>
      </c>
      <c r="G573">
        <v>493</v>
      </c>
      <c r="H573">
        <v>1.6238318845726601E-2</v>
      </c>
      <c r="I573">
        <v>446</v>
      </c>
      <c r="L573">
        <v>4.01022750516166E-2</v>
      </c>
      <c r="M573">
        <v>8.77164983271147E-2</v>
      </c>
      <c r="N573">
        <v>2010</v>
      </c>
      <c r="O573" t="s">
        <v>13</v>
      </c>
      <c r="P573" t="s">
        <v>136</v>
      </c>
      <c r="Q573" t="s">
        <v>29</v>
      </c>
      <c r="R573" t="s">
        <v>20</v>
      </c>
    </row>
    <row r="574" spans="1:18" x14ac:dyDescent="0.25">
      <c r="A574" t="s">
        <v>134</v>
      </c>
      <c r="B574" t="s">
        <v>135</v>
      </c>
      <c r="C574" t="s">
        <v>12</v>
      </c>
      <c r="D574">
        <v>2</v>
      </c>
      <c r="E574">
        <v>35</v>
      </c>
      <c r="F574">
        <v>5.5209643710365996E-3</v>
      </c>
      <c r="G574">
        <v>763</v>
      </c>
      <c r="H574">
        <v>3.8420965316276E-2</v>
      </c>
      <c r="I574">
        <v>704</v>
      </c>
      <c r="L574">
        <v>3.7900427999886299E-2</v>
      </c>
      <c r="M574">
        <v>4.7256024967053702E-2</v>
      </c>
      <c r="N574">
        <v>2010</v>
      </c>
      <c r="O574" t="s">
        <v>13</v>
      </c>
      <c r="P574" t="s">
        <v>136</v>
      </c>
      <c r="Q574" t="s">
        <v>29</v>
      </c>
      <c r="R574" t="s">
        <v>20</v>
      </c>
    </row>
    <row r="575" spans="1:18" x14ac:dyDescent="0.25">
      <c r="A575" t="s">
        <v>134</v>
      </c>
      <c r="B575" t="s">
        <v>135</v>
      </c>
      <c r="C575" t="s">
        <v>12</v>
      </c>
      <c r="D575">
        <v>2</v>
      </c>
      <c r="E575">
        <v>45</v>
      </c>
      <c r="F575">
        <v>1.75261154176856E-2</v>
      </c>
      <c r="G575">
        <v>996</v>
      </c>
      <c r="H575">
        <v>7.7311783091619998E-2</v>
      </c>
      <c r="I575">
        <v>919</v>
      </c>
      <c r="L575">
        <v>4.5869225320610801E-2</v>
      </c>
      <c r="M575">
        <v>5.3522059345811203E-2</v>
      </c>
      <c r="N575">
        <v>2010</v>
      </c>
      <c r="O575" t="s">
        <v>13</v>
      </c>
      <c r="P575" t="s">
        <v>136</v>
      </c>
      <c r="Q575" t="s">
        <v>29</v>
      </c>
      <c r="R575" t="s">
        <v>20</v>
      </c>
    </row>
    <row r="576" spans="1:18" x14ac:dyDescent="0.25">
      <c r="A576" t="s">
        <v>134</v>
      </c>
      <c r="B576" t="s">
        <v>135</v>
      </c>
      <c r="C576" t="s">
        <v>12</v>
      </c>
      <c r="D576">
        <v>2</v>
      </c>
      <c r="E576">
        <v>55</v>
      </c>
      <c r="F576">
        <v>5.9982034978910997E-2</v>
      </c>
      <c r="G576">
        <v>1237</v>
      </c>
      <c r="H576">
        <v>0.117710424251743</v>
      </c>
      <c r="I576">
        <v>1118</v>
      </c>
      <c r="L576">
        <v>4.1556337196278999E-2</v>
      </c>
      <c r="M576">
        <v>5.8857695209502597E-2</v>
      </c>
      <c r="N576">
        <v>2010</v>
      </c>
      <c r="O576" t="s">
        <v>13</v>
      </c>
      <c r="P576" t="s">
        <v>136</v>
      </c>
      <c r="Q576" t="s">
        <v>29</v>
      </c>
      <c r="R576" t="s">
        <v>20</v>
      </c>
    </row>
    <row r="577" spans="1:18" x14ac:dyDescent="0.25">
      <c r="A577" t="s">
        <v>134</v>
      </c>
      <c r="B577" t="s">
        <v>135</v>
      </c>
      <c r="C577" t="s">
        <v>12</v>
      </c>
      <c r="D577">
        <v>2</v>
      </c>
      <c r="E577">
        <v>62.5</v>
      </c>
      <c r="F577">
        <v>9.3933313614007904E-2</v>
      </c>
      <c r="G577">
        <v>866</v>
      </c>
      <c r="H577">
        <v>0.19793889029666001</v>
      </c>
      <c r="I577">
        <v>748</v>
      </c>
      <c r="L577">
        <v>3.5184041336194398E-2</v>
      </c>
      <c r="M577">
        <v>3.2991073032062099E-2</v>
      </c>
      <c r="N577">
        <v>2010</v>
      </c>
      <c r="O577" t="s">
        <v>13</v>
      </c>
      <c r="P577" t="s">
        <v>136</v>
      </c>
      <c r="Q577" t="s">
        <v>29</v>
      </c>
      <c r="R577" t="s">
        <v>20</v>
      </c>
    </row>
    <row r="578" spans="1:18" x14ac:dyDescent="0.25">
      <c r="A578" t="s">
        <v>134</v>
      </c>
      <c r="B578" t="s">
        <v>135</v>
      </c>
      <c r="C578" t="s">
        <v>12</v>
      </c>
      <c r="D578">
        <v>1</v>
      </c>
      <c r="E578">
        <v>19</v>
      </c>
      <c r="F578">
        <v>0</v>
      </c>
      <c r="G578">
        <v>99</v>
      </c>
      <c r="H578">
        <v>2.289425148796E-2</v>
      </c>
      <c r="I578">
        <v>84</v>
      </c>
      <c r="L578">
        <v>4.2082461673822499E-2</v>
      </c>
      <c r="M578">
        <v>0</v>
      </c>
      <c r="N578">
        <v>2010</v>
      </c>
      <c r="O578" t="s">
        <v>13</v>
      </c>
      <c r="P578" t="s">
        <v>136</v>
      </c>
      <c r="Q578" t="s">
        <v>29</v>
      </c>
      <c r="R578" t="s">
        <v>20</v>
      </c>
    </row>
    <row r="579" spans="1:18" x14ac:dyDescent="0.25">
      <c r="A579" t="s">
        <v>134</v>
      </c>
      <c r="B579" t="s">
        <v>135</v>
      </c>
      <c r="C579" t="s">
        <v>12</v>
      </c>
      <c r="D579">
        <v>1</v>
      </c>
      <c r="E579">
        <v>25</v>
      </c>
      <c r="F579">
        <v>0</v>
      </c>
      <c r="G579">
        <v>300</v>
      </c>
      <c r="H579">
        <v>2.85143708117147E-2</v>
      </c>
      <c r="I579">
        <v>256</v>
      </c>
      <c r="L579">
        <v>4.74211071914791E-2</v>
      </c>
      <c r="M579">
        <v>0</v>
      </c>
      <c r="N579">
        <v>2010</v>
      </c>
      <c r="O579" t="s">
        <v>13</v>
      </c>
      <c r="P579" t="s">
        <v>136</v>
      </c>
      <c r="Q579" t="s">
        <v>29</v>
      </c>
      <c r="R579" t="s">
        <v>20</v>
      </c>
    </row>
    <row r="580" spans="1:18" x14ac:dyDescent="0.25">
      <c r="A580" t="s">
        <v>134</v>
      </c>
      <c r="B580" t="s">
        <v>135</v>
      </c>
      <c r="C580" t="s">
        <v>12</v>
      </c>
      <c r="D580">
        <v>1</v>
      </c>
      <c r="E580">
        <v>35</v>
      </c>
      <c r="F580">
        <v>1.3853588086674799E-2</v>
      </c>
      <c r="G580">
        <v>283</v>
      </c>
      <c r="H580">
        <v>8.5137013625796398E-2</v>
      </c>
      <c r="I580">
        <v>244</v>
      </c>
      <c r="L580">
        <v>2.6002375467403301E-2</v>
      </c>
      <c r="M580">
        <v>2.4356418054391201E-2</v>
      </c>
      <c r="N580">
        <v>2010</v>
      </c>
      <c r="O580" t="s">
        <v>13</v>
      </c>
      <c r="P580" t="s">
        <v>136</v>
      </c>
      <c r="Q580" t="s">
        <v>29</v>
      </c>
      <c r="R580" t="s">
        <v>20</v>
      </c>
    </row>
    <row r="581" spans="1:18" x14ac:dyDescent="0.25">
      <c r="A581" t="s">
        <v>134</v>
      </c>
      <c r="B581" t="s">
        <v>135</v>
      </c>
      <c r="C581" t="s">
        <v>12</v>
      </c>
      <c r="D581">
        <v>1</v>
      </c>
      <c r="E581">
        <v>45</v>
      </c>
      <c r="F581">
        <v>4.0668170681613797E-2</v>
      </c>
      <c r="G581">
        <v>413</v>
      </c>
      <c r="H581">
        <v>0.118744280867357</v>
      </c>
      <c r="I581">
        <v>352</v>
      </c>
      <c r="L581">
        <v>2.5771250658328301E-2</v>
      </c>
      <c r="M581">
        <v>2.8386727657022999E-2</v>
      </c>
      <c r="N581">
        <v>2010</v>
      </c>
      <c r="O581" t="s">
        <v>13</v>
      </c>
      <c r="P581" t="s">
        <v>136</v>
      </c>
      <c r="Q581" t="s">
        <v>29</v>
      </c>
      <c r="R581" t="s">
        <v>20</v>
      </c>
    </row>
    <row r="582" spans="1:18" x14ac:dyDescent="0.25">
      <c r="A582" t="s">
        <v>134</v>
      </c>
      <c r="B582" t="s">
        <v>135</v>
      </c>
      <c r="C582" t="s">
        <v>12</v>
      </c>
      <c r="D582">
        <v>1</v>
      </c>
      <c r="E582">
        <v>55</v>
      </c>
      <c r="F582">
        <v>7.5042866718307996E-2</v>
      </c>
      <c r="G582">
        <v>457</v>
      </c>
      <c r="H582">
        <v>0.15301847282049999</v>
      </c>
      <c r="I582">
        <v>387</v>
      </c>
      <c r="L582">
        <v>2.52093117153738E-2</v>
      </c>
      <c r="M582">
        <v>2.8793186777503501E-2</v>
      </c>
      <c r="N582">
        <v>2010</v>
      </c>
      <c r="O582" t="s">
        <v>13</v>
      </c>
      <c r="P582" t="s">
        <v>136</v>
      </c>
      <c r="Q582" t="s">
        <v>29</v>
      </c>
      <c r="R582" t="s">
        <v>20</v>
      </c>
    </row>
    <row r="583" spans="1:18" x14ac:dyDescent="0.25">
      <c r="A583" t="s">
        <v>134</v>
      </c>
      <c r="B583" t="s">
        <v>135</v>
      </c>
      <c r="C583" t="s">
        <v>12</v>
      </c>
      <c r="D583">
        <v>1</v>
      </c>
      <c r="E583">
        <v>62.5</v>
      </c>
      <c r="F583">
        <v>0.101844173995087</v>
      </c>
      <c r="G583">
        <v>318</v>
      </c>
      <c r="H583">
        <v>0.22151300808097901</v>
      </c>
      <c r="I583">
        <v>274</v>
      </c>
      <c r="L583">
        <v>2.5001231560629202E-2</v>
      </c>
      <c r="M583">
        <v>2.06998678335929E-2</v>
      </c>
      <c r="N583">
        <v>2010</v>
      </c>
      <c r="O583" t="s">
        <v>13</v>
      </c>
      <c r="P583" t="s">
        <v>136</v>
      </c>
      <c r="Q583" t="s">
        <v>29</v>
      </c>
      <c r="R583" t="s">
        <v>20</v>
      </c>
    </row>
    <row r="584" spans="1:18" x14ac:dyDescent="0.25">
      <c r="A584" t="s">
        <v>134</v>
      </c>
      <c r="B584" t="s">
        <v>137</v>
      </c>
      <c r="C584" t="s">
        <v>12</v>
      </c>
      <c r="D584">
        <v>2</v>
      </c>
      <c r="E584">
        <v>19</v>
      </c>
      <c r="F584">
        <v>0</v>
      </c>
      <c r="G584">
        <v>51</v>
      </c>
      <c r="H584">
        <v>1.54596060676853E-3</v>
      </c>
      <c r="I584">
        <v>28</v>
      </c>
      <c r="L584">
        <v>8.3300606547053305E-2</v>
      </c>
      <c r="M584">
        <v>0</v>
      </c>
      <c r="N584">
        <v>2016</v>
      </c>
      <c r="O584" t="s">
        <v>13</v>
      </c>
      <c r="P584" t="s">
        <v>136</v>
      </c>
      <c r="Q584" t="s">
        <v>29</v>
      </c>
      <c r="R584" t="s">
        <v>20</v>
      </c>
    </row>
    <row r="585" spans="1:18" x14ac:dyDescent="0.25">
      <c r="A585" t="s">
        <v>134</v>
      </c>
      <c r="B585" t="s">
        <v>137</v>
      </c>
      <c r="C585" t="s">
        <v>12</v>
      </c>
      <c r="D585">
        <v>2</v>
      </c>
      <c r="E585">
        <v>25</v>
      </c>
      <c r="F585">
        <v>0</v>
      </c>
      <c r="G585">
        <v>315</v>
      </c>
      <c r="H585">
        <v>3.7777596703850698E-3</v>
      </c>
      <c r="I585">
        <v>218</v>
      </c>
      <c r="L585">
        <v>0.10634121900789199</v>
      </c>
      <c r="M585">
        <v>0</v>
      </c>
      <c r="N585">
        <v>2016</v>
      </c>
      <c r="O585" t="s">
        <v>13</v>
      </c>
      <c r="P585" t="s">
        <v>136</v>
      </c>
      <c r="Q585" t="s">
        <v>29</v>
      </c>
      <c r="R585" t="s">
        <v>20</v>
      </c>
    </row>
    <row r="586" spans="1:18" x14ac:dyDescent="0.25">
      <c r="A586" t="s">
        <v>134</v>
      </c>
      <c r="B586" t="s">
        <v>137</v>
      </c>
      <c r="C586" t="s">
        <v>12</v>
      </c>
      <c r="D586">
        <v>2</v>
      </c>
      <c r="E586">
        <v>35</v>
      </c>
      <c r="F586">
        <v>3.4336067184188401E-3</v>
      </c>
      <c r="G586">
        <v>441</v>
      </c>
      <c r="H586">
        <v>1.7016186859001001E-2</v>
      </c>
      <c r="I586">
        <v>325</v>
      </c>
      <c r="L586">
        <v>4.2031481541236301E-2</v>
      </c>
      <c r="M586">
        <v>8.4251339831781805E-2</v>
      </c>
      <c r="N586">
        <v>2016</v>
      </c>
      <c r="O586" t="s">
        <v>13</v>
      </c>
      <c r="P586" t="s">
        <v>136</v>
      </c>
      <c r="Q586" t="s">
        <v>29</v>
      </c>
      <c r="R586" t="s">
        <v>20</v>
      </c>
    </row>
    <row r="587" spans="1:18" x14ac:dyDescent="0.25">
      <c r="A587" t="s">
        <v>134</v>
      </c>
      <c r="B587" t="s">
        <v>137</v>
      </c>
      <c r="C587" t="s">
        <v>12</v>
      </c>
      <c r="D587">
        <v>2</v>
      </c>
      <c r="E587">
        <v>45</v>
      </c>
      <c r="F587">
        <v>1.99657691813914E-2</v>
      </c>
      <c r="G587">
        <v>558</v>
      </c>
      <c r="H587">
        <v>3.5236203592788902E-2</v>
      </c>
      <c r="I587">
        <v>444</v>
      </c>
      <c r="L587">
        <v>3.4356453279866903E-2</v>
      </c>
      <c r="M587">
        <v>9.1377526760001701E-2</v>
      </c>
      <c r="N587">
        <v>2016</v>
      </c>
      <c r="O587" t="s">
        <v>13</v>
      </c>
      <c r="P587" t="s">
        <v>136</v>
      </c>
      <c r="Q587" t="s">
        <v>29</v>
      </c>
      <c r="R587" t="s">
        <v>20</v>
      </c>
    </row>
    <row r="588" spans="1:18" x14ac:dyDescent="0.25">
      <c r="A588" t="s">
        <v>134</v>
      </c>
      <c r="B588" t="s">
        <v>137</v>
      </c>
      <c r="C588" t="s">
        <v>12</v>
      </c>
      <c r="D588">
        <v>2</v>
      </c>
      <c r="E588">
        <v>55</v>
      </c>
      <c r="F588">
        <v>5.6462834113239498E-2</v>
      </c>
      <c r="G588">
        <v>766</v>
      </c>
      <c r="H588">
        <v>7.8634243145610003E-2</v>
      </c>
      <c r="I588">
        <v>579</v>
      </c>
      <c r="L588">
        <v>2.65621926388066E-2</v>
      </c>
      <c r="M588">
        <v>5.8071609989978103E-2</v>
      </c>
      <c r="N588">
        <v>2016</v>
      </c>
      <c r="O588" t="s">
        <v>13</v>
      </c>
      <c r="P588" t="s">
        <v>136</v>
      </c>
      <c r="Q588" t="s">
        <v>29</v>
      </c>
      <c r="R588" t="s">
        <v>20</v>
      </c>
    </row>
    <row r="589" spans="1:18" x14ac:dyDescent="0.25">
      <c r="A589" t="s">
        <v>134</v>
      </c>
      <c r="B589" t="s">
        <v>137</v>
      </c>
      <c r="C589" t="s">
        <v>12</v>
      </c>
      <c r="D589">
        <v>2</v>
      </c>
      <c r="E589">
        <v>65</v>
      </c>
      <c r="F589">
        <v>9.0637321295315598E-2</v>
      </c>
      <c r="G589">
        <v>756</v>
      </c>
      <c r="H589">
        <v>0.11350123789359</v>
      </c>
      <c r="I589">
        <v>575</v>
      </c>
      <c r="L589">
        <v>3.2113086665934397E-2</v>
      </c>
      <c r="M589">
        <v>6.1981284788203701E-2</v>
      </c>
      <c r="N589">
        <v>2016</v>
      </c>
      <c r="O589" t="s">
        <v>13</v>
      </c>
      <c r="P589" t="s">
        <v>136</v>
      </c>
      <c r="Q589" t="s">
        <v>29</v>
      </c>
      <c r="R589" t="s">
        <v>20</v>
      </c>
    </row>
    <row r="590" spans="1:18" x14ac:dyDescent="0.25">
      <c r="A590" t="s">
        <v>134</v>
      </c>
      <c r="B590" t="s">
        <v>137</v>
      </c>
      <c r="C590" t="s">
        <v>12</v>
      </c>
      <c r="D590">
        <v>1</v>
      </c>
      <c r="E590">
        <v>19</v>
      </c>
      <c r="F590">
        <v>1.44833824181144E-2</v>
      </c>
      <c r="G590">
        <v>28</v>
      </c>
      <c r="H590">
        <v>2.9372796585249799E-3</v>
      </c>
      <c r="I590">
        <v>18</v>
      </c>
      <c r="L590">
        <v>1.08334750292514E-2</v>
      </c>
      <c r="M590">
        <v>0.32644549325585098</v>
      </c>
      <c r="N590">
        <v>2016</v>
      </c>
      <c r="O590" t="s">
        <v>13</v>
      </c>
      <c r="P590" t="s">
        <v>136</v>
      </c>
      <c r="Q590" t="s">
        <v>29</v>
      </c>
      <c r="R590" t="s">
        <v>20</v>
      </c>
    </row>
    <row r="591" spans="1:18" x14ac:dyDescent="0.25">
      <c r="A591" t="s">
        <v>134</v>
      </c>
      <c r="B591" t="s">
        <v>137</v>
      </c>
      <c r="C591" t="s">
        <v>12</v>
      </c>
      <c r="D591">
        <v>1</v>
      </c>
      <c r="E591">
        <v>25</v>
      </c>
      <c r="F591">
        <v>1.9430669439905899E-3</v>
      </c>
      <c r="G591">
        <v>190</v>
      </c>
      <c r="H591">
        <v>6.6780542247946396E-3</v>
      </c>
      <c r="I591">
        <v>104</v>
      </c>
      <c r="L591">
        <v>2.8207884664466502E-2</v>
      </c>
      <c r="M591">
        <v>8.0407584185564193E-2</v>
      </c>
      <c r="N591">
        <v>2016</v>
      </c>
      <c r="O591" t="s">
        <v>13</v>
      </c>
      <c r="P591" t="s">
        <v>136</v>
      </c>
      <c r="Q591" t="s">
        <v>29</v>
      </c>
      <c r="R591" t="s">
        <v>20</v>
      </c>
    </row>
    <row r="592" spans="1:18" x14ac:dyDescent="0.25">
      <c r="A592" t="s">
        <v>134</v>
      </c>
      <c r="B592" t="s">
        <v>137</v>
      </c>
      <c r="C592" t="s">
        <v>12</v>
      </c>
      <c r="D592">
        <v>1</v>
      </c>
      <c r="E592">
        <v>35</v>
      </c>
      <c r="F592">
        <v>6.4919833419317501E-3</v>
      </c>
      <c r="G592">
        <v>194</v>
      </c>
      <c r="H592">
        <v>1.9369581420629101E-2</v>
      </c>
      <c r="I592">
        <v>126</v>
      </c>
      <c r="L592">
        <v>2.0464591922607099E-2</v>
      </c>
      <c r="M592">
        <v>4.7352830847768597E-2</v>
      </c>
      <c r="N592">
        <v>2016</v>
      </c>
      <c r="O592" t="s">
        <v>13</v>
      </c>
      <c r="P592" t="s">
        <v>136</v>
      </c>
      <c r="Q592" t="s">
        <v>29</v>
      </c>
      <c r="R592" t="s">
        <v>20</v>
      </c>
    </row>
    <row r="593" spans="1:18" x14ac:dyDescent="0.25">
      <c r="A593" t="s">
        <v>134</v>
      </c>
      <c r="B593" t="s">
        <v>137</v>
      </c>
      <c r="C593" t="s">
        <v>12</v>
      </c>
      <c r="D593">
        <v>1</v>
      </c>
      <c r="E593">
        <v>45</v>
      </c>
      <c r="F593">
        <v>1.50524074838534E-2</v>
      </c>
      <c r="G593">
        <v>254</v>
      </c>
      <c r="H593">
        <v>7.19854101036662E-2</v>
      </c>
      <c r="I593">
        <v>162</v>
      </c>
      <c r="L593">
        <v>2.1208352696155699E-2</v>
      </c>
      <c r="M593">
        <v>2.48281561505268E-2</v>
      </c>
      <c r="N593">
        <v>2016</v>
      </c>
      <c r="O593" t="s">
        <v>13</v>
      </c>
      <c r="P593" t="s">
        <v>136</v>
      </c>
      <c r="Q593" t="s">
        <v>29</v>
      </c>
      <c r="R593" t="s">
        <v>20</v>
      </c>
    </row>
    <row r="594" spans="1:18" x14ac:dyDescent="0.25">
      <c r="A594" t="s">
        <v>134</v>
      </c>
      <c r="B594" t="s">
        <v>137</v>
      </c>
      <c r="C594" t="s">
        <v>12</v>
      </c>
      <c r="D594">
        <v>1</v>
      </c>
      <c r="E594">
        <v>55</v>
      </c>
      <c r="F594">
        <v>6.22622091221278E-2</v>
      </c>
      <c r="G594">
        <v>328</v>
      </c>
      <c r="H594">
        <v>9.3075101384942405E-2</v>
      </c>
      <c r="I594">
        <v>222</v>
      </c>
      <c r="L594">
        <v>2.1372415370866801E-2</v>
      </c>
      <c r="M594">
        <v>4.3458812912769401E-2</v>
      </c>
      <c r="N594">
        <v>2016</v>
      </c>
      <c r="O594" t="s">
        <v>13</v>
      </c>
      <c r="P594" t="s">
        <v>136</v>
      </c>
      <c r="Q594" t="s">
        <v>29</v>
      </c>
      <c r="R594" t="s">
        <v>20</v>
      </c>
    </row>
    <row r="595" spans="1:18" x14ac:dyDescent="0.25">
      <c r="A595" t="s">
        <v>134</v>
      </c>
      <c r="B595" t="s">
        <v>137</v>
      </c>
      <c r="C595" t="s">
        <v>12</v>
      </c>
      <c r="D595">
        <v>1</v>
      </c>
      <c r="E595">
        <v>65</v>
      </c>
      <c r="F595">
        <v>6.8683554589466705E-2</v>
      </c>
      <c r="G595">
        <v>277</v>
      </c>
      <c r="H595">
        <v>7.5273194823570297E-2</v>
      </c>
      <c r="I595">
        <v>211</v>
      </c>
      <c r="L595">
        <v>2.9864640621775001E-2</v>
      </c>
      <c r="M595">
        <v>8.0997645450729405E-2</v>
      </c>
      <c r="N595">
        <v>2016</v>
      </c>
      <c r="O595" t="s">
        <v>13</v>
      </c>
      <c r="P595" t="s">
        <v>136</v>
      </c>
      <c r="Q595" t="s">
        <v>29</v>
      </c>
      <c r="R595" t="s">
        <v>20</v>
      </c>
    </row>
    <row r="596" spans="1:18" x14ac:dyDescent="0.25">
      <c r="A596" t="s">
        <v>138</v>
      </c>
      <c r="B596" t="s">
        <v>139</v>
      </c>
      <c r="C596" t="s">
        <v>40</v>
      </c>
      <c r="D596">
        <v>2</v>
      </c>
      <c r="E596">
        <v>27.5</v>
      </c>
      <c r="F596">
        <v>3.2573289902280101E-3</v>
      </c>
      <c r="G596">
        <v>307</v>
      </c>
      <c r="H596">
        <v>1.80744864033676E-2</v>
      </c>
      <c r="I596">
        <v>241</v>
      </c>
      <c r="L596">
        <v>1.9973917981776002E-2</v>
      </c>
      <c r="M596">
        <v>3.5031225061888702E-2</v>
      </c>
      <c r="N596">
        <v>2006</v>
      </c>
      <c r="O596" t="s">
        <v>41</v>
      </c>
      <c r="P596" t="s">
        <v>140</v>
      </c>
      <c r="Q596" t="s">
        <v>43</v>
      </c>
      <c r="R596" t="s">
        <v>44</v>
      </c>
    </row>
    <row r="597" spans="1:18" x14ac:dyDescent="0.25">
      <c r="A597" t="s">
        <v>138</v>
      </c>
      <c r="B597" t="s">
        <v>139</v>
      </c>
      <c r="C597" t="s">
        <v>40</v>
      </c>
      <c r="D597">
        <v>2</v>
      </c>
      <c r="E597">
        <v>35</v>
      </c>
      <c r="F597">
        <v>8.8495575221238902E-3</v>
      </c>
      <c r="G597">
        <v>565</v>
      </c>
      <c r="H597">
        <v>3.02566037713052E-2</v>
      </c>
      <c r="I597">
        <v>468</v>
      </c>
      <c r="L597">
        <v>2.7766486265130199E-2</v>
      </c>
      <c r="M597">
        <v>5.4102727167797598E-2</v>
      </c>
      <c r="N597">
        <v>2006</v>
      </c>
      <c r="O597" t="s">
        <v>41</v>
      </c>
      <c r="P597" t="s">
        <v>140</v>
      </c>
      <c r="Q597" t="s">
        <v>43</v>
      </c>
      <c r="R597" t="s">
        <v>44</v>
      </c>
    </row>
    <row r="598" spans="1:18" x14ac:dyDescent="0.25">
      <c r="A598" t="s">
        <v>138</v>
      </c>
      <c r="B598" t="s">
        <v>139</v>
      </c>
      <c r="C598" t="s">
        <v>40</v>
      </c>
      <c r="D598">
        <v>2</v>
      </c>
      <c r="E598">
        <v>45</v>
      </c>
      <c r="F598">
        <v>2.5171624713958798E-2</v>
      </c>
      <c r="G598">
        <v>437</v>
      </c>
      <c r="H598">
        <v>6.23249736745288E-2</v>
      </c>
      <c r="I598">
        <v>368</v>
      </c>
      <c r="L598">
        <v>2.2845119427428898E-2</v>
      </c>
      <c r="M598">
        <v>4.05245987637406E-2</v>
      </c>
      <c r="N598">
        <v>2006</v>
      </c>
      <c r="O598" t="s">
        <v>41</v>
      </c>
      <c r="P598" t="s">
        <v>140</v>
      </c>
      <c r="Q598" t="s">
        <v>43</v>
      </c>
      <c r="R598" t="s">
        <v>44</v>
      </c>
    </row>
    <row r="599" spans="1:18" x14ac:dyDescent="0.25">
      <c r="A599" t="s">
        <v>138</v>
      </c>
      <c r="B599" t="s">
        <v>139</v>
      </c>
      <c r="C599" t="s">
        <v>40</v>
      </c>
      <c r="D599">
        <v>2</v>
      </c>
      <c r="E599">
        <v>55</v>
      </c>
      <c r="F599">
        <v>5.2264808362369297E-2</v>
      </c>
      <c r="G599">
        <v>287</v>
      </c>
      <c r="H599">
        <v>6.7382899375528799E-2</v>
      </c>
      <c r="I599">
        <v>233</v>
      </c>
      <c r="L599">
        <v>2.9490614509765801E-2</v>
      </c>
      <c r="M599">
        <v>7.5868185389207005E-2</v>
      </c>
      <c r="N599">
        <v>2006</v>
      </c>
      <c r="O599" t="s">
        <v>41</v>
      </c>
      <c r="P599" t="s">
        <v>140</v>
      </c>
      <c r="Q599" t="s">
        <v>43</v>
      </c>
      <c r="R599" t="s">
        <v>44</v>
      </c>
    </row>
    <row r="600" spans="1:18" x14ac:dyDescent="0.25">
      <c r="A600" t="s">
        <v>138</v>
      </c>
      <c r="B600" t="s">
        <v>139</v>
      </c>
      <c r="C600" t="s">
        <v>40</v>
      </c>
      <c r="D600">
        <v>2</v>
      </c>
      <c r="E600">
        <v>65</v>
      </c>
      <c r="F600">
        <v>0.1</v>
      </c>
      <c r="G600">
        <v>110</v>
      </c>
      <c r="H600">
        <v>0.111727076970646</v>
      </c>
      <c r="I600">
        <v>93</v>
      </c>
      <c r="L600">
        <v>2.1818530417365301E-2</v>
      </c>
      <c r="M600">
        <v>4.54421277541368E-2</v>
      </c>
      <c r="N600">
        <v>2006</v>
      </c>
      <c r="O600" t="s">
        <v>41</v>
      </c>
      <c r="P600" t="s">
        <v>140</v>
      </c>
      <c r="Q600" t="s">
        <v>43</v>
      </c>
      <c r="R600" t="s">
        <v>44</v>
      </c>
    </row>
    <row r="601" spans="1:18" x14ac:dyDescent="0.25">
      <c r="A601" t="s">
        <v>138</v>
      </c>
      <c r="B601" t="s">
        <v>139</v>
      </c>
      <c r="C601" t="s">
        <v>40</v>
      </c>
      <c r="D601">
        <v>1</v>
      </c>
      <c r="E601">
        <v>27.5</v>
      </c>
      <c r="F601">
        <v>0</v>
      </c>
      <c r="G601">
        <v>168</v>
      </c>
      <c r="H601">
        <v>2.7701327998116702E-2</v>
      </c>
      <c r="I601">
        <v>130</v>
      </c>
      <c r="L601">
        <v>3.5855349090971399E-2</v>
      </c>
      <c r="M601">
        <v>0</v>
      </c>
      <c r="N601">
        <v>2006</v>
      </c>
      <c r="O601" t="s">
        <v>41</v>
      </c>
      <c r="P601" t="s">
        <v>140</v>
      </c>
      <c r="Q601" t="s">
        <v>43</v>
      </c>
      <c r="R601" t="s">
        <v>44</v>
      </c>
    </row>
    <row r="602" spans="1:18" x14ac:dyDescent="0.25">
      <c r="A602" t="s">
        <v>138</v>
      </c>
      <c r="B602" t="s">
        <v>139</v>
      </c>
      <c r="C602" t="s">
        <v>40</v>
      </c>
      <c r="D602">
        <v>1</v>
      </c>
      <c r="E602">
        <v>35</v>
      </c>
      <c r="F602">
        <v>0</v>
      </c>
      <c r="G602">
        <v>295</v>
      </c>
      <c r="H602">
        <v>3.5722851138462297E-2</v>
      </c>
      <c r="I602">
        <v>233</v>
      </c>
      <c r="L602">
        <v>2.3947477969012299E-2</v>
      </c>
      <c r="M602">
        <v>0</v>
      </c>
      <c r="N602">
        <v>2006</v>
      </c>
      <c r="O602" t="s">
        <v>41</v>
      </c>
      <c r="P602" t="s">
        <v>140</v>
      </c>
      <c r="Q602" t="s">
        <v>43</v>
      </c>
      <c r="R602" t="s">
        <v>44</v>
      </c>
    </row>
    <row r="603" spans="1:18" x14ac:dyDescent="0.25">
      <c r="A603" t="s">
        <v>138</v>
      </c>
      <c r="B603" t="s">
        <v>139</v>
      </c>
      <c r="C603" t="s">
        <v>40</v>
      </c>
      <c r="D603">
        <v>1</v>
      </c>
      <c r="E603">
        <v>45</v>
      </c>
      <c r="F603">
        <v>5.1020408163265302E-3</v>
      </c>
      <c r="G603">
        <v>196</v>
      </c>
      <c r="H603">
        <v>5.1095569530564301E-2</v>
      </c>
      <c r="I603">
        <v>148</v>
      </c>
      <c r="L603">
        <v>2.6510715802101601E-2</v>
      </c>
      <c r="M603">
        <v>2.5436880071847599E-2</v>
      </c>
      <c r="N603">
        <v>2006</v>
      </c>
      <c r="O603" t="s">
        <v>41</v>
      </c>
      <c r="P603" t="s">
        <v>140</v>
      </c>
      <c r="Q603" t="s">
        <v>43</v>
      </c>
      <c r="R603" t="s">
        <v>44</v>
      </c>
    </row>
    <row r="604" spans="1:18" x14ac:dyDescent="0.25">
      <c r="A604" t="s">
        <v>138</v>
      </c>
      <c r="B604" t="s">
        <v>139</v>
      </c>
      <c r="C604" t="s">
        <v>40</v>
      </c>
      <c r="D604">
        <v>1</v>
      </c>
      <c r="E604">
        <v>55</v>
      </c>
      <c r="F604">
        <v>4.48717948717949E-2</v>
      </c>
      <c r="G604">
        <v>156</v>
      </c>
      <c r="H604">
        <v>8.6099327995184397E-2</v>
      </c>
      <c r="I604">
        <v>124</v>
      </c>
      <c r="L604">
        <v>1.06803903285829E-2</v>
      </c>
      <c r="M604">
        <v>1.8821528991005601E-2</v>
      </c>
      <c r="N604">
        <v>2006</v>
      </c>
      <c r="O604" t="s">
        <v>41</v>
      </c>
      <c r="P604" t="s">
        <v>140</v>
      </c>
      <c r="Q604" t="s">
        <v>43</v>
      </c>
      <c r="R604" t="s">
        <v>44</v>
      </c>
    </row>
    <row r="605" spans="1:18" x14ac:dyDescent="0.25">
      <c r="A605" t="s">
        <v>138</v>
      </c>
      <c r="B605" t="s">
        <v>139</v>
      </c>
      <c r="C605" t="s">
        <v>40</v>
      </c>
      <c r="D605">
        <v>1</v>
      </c>
      <c r="E605">
        <v>65</v>
      </c>
      <c r="F605">
        <v>5.5555555555555601E-2</v>
      </c>
      <c r="G605">
        <v>72</v>
      </c>
      <c r="H605">
        <v>6.8170774019838398E-2</v>
      </c>
      <c r="I605">
        <v>60</v>
      </c>
      <c r="L605">
        <v>1.54530634943125E-2</v>
      </c>
      <c r="M605">
        <v>3.5728142546251403E-2</v>
      </c>
      <c r="N605">
        <v>2006</v>
      </c>
      <c r="O605" t="s">
        <v>41</v>
      </c>
      <c r="P605" t="s">
        <v>140</v>
      </c>
      <c r="Q605" t="s">
        <v>43</v>
      </c>
      <c r="R605" t="s">
        <v>44</v>
      </c>
    </row>
    <row r="606" spans="1:18" x14ac:dyDescent="0.25">
      <c r="A606" t="s">
        <v>138</v>
      </c>
      <c r="B606" t="s">
        <v>1197</v>
      </c>
      <c r="C606" t="s">
        <v>12</v>
      </c>
      <c r="D606">
        <v>2</v>
      </c>
      <c r="E606">
        <v>19</v>
      </c>
      <c r="F606">
        <v>0</v>
      </c>
      <c r="G606">
        <v>109</v>
      </c>
      <c r="H606">
        <v>2.2060701347604E-2</v>
      </c>
      <c r="I606">
        <v>104</v>
      </c>
      <c r="L606">
        <v>9.2230191360722205E-2</v>
      </c>
      <c r="M606">
        <v>0</v>
      </c>
      <c r="N606">
        <v>2023</v>
      </c>
      <c r="O606" t="s">
        <v>13</v>
      </c>
      <c r="P606" t="s">
        <v>140</v>
      </c>
      <c r="Q606" t="s">
        <v>43</v>
      </c>
      <c r="R606" t="s">
        <v>44</v>
      </c>
    </row>
    <row r="607" spans="1:18" x14ac:dyDescent="0.25">
      <c r="A607" t="s">
        <v>138</v>
      </c>
      <c r="B607" t="s">
        <v>1197</v>
      </c>
      <c r="C607" t="s">
        <v>12</v>
      </c>
      <c r="D607">
        <v>2</v>
      </c>
      <c r="E607">
        <v>25</v>
      </c>
      <c r="F607">
        <v>6.2999963286778596E-4</v>
      </c>
      <c r="G607">
        <v>690</v>
      </c>
      <c r="H607">
        <v>4.8080819087645103E-2</v>
      </c>
      <c r="I607">
        <v>637</v>
      </c>
      <c r="L607">
        <v>7.1136826707192E-2</v>
      </c>
      <c r="M607">
        <v>3.6609980658371698E-2</v>
      </c>
      <c r="N607">
        <v>2023</v>
      </c>
      <c r="O607" t="s">
        <v>13</v>
      </c>
      <c r="P607" t="s">
        <v>140</v>
      </c>
      <c r="Q607" t="s">
        <v>43</v>
      </c>
      <c r="R607" t="s">
        <v>44</v>
      </c>
    </row>
    <row r="608" spans="1:18" x14ac:dyDescent="0.25">
      <c r="A608" t="s">
        <v>138</v>
      </c>
      <c r="B608" t="s">
        <v>1197</v>
      </c>
      <c r="C608" t="s">
        <v>12</v>
      </c>
      <c r="D608">
        <v>2</v>
      </c>
      <c r="E608">
        <v>35</v>
      </c>
      <c r="F608">
        <v>4.2081211497819798E-3</v>
      </c>
      <c r="G608">
        <v>892</v>
      </c>
      <c r="H608">
        <v>7.7148173644322401E-2</v>
      </c>
      <c r="I608">
        <v>841</v>
      </c>
      <c r="L608">
        <v>7.3958314220528398E-2</v>
      </c>
      <c r="M608">
        <v>4.6707550752918402E-2</v>
      </c>
      <c r="N608">
        <v>2023</v>
      </c>
      <c r="O608" t="s">
        <v>13</v>
      </c>
      <c r="P608" t="s">
        <v>140</v>
      </c>
      <c r="Q608" t="s">
        <v>43</v>
      </c>
      <c r="R608" t="s">
        <v>44</v>
      </c>
    </row>
    <row r="609" spans="1:18" x14ac:dyDescent="0.25">
      <c r="A609" t="s">
        <v>138</v>
      </c>
      <c r="B609" t="s">
        <v>1197</v>
      </c>
      <c r="C609" t="s">
        <v>12</v>
      </c>
      <c r="D609">
        <v>2</v>
      </c>
      <c r="E609">
        <v>45</v>
      </c>
      <c r="F609">
        <v>2.1082637850421901E-2</v>
      </c>
      <c r="G609">
        <v>767</v>
      </c>
      <c r="H609">
        <v>0.121372168045048</v>
      </c>
      <c r="I609">
        <v>709</v>
      </c>
      <c r="L609">
        <v>7.0230491488502106E-2</v>
      </c>
      <c r="M609">
        <v>5.4825014559841699E-2</v>
      </c>
      <c r="N609">
        <v>2023</v>
      </c>
      <c r="O609" t="s">
        <v>13</v>
      </c>
      <c r="P609" t="s">
        <v>140</v>
      </c>
      <c r="Q609" t="s">
        <v>43</v>
      </c>
      <c r="R609" t="s">
        <v>44</v>
      </c>
    </row>
    <row r="610" spans="1:18" x14ac:dyDescent="0.25">
      <c r="A610" t="s">
        <v>138</v>
      </c>
      <c r="B610" t="s">
        <v>1197</v>
      </c>
      <c r="C610" t="s">
        <v>12</v>
      </c>
      <c r="D610">
        <v>2</v>
      </c>
      <c r="E610">
        <v>55</v>
      </c>
      <c r="F610">
        <v>8.3470511478154694E-2</v>
      </c>
      <c r="G610">
        <v>455</v>
      </c>
      <c r="H610">
        <v>0.17679538547160301</v>
      </c>
      <c r="I610">
        <v>401</v>
      </c>
      <c r="L610">
        <v>5.4320796443189802E-2</v>
      </c>
      <c r="M610">
        <v>5.36471271423761E-2</v>
      </c>
      <c r="N610">
        <v>2023</v>
      </c>
      <c r="O610" t="s">
        <v>13</v>
      </c>
      <c r="P610" t="s">
        <v>140</v>
      </c>
      <c r="Q610" t="s">
        <v>43</v>
      </c>
      <c r="R610" t="s">
        <v>44</v>
      </c>
    </row>
    <row r="611" spans="1:18" x14ac:dyDescent="0.25">
      <c r="A611" t="s">
        <v>138</v>
      </c>
      <c r="B611" t="s">
        <v>1197</v>
      </c>
      <c r="C611" t="s">
        <v>12</v>
      </c>
      <c r="D611">
        <v>2</v>
      </c>
      <c r="E611">
        <v>65</v>
      </c>
      <c r="F611">
        <v>9.4715209379651999E-2</v>
      </c>
      <c r="G611">
        <v>338</v>
      </c>
      <c r="H611">
        <v>0.19819617741711901</v>
      </c>
      <c r="I611">
        <v>296</v>
      </c>
      <c r="L611">
        <v>6.6729503471360405E-2</v>
      </c>
      <c r="M611">
        <v>6.2964852356250503E-2</v>
      </c>
      <c r="N611">
        <v>2023</v>
      </c>
      <c r="O611" t="s">
        <v>13</v>
      </c>
      <c r="P611" t="s">
        <v>140</v>
      </c>
      <c r="Q611" t="s">
        <v>43</v>
      </c>
      <c r="R611" t="s">
        <v>44</v>
      </c>
    </row>
    <row r="612" spans="1:18" x14ac:dyDescent="0.25">
      <c r="A612" t="s">
        <v>138</v>
      </c>
      <c r="B612" t="s">
        <v>1197</v>
      </c>
      <c r="C612" t="s">
        <v>12</v>
      </c>
      <c r="D612">
        <v>1</v>
      </c>
      <c r="E612">
        <v>19</v>
      </c>
      <c r="F612">
        <v>0</v>
      </c>
      <c r="G612">
        <v>90</v>
      </c>
      <c r="H612">
        <v>3.2242680653744901E-2</v>
      </c>
      <c r="I612">
        <v>84</v>
      </c>
      <c r="L612">
        <v>5.8188271111950102E-2</v>
      </c>
      <c r="M612">
        <v>0</v>
      </c>
      <c r="N612">
        <v>2023</v>
      </c>
      <c r="O612" t="s">
        <v>13</v>
      </c>
      <c r="P612" t="s">
        <v>140</v>
      </c>
      <c r="Q612" t="s">
        <v>43</v>
      </c>
      <c r="R612" t="s">
        <v>44</v>
      </c>
    </row>
    <row r="613" spans="1:18" x14ac:dyDescent="0.25">
      <c r="A613" t="s">
        <v>138</v>
      </c>
      <c r="B613" t="s">
        <v>1197</v>
      </c>
      <c r="C613" t="s">
        <v>12</v>
      </c>
      <c r="D613">
        <v>1</v>
      </c>
      <c r="E613">
        <v>25</v>
      </c>
      <c r="F613">
        <v>0</v>
      </c>
      <c r="G613">
        <v>460</v>
      </c>
      <c r="H613">
        <v>6.4593851588646306E-2</v>
      </c>
      <c r="I613">
        <v>437</v>
      </c>
      <c r="L613">
        <v>3.3062258913612599E-2</v>
      </c>
      <c r="M613">
        <v>0</v>
      </c>
      <c r="N613">
        <v>2023</v>
      </c>
      <c r="O613" t="s">
        <v>13</v>
      </c>
      <c r="P613" t="s">
        <v>140</v>
      </c>
      <c r="Q613" t="s">
        <v>43</v>
      </c>
      <c r="R613" t="s">
        <v>44</v>
      </c>
    </row>
    <row r="614" spans="1:18" x14ac:dyDescent="0.25">
      <c r="A614" t="s">
        <v>138</v>
      </c>
      <c r="B614" t="s">
        <v>1197</v>
      </c>
      <c r="C614" t="s">
        <v>12</v>
      </c>
      <c r="D614">
        <v>1</v>
      </c>
      <c r="E614">
        <v>35</v>
      </c>
      <c r="F614">
        <v>0</v>
      </c>
      <c r="G614">
        <v>448</v>
      </c>
      <c r="H614">
        <v>5.3759509269002997E-2</v>
      </c>
      <c r="I614">
        <v>418</v>
      </c>
      <c r="L614">
        <v>0.11147928389697399</v>
      </c>
      <c r="M614">
        <v>0</v>
      </c>
      <c r="N614">
        <v>2023</v>
      </c>
      <c r="O614" t="s">
        <v>13</v>
      </c>
      <c r="P614" t="s">
        <v>140</v>
      </c>
      <c r="Q614" t="s">
        <v>43</v>
      </c>
      <c r="R614" t="s">
        <v>44</v>
      </c>
    </row>
    <row r="615" spans="1:18" x14ac:dyDescent="0.25">
      <c r="A615" t="s">
        <v>138</v>
      </c>
      <c r="B615" t="s">
        <v>1197</v>
      </c>
      <c r="C615" t="s">
        <v>12</v>
      </c>
      <c r="D615">
        <v>1</v>
      </c>
      <c r="E615">
        <v>45</v>
      </c>
      <c r="F615">
        <v>6.7251603173216897E-3</v>
      </c>
      <c r="G615">
        <v>476</v>
      </c>
      <c r="H615">
        <v>9.5635147334943604E-2</v>
      </c>
      <c r="I615">
        <v>442</v>
      </c>
      <c r="L615">
        <v>7.6177577720775699E-2</v>
      </c>
      <c r="M615">
        <v>4.5318217393584097E-2</v>
      </c>
      <c r="N615">
        <v>2023</v>
      </c>
      <c r="O615" t="s">
        <v>13</v>
      </c>
      <c r="P615" t="s">
        <v>140</v>
      </c>
      <c r="Q615" t="s">
        <v>43</v>
      </c>
      <c r="R615" t="s">
        <v>44</v>
      </c>
    </row>
    <row r="616" spans="1:18" x14ac:dyDescent="0.25">
      <c r="A616" t="s">
        <v>138</v>
      </c>
      <c r="B616" t="s">
        <v>1197</v>
      </c>
      <c r="C616" t="s">
        <v>12</v>
      </c>
      <c r="D616">
        <v>1</v>
      </c>
      <c r="E616">
        <v>55</v>
      </c>
      <c r="F616">
        <v>1.27768000305427E-2</v>
      </c>
      <c r="G616">
        <v>316</v>
      </c>
      <c r="H616">
        <v>0.119924389031267</v>
      </c>
      <c r="I616">
        <v>284</v>
      </c>
      <c r="L616">
        <v>8.7241519137048099E-2</v>
      </c>
      <c r="M616">
        <v>5.6145679294891303E-2</v>
      </c>
      <c r="N616">
        <v>2023</v>
      </c>
      <c r="O616" t="s">
        <v>13</v>
      </c>
      <c r="P616" t="s">
        <v>140</v>
      </c>
      <c r="Q616" t="s">
        <v>43</v>
      </c>
      <c r="R616" t="s">
        <v>44</v>
      </c>
    </row>
    <row r="617" spans="1:18" x14ac:dyDescent="0.25">
      <c r="A617" t="s">
        <v>138</v>
      </c>
      <c r="B617" t="s">
        <v>1197</v>
      </c>
      <c r="C617" t="s">
        <v>12</v>
      </c>
      <c r="D617">
        <v>1</v>
      </c>
      <c r="E617">
        <v>65</v>
      </c>
      <c r="F617">
        <v>3.6575648302925999E-2</v>
      </c>
      <c r="G617">
        <v>232</v>
      </c>
      <c r="H617">
        <v>0.195497366182451</v>
      </c>
      <c r="I617">
        <v>206</v>
      </c>
      <c r="L617">
        <v>6.6530468120212502E-2</v>
      </c>
      <c r="M617">
        <v>3.7327481690406797E-2</v>
      </c>
      <c r="N617">
        <v>2023</v>
      </c>
      <c r="O617" t="s">
        <v>13</v>
      </c>
      <c r="P617" t="s">
        <v>140</v>
      </c>
      <c r="Q617" t="s">
        <v>43</v>
      </c>
      <c r="R617" t="s">
        <v>44</v>
      </c>
    </row>
    <row r="618" spans="1:18" x14ac:dyDescent="0.25">
      <c r="A618" t="s">
        <v>141</v>
      </c>
      <c r="B618" t="s">
        <v>142</v>
      </c>
      <c r="C618" t="s">
        <v>12</v>
      </c>
      <c r="D618">
        <v>2</v>
      </c>
      <c r="E618">
        <v>19</v>
      </c>
      <c r="F618">
        <v>0</v>
      </c>
      <c r="G618">
        <v>90</v>
      </c>
      <c r="H618">
        <v>4.5368906593872601E-3</v>
      </c>
      <c r="I618">
        <v>89</v>
      </c>
      <c r="L618">
        <v>0.13121253564072</v>
      </c>
      <c r="M618">
        <v>0</v>
      </c>
      <c r="N618">
        <v>2009</v>
      </c>
      <c r="O618" t="s">
        <v>53</v>
      </c>
      <c r="P618" t="s">
        <v>143</v>
      </c>
      <c r="Q618" t="s">
        <v>43</v>
      </c>
      <c r="R618" t="s">
        <v>44</v>
      </c>
    </row>
    <row r="619" spans="1:18" x14ac:dyDescent="0.25">
      <c r="A619" t="s">
        <v>141</v>
      </c>
      <c r="B619" t="s">
        <v>142</v>
      </c>
      <c r="C619" t="s">
        <v>12</v>
      </c>
      <c r="D619">
        <v>2</v>
      </c>
      <c r="E619">
        <v>25</v>
      </c>
      <c r="F619">
        <v>0</v>
      </c>
      <c r="G619">
        <v>393</v>
      </c>
      <c r="H619">
        <v>1.8242088842495501E-2</v>
      </c>
      <c r="I619">
        <v>387</v>
      </c>
      <c r="L619">
        <v>2.4533359357628799E-2</v>
      </c>
      <c r="M619">
        <v>0</v>
      </c>
      <c r="N619">
        <v>2009</v>
      </c>
      <c r="O619" t="s">
        <v>53</v>
      </c>
      <c r="P619" t="s">
        <v>143</v>
      </c>
      <c r="Q619" t="s">
        <v>43</v>
      </c>
      <c r="R619" t="s">
        <v>44</v>
      </c>
    </row>
    <row r="620" spans="1:18" x14ac:dyDescent="0.25">
      <c r="A620" t="s">
        <v>141</v>
      </c>
      <c r="B620" t="s">
        <v>142</v>
      </c>
      <c r="C620" t="s">
        <v>12</v>
      </c>
      <c r="D620">
        <v>2</v>
      </c>
      <c r="E620">
        <v>35</v>
      </c>
      <c r="F620">
        <v>0</v>
      </c>
      <c r="G620">
        <v>283</v>
      </c>
      <c r="H620">
        <v>4.19859490903286E-2</v>
      </c>
      <c r="I620">
        <v>276</v>
      </c>
      <c r="L620">
        <v>1.6104907673443001E-2</v>
      </c>
      <c r="M620">
        <v>0</v>
      </c>
      <c r="N620">
        <v>2009</v>
      </c>
      <c r="O620" t="s">
        <v>53</v>
      </c>
      <c r="P620" t="s">
        <v>143</v>
      </c>
      <c r="Q620" t="s">
        <v>43</v>
      </c>
      <c r="R620" t="s">
        <v>44</v>
      </c>
    </row>
    <row r="621" spans="1:18" x14ac:dyDescent="0.25">
      <c r="A621" t="s">
        <v>141</v>
      </c>
      <c r="B621" t="s">
        <v>142</v>
      </c>
      <c r="C621" t="s">
        <v>12</v>
      </c>
      <c r="D621">
        <v>2</v>
      </c>
      <c r="E621">
        <v>45</v>
      </c>
      <c r="F621">
        <v>2.2749284896769399E-3</v>
      </c>
      <c r="G621">
        <v>188</v>
      </c>
      <c r="H621">
        <v>7.0459401905351104E-2</v>
      </c>
      <c r="I621">
        <v>184</v>
      </c>
      <c r="L621">
        <v>2.07087403949665E-2</v>
      </c>
      <c r="M621">
        <v>1.18320456900956E-2</v>
      </c>
      <c r="N621">
        <v>2009</v>
      </c>
      <c r="O621" t="s">
        <v>53</v>
      </c>
      <c r="P621" t="s">
        <v>143</v>
      </c>
      <c r="Q621" t="s">
        <v>43</v>
      </c>
      <c r="R621" t="s">
        <v>44</v>
      </c>
    </row>
    <row r="622" spans="1:18" x14ac:dyDescent="0.25">
      <c r="A622" t="s">
        <v>141</v>
      </c>
      <c r="B622" t="s">
        <v>142</v>
      </c>
      <c r="C622" t="s">
        <v>12</v>
      </c>
      <c r="D622">
        <v>2</v>
      </c>
      <c r="E622">
        <v>55</v>
      </c>
      <c r="F622">
        <v>5.0200239047202097E-2</v>
      </c>
      <c r="G622">
        <v>123</v>
      </c>
      <c r="H622">
        <v>6.5311250765184001E-2</v>
      </c>
      <c r="I622">
        <v>115</v>
      </c>
      <c r="L622">
        <v>2.0726409392880001E-2</v>
      </c>
      <c r="M622">
        <v>4.9909980948738997E-2</v>
      </c>
      <c r="N622">
        <v>2009</v>
      </c>
      <c r="O622" t="s">
        <v>53</v>
      </c>
      <c r="P622" t="s">
        <v>143</v>
      </c>
      <c r="Q622" t="s">
        <v>43</v>
      </c>
      <c r="R622" t="s">
        <v>44</v>
      </c>
    </row>
    <row r="623" spans="1:18" x14ac:dyDescent="0.25">
      <c r="A623" t="s">
        <v>141</v>
      </c>
      <c r="B623" t="s">
        <v>142</v>
      </c>
      <c r="C623" t="s">
        <v>12</v>
      </c>
      <c r="D623">
        <v>2</v>
      </c>
      <c r="E623">
        <v>62.5</v>
      </c>
      <c r="F623">
        <v>7.7409008294611295E-2</v>
      </c>
      <c r="G623">
        <v>54</v>
      </c>
      <c r="H623">
        <v>9.4857341651729002E-2</v>
      </c>
      <c r="I623">
        <v>50</v>
      </c>
      <c r="L623">
        <v>1.9774520713389001E-2</v>
      </c>
      <c r="M623">
        <v>4.0964525596142103E-2</v>
      </c>
      <c r="N623">
        <v>2009</v>
      </c>
      <c r="O623" t="s">
        <v>53</v>
      </c>
      <c r="P623" t="s">
        <v>143</v>
      </c>
      <c r="Q623" t="s">
        <v>43</v>
      </c>
      <c r="R623" t="s">
        <v>44</v>
      </c>
    </row>
    <row r="624" spans="1:18" x14ac:dyDescent="0.25">
      <c r="A624" t="s">
        <v>141</v>
      </c>
      <c r="B624" t="s">
        <v>142</v>
      </c>
      <c r="C624" t="s">
        <v>12</v>
      </c>
      <c r="D624">
        <v>1</v>
      </c>
      <c r="E624">
        <v>19</v>
      </c>
      <c r="F624">
        <v>0</v>
      </c>
      <c r="G624">
        <v>69</v>
      </c>
      <c r="H624">
        <v>1.48146696316288E-2</v>
      </c>
      <c r="I624">
        <v>68</v>
      </c>
      <c r="L624">
        <v>2.3516799779245201E-2</v>
      </c>
      <c r="M624">
        <v>0</v>
      </c>
      <c r="N624">
        <v>2009</v>
      </c>
      <c r="O624" t="s">
        <v>53</v>
      </c>
      <c r="P624" t="s">
        <v>143</v>
      </c>
      <c r="Q624" t="s">
        <v>43</v>
      </c>
      <c r="R624" t="s">
        <v>44</v>
      </c>
    </row>
    <row r="625" spans="1:18" x14ac:dyDescent="0.25">
      <c r="A625" t="s">
        <v>141</v>
      </c>
      <c r="B625" t="s">
        <v>142</v>
      </c>
      <c r="C625" t="s">
        <v>12</v>
      </c>
      <c r="D625">
        <v>1</v>
      </c>
      <c r="E625">
        <v>25</v>
      </c>
      <c r="F625">
        <v>0</v>
      </c>
      <c r="G625">
        <v>286</v>
      </c>
      <c r="H625">
        <v>1.4088718311803101E-2</v>
      </c>
      <c r="I625">
        <v>281</v>
      </c>
      <c r="L625">
        <v>3.5549724058095901E-2</v>
      </c>
      <c r="M625">
        <v>0</v>
      </c>
      <c r="N625">
        <v>2009</v>
      </c>
      <c r="O625" t="s">
        <v>53</v>
      </c>
      <c r="P625" t="s">
        <v>143</v>
      </c>
      <c r="Q625" t="s">
        <v>43</v>
      </c>
      <c r="R625" t="s">
        <v>44</v>
      </c>
    </row>
    <row r="626" spans="1:18" x14ac:dyDescent="0.25">
      <c r="A626" t="s">
        <v>141</v>
      </c>
      <c r="B626" t="s">
        <v>142</v>
      </c>
      <c r="C626" t="s">
        <v>12</v>
      </c>
      <c r="D626">
        <v>1</v>
      </c>
      <c r="E626">
        <v>35</v>
      </c>
      <c r="F626">
        <v>0</v>
      </c>
      <c r="G626">
        <v>236</v>
      </c>
      <c r="H626">
        <v>3.8706556429549198E-2</v>
      </c>
      <c r="I626">
        <v>230</v>
      </c>
      <c r="L626">
        <v>2.2440740873148901E-2</v>
      </c>
      <c r="M626">
        <v>0</v>
      </c>
      <c r="N626">
        <v>2009</v>
      </c>
      <c r="O626" t="s">
        <v>53</v>
      </c>
      <c r="P626" t="s">
        <v>143</v>
      </c>
      <c r="Q626" t="s">
        <v>43</v>
      </c>
      <c r="R626" t="s">
        <v>44</v>
      </c>
    </row>
    <row r="627" spans="1:18" x14ac:dyDescent="0.25">
      <c r="A627" t="s">
        <v>141</v>
      </c>
      <c r="B627" t="s">
        <v>142</v>
      </c>
      <c r="C627" t="s">
        <v>12</v>
      </c>
      <c r="D627">
        <v>1</v>
      </c>
      <c r="E627">
        <v>45</v>
      </c>
      <c r="F627">
        <v>1.44383081830306E-3</v>
      </c>
      <c r="G627">
        <v>183</v>
      </c>
      <c r="H627">
        <v>3.1730774889174702E-2</v>
      </c>
      <c r="I627">
        <v>178</v>
      </c>
      <c r="L627">
        <v>4.2719033465447503E-2</v>
      </c>
      <c r="M627">
        <v>3.6641712237624899E-2</v>
      </c>
      <c r="N627">
        <v>2009</v>
      </c>
      <c r="O627" t="s">
        <v>53</v>
      </c>
      <c r="P627" t="s">
        <v>143</v>
      </c>
      <c r="Q627" t="s">
        <v>43</v>
      </c>
      <c r="R627" t="s">
        <v>44</v>
      </c>
    </row>
    <row r="628" spans="1:18" x14ac:dyDescent="0.25">
      <c r="A628" t="s">
        <v>141</v>
      </c>
      <c r="B628" t="s">
        <v>142</v>
      </c>
      <c r="C628" t="s">
        <v>12</v>
      </c>
      <c r="D628">
        <v>1</v>
      </c>
      <c r="E628">
        <v>55</v>
      </c>
      <c r="F628">
        <v>9.2928814487620894E-3</v>
      </c>
      <c r="G628">
        <v>194</v>
      </c>
      <c r="H628">
        <v>8.1056370034372202E-2</v>
      </c>
      <c r="I628">
        <v>183</v>
      </c>
      <c r="L628">
        <v>2.43191079111706E-2</v>
      </c>
      <c r="M628">
        <v>2.0458424526786902E-2</v>
      </c>
      <c r="N628">
        <v>2009</v>
      </c>
      <c r="O628" t="s">
        <v>53</v>
      </c>
      <c r="P628" t="s">
        <v>143</v>
      </c>
      <c r="Q628" t="s">
        <v>43</v>
      </c>
      <c r="R628" t="s">
        <v>44</v>
      </c>
    </row>
    <row r="629" spans="1:18" x14ac:dyDescent="0.25">
      <c r="A629" t="s">
        <v>141</v>
      </c>
      <c r="B629" t="s">
        <v>142</v>
      </c>
      <c r="C629" t="s">
        <v>12</v>
      </c>
      <c r="D629">
        <v>1</v>
      </c>
      <c r="E629">
        <v>62.5</v>
      </c>
      <c r="F629">
        <v>2.4833320862932801E-2</v>
      </c>
      <c r="G629">
        <v>88</v>
      </c>
      <c r="H629">
        <v>0.11535798206251301</v>
      </c>
      <c r="I629">
        <v>79</v>
      </c>
      <c r="L629">
        <v>2.1811259925515102E-2</v>
      </c>
      <c r="M629">
        <v>1.9380732960793099E-2</v>
      </c>
      <c r="N629">
        <v>2009</v>
      </c>
      <c r="O629" t="s">
        <v>53</v>
      </c>
      <c r="P629" t="s">
        <v>143</v>
      </c>
      <c r="Q629" t="s">
        <v>43</v>
      </c>
      <c r="R629" t="s">
        <v>44</v>
      </c>
    </row>
    <row r="630" spans="1:18" x14ac:dyDescent="0.25">
      <c r="A630" t="s">
        <v>144</v>
      </c>
      <c r="B630" t="s">
        <v>145</v>
      </c>
      <c r="C630" t="s">
        <v>40</v>
      </c>
      <c r="D630">
        <v>2</v>
      </c>
      <c r="E630">
        <v>19</v>
      </c>
      <c r="F630">
        <v>0</v>
      </c>
      <c r="G630">
        <v>45</v>
      </c>
      <c r="H630">
        <v>0.18541802757710599</v>
      </c>
      <c r="I630">
        <v>36</v>
      </c>
      <c r="L630">
        <v>9.4056813663405594E-3</v>
      </c>
      <c r="M630">
        <v>0</v>
      </c>
      <c r="N630">
        <v>2015</v>
      </c>
      <c r="O630" t="s">
        <v>53</v>
      </c>
      <c r="P630" t="s">
        <v>146</v>
      </c>
      <c r="Q630" t="s">
        <v>147</v>
      </c>
      <c r="R630" t="s">
        <v>25</v>
      </c>
    </row>
    <row r="631" spans="1:18" x14ac:dyDescent="0.25">
      <c r="A631" t="s">
        <v>144</v>
      </c>
      <c r="B631" t="s">
        <v>145</v>
      </c>
      <c r="C631" t="s">
        <v>40</v>
      </c>
      <c r="D631">
        <v>2</v>
      </c>
      <c r="E631">
        <v>25</v>
      </c>
      <c r="F631">
        <v>1.5737457077834902E-2</v>
      </c>
      <c r="G631">
        <v>252</v>
      </c>
      <c r="H631">
        <v>0.13758498954182199</v>
      </c>
      <c r="I631">
        <v>217</v>
      </c>
      <c r="L631">
        <v>2.0864245165295801E-2</v>
      </c>
      <c r="M631">
        <v>1.25282168564811E-2</v>
      </c>
      <c r="N631">
        <v>2015</v>
      </c>
      <c r="O631" t="s">
        <v>53</v>
      </c>
      <c r="P631" t="s">
        <v>146</v>
      </c>
      <c r="Q631" t="s">
        <v>147</v>
      </c>
      <c r="R631" t="s">
        <v>25</v>
      </c>
    </row>
    <row r="632" spans="1:18" x14ac:dyDescent="0.25">
      <c r="A632" t="s">
        <v>144</v>
      </c>
      <c r="B632" t="s">
        <v>145</v>
      </c>
      <c r="C632" t="s">
        <v>40</v>
      </c>
      <c r="D632">
        <v>2</v>
      </c>
      <c r="E632">
        <v>35</v>
      </c>
      <c r="F632">
        <v>5.0405936498086702E-2</v>
      </c>
      <c r="G632">
        <v>313</v>
      </c>
      <c r="H632">
        <v>0.18734564898762601</v>
      </c>
      <c r="I632">
        <v>249</v>
      </c>
      <c r="L632">
        <v>2.4410332109550799E-2</v>
      </c>
      <c r="M632">
        <v>1.69722432316484E-2</v>
      </c>
      <c r="N632">
        <v>2015</v>
      </c>
      <c r="O632" t="s">
        <v>53</v>
      </c>
      <c r="P632" t="s">
        <v>146</v>
      </c>
      <c r="Q632" t="s">
        <v>147</v>
      </c>
      <c r="R632" t="s">
        <v>25</v>
      </c>
    </row>
    <row r="633" spans="1:18" x14ac:dyDescent="0.25">
      <c r="A633" t="s">
        <v>144</v>
      </c>
      <c r="B633" t="s">
        <v>145</v>
      </c>
      <c r="C633" t="s">
        <v>40</v>
      </c>
      <c r="D633">
        <v>2</v>
      </c>
      <c r="E633">
        <v>45</v>
      </c>
      <c r="F633">
        <v>4.65596545574017E-2</v>
      </c>
      <c r="G633">
        <v>268</v>
      </c>
      <c r="H633">
        <v>0.25260807748492198</v>
      </c>
      <c r="I633">
        <v>216</v>
      </c>
      <c r="L633">
        <v>3.9723154590157399E-2</v>
      </c>
      <c r="M633">
        <v>1.78965921993171E-2</v>
      </c>
      <c r="N633">
        <v>2015</v>
      </c>
      <c r="O633" t="s">
        <v>53</v>
      </c>
      <c r="P633" t="s">
        <v>146</v>
      </c>
      <c r="Q633" t="s">
        <v>147</v>
      </c>
      <c r="R633" t="s">
        <v>25</v>
      </c>
    </row>
    <row r="634" spans="1:18" x14ac:dyDescent="0.25">
      <c r="A634" t="s">
        <v>144</v>
      </c>
      <c r="B634" t="s">
        <v>145</v>
      </c>
      <c r="C634" t="s">
        <v>40</v>
      </c>
      <c r="D634">
        <v>2</v>
      </c>
      <c r="E634">
        <v>55</v>
      </c>
      <c r="F634">
        <v>0.17627522779528201</v>
      </c>
      <c r="G634">
        <v>315</v>
      </c>
      <c r="H634">
        <v>0.32242261283943202</v>
      </c>
      <c r="I634">
        <v>228</v>
      </c>
      <c r="L634">
        <v>3.2301274768746301E-2</v>
      </c>
      <c r="M634">
        <v>1.8997351505947599E-2</v>
      </c>
      <c r="N634">
        <v>2015</v>
      </c>
      <c r="O634" t="s">
        <v>53</v>
      </c>
      <c r="P634" t="s">
        <v>146</v>
      </c>
      <c r="Q634" t="s">
        <v>147</v>
      </c>
      <c r="R634" t="s">
        <v>25</v>
      </c>
    </row>
    <row r="635" spans="1:18" x14ac:dyDescent="0.25">
      <c r="A635" t="s">
        <v>144</v>
      </c>
      <c r="B635" t="s">
        <v>145</v>
      </c>
      <c r="C635" t="s">
        <v>40</v>
      </c>
      <c r="D635">
        <v>2</v>
      </c>
      <c r="E635">
        <v>65</v>
      </c>
      <c r="F635">
        <v>0.21280329441493701</v>
      </c>
      <c r="G635">
        <v>228</v>
      </c>
      <c r="H635">
        <v>0.41620510786936099</v>
      </c>
      <c r="I635">
        <v>161</v>
      </c>
      <c r="L635">
        <v>3.8362100723617197E-2</v>
      </c>
      <c r="M635">
        <v>1.5079296852116101E-2</v>
      </c>
      <c r="N635">
        <v>2015</v>
      </c>
      <c r="O635" t="s">
        <v>53</v>
      </c>
      <c r="P635" t="s">
        <v>146</v>
      </c>
      <c r="Q635" t="s">
        <v>147</v>
      </c>
      <c r="R635" t="s">
        <v>25</v>
      </c>
    </row>
    <row r="636" spans="1:18" x14ac:dyDescent="0.25">
      <c r="A636" t="s">
        <v>144</v>
      </c>
      <c r="B636" t="s">
        <v>145</v>
      </c>
      <c r="C636" t="s">
        <v>40</v>
      </c>
      <c r="D636">
        <v>2</v>
      </c>
      <c r="E636">
        <v>75</v>
      </c>
      <c r="F636">
        <v>0.22158069611634601</v>
      </c>
      <c r="G636">
        <v>99</v>
      </c>
      <c r="H636">
        <v>0.50380630462126097</v>
      </c>
      <c r="I636">
        <v>67</v>
      </c>
      <c r="L636">
        <v>3.9869472196767203E-2</v>
      </c>
      <c r="M636">
        <v>9.9488472584309505E-3</v>
      </c>
      <c r="N636">
        <v>2015</v>
      </c>
      <c r="O636" t="s">
        <v>53</v>
      </c>
      <c r="P636" t="s">
        <v>146</v>
      </c>
      <c r="Q636" t="s">
        <v>147</v>
      </c>
      <c r="R636" t="s">
        <v>25</v>
      </c>
    </row>
    <row r="637" spans="1:18" x14ac:dyDescent="0.25">
      <c r="A637" t="s">
        <v>144</v>
      </c>
      <c r="B637" t="s">
        <v>145</v>
      </c>
      <c r="C637" t="s">
        <v>40</v>
      </c>
      <c r="D637">
        <v>2</v>
      </c>
      <c r="E637">
        <v>84.91</v>
      </c>
      <c r="F637">
        <v>0.228482544071898</v>
      </c>
      <c r="G637">
        <v>31</v>
      </c>
      <c r="H637">
        <v>0.37121455470964798</v>
      </c>
      <c r="I637">
        <v>18</v>
      </c>
      <c r="L637">
        <v>7.3476669745252701E-2</v>
      </c>
      <c r="M637">
        <v>4.1853490560564699E-2</v>
      </c>
      <c r="N637">
        <v>2015</v>
      </c>
      <c r="O637" t="s">
        <v>53</v>
      </c>
      <c r="P637" t="s">
        <v>146</v>
      </c>
      <c r="Q637" t="s">
        <v>147</v>
      </c>
      <c r="R637" t="s">
        <v>25</v>
      </c>
    </row>
    <row r="638" spans="1:18" x14ac:dyDescent="0.25">
      <c r="A638" t="s">
        <v>144</v>
      </c>
      <c r="B638" t="s">
        <v>145</v>
      </c>
      <c r="C638" t="s">
        <v>40</v>
      </c>
      <c r="D638">
        <v>1</v>
      </c>
      <c r="E638">
        <v>19</v>
      </c>
      <c r="F638">
        <v>0</v>
      </c>
      <c r="G638">
        <v>26</v>
      </c>
      <c r="H638">
        <v>0.19079743875573399</v>
      </c>
      <c r="I638">
        <v>23</v>
      </c>
      <c r="L638">
        <v>7.7045050536292698E-3</v>
      </c>
      <c r="M638">
        <v>0</v>
      </c>
      <c r="N638">
        <v>2015</v>
      </c>
      <c r="O638" t="s">
        <v>53</v>
      </c>
      <c r="P638" t="s">
        <v>146</v>
      </c>
      <c r="Q638" t="s">
        <v>147</v>
      </c>
      <c r="R638" t="s">
        <v>25</v>
      </c>
    </row>
    <row r="639" spans="1:18" x14ac:dyDescent="0.25">
      <c r="A639" t="s">
        <v>144</v>
      </c>
      <c r="B639" t="s">
        <v>145</v>
      </c>
      <c r="C639" t="s">
        <v>40</v>
      </c>
      <c r="D639">
        <v>1</v>
      </c>
      <c r="E639">
        <v>25</v>
      </c>
      <c r="F639">
        <v>0</v>
      </c>
      <c r="G639">
        <v>94</v>
      </c>
      <c r="H639">
        <v>0.183778074982648</v>
      </c>
      <c r="I639">
        <v>77</v>
      </c>
      <c r="L639">
        <v>1.4936929028869599E-2</v>
      </c>
      <c r="M639">
        <v>0</v>
      </c>
      <c r="N639">
        <v>2015</v>
      </c>
      <c r="O639" t="s">
        <v>53</v>
      </c>
      <c r="P639" t="s">
        <v>146</v>
      </c>
      <c r="Q639" t="s">
        <v>147</v>
      </c>
      <c r="R639" t="s">
        <v>25</v>
      </c>
    </row>
    <row r="640" spans="1:18" x14ac:dyDescent="0.25">
      <c r="A640" t="s">
        <v>144</v>
      </c>
      <c r="B640" t="s">
        <v>145</v>
      </c>
      <c r="C640" t="s">
        <v>40</v>
      </c>
      <c r="D640">
        <v>1</v>
      </c>
      <c r="E640">
        <v>35</v>
      </c>
      <c r="F640">
        <v>2.2848082844406301E-2</v>
      </c>
      <c r="G640">
        <v>88</v>
      </c>
      <c r="H640">
        <v>0.206571221252139</v>
      </c>
      <c r="I640">
        <v>68</v>
      </c>
      <c r="L640">
        <v>2.4679970296149802E-2</v>
      </c>
      <c r="M640">
        <v>1.0716875738618899E-2</v>
      </c>
      <c r="N640">
        <v>2015</v>
      </c>
      <c r="O640" t="s">
        <v>53</v>
      </c>
      <c r="P640" t="s">
        <v>146</v>
      </c>
      <c r="Q640" t="s">
        <v>147</v>
      </c>
      <c r="R640" t="s">
        <v>25</v>
      </c>
    </row>
    <row r="641" spans="1:18" x14ac:dyDescent="0.25">
      <c r="A641" t="s">
        <v>144</v>
      </c>
      <c r="B641" t="s">
        <v>145</v>
      </c>
      <c r="C641" t="s">
        <v>40</v>
      </c>
      <c r="D641">
        <v>1</v>
      </c>
      <c r="E641">
        <v>45</v>
      </c>
      <c r="F641">
        <v>4.1688794476898598E-2</v>
      </c>
      <c r="G641">
        <v>63</v>
      </c>
      <c r="H641">
        <v>0.28797991345994001</v>
      </c>
      <c r="I641">
        <v>50</v>
      </c>
      <c r="L641">
        <v>2.41832396106537E-2</v>
      </c>
      <c r="M641">
        <v>8.4206230776456906E-3</v>
      </c>
      <c r="N641">
        <v>2015</v>
      </c>
      <c r="O641" t="s">
        <v>53</v>
      </c>
      <c r="P641" t="s">
        <v>146</v>
      </c>
      <c r="Q641" t="s">
        <v>147</v>
      </c>
      <c r="R641" t="s">
        <v>25</v>
      </c>
    </row>
    <row r="642" spans="1:18" x14ac:dyDescent="0.25">
      <c r="A642" t="s">
        <v>144</v>
      </c>
      <c r="B642" t="s">
        <v>145</v>
      </c>
      <c r="C642" t="s">
        <v>40</v>
      </c>
      <c r="D642">
        <v>1</v>
      </c>
      <c r="E642">
        <v>55</v>
      </c>
      <c r="F642">
        <v>0.145797473878155</v>
      </c>
      <c r="G642">
        <v>75</v>
      </c>
      <c r="H642">
        <v>0.34869302708830802</v>
      </c>
      <c r="I642">
        <v>56</v>
      </c>
      <c r="L642">
        <v>3.3951646110968597E-2</v>
      </c>
      <c r="M642">
        <v>1.5473889410236899E-2</v>
      </c>
      <c r="N642">
        <v>2015</v>
      </c>
      <c r="O642" t="s">
        <v>53</v>
      </c>
      <c r="P642" t="s">
        <v>146</v>
      </c>
      <c r="Q642" t="s">
        <v>147</v>
      </c>
      <c r="R642" t="s">
        <v>25</v>
      </c>
    </row>
    <row r="643" spans="1:18" x14ac:dyDescent="0.25">
      <c r="A643" t="s">
        <v>144</v>
      </c>
      <c r="B643" t="s">
        <v>145</v>
      </c>
      <c r="C643" t="s">
        <v>40</v>
      </c>
      <c r="D643">
        <v>1</v>
      </c>
      <c r="E643">
        <v>65</v>
      </c>
      <c r="F643">
        <v>0.26198908267873799</v>
      </c>
      <c r="G643">
        <v>68</v>
      </c>
      <c r="H643">
        <v>0.43362776564851802</v>
      </c>
      <c r="I643">
        <v>47</v>
      </c>
      <c r="L643">
        <v>2.8145964223610799E-2</v>
      </c>
      <c r="M643">
        <v>1.1374312686917701E-2</v>
      </c>
      <c r="N643">
        <v>2015</v>
      </c>
      <c r="O643" t="s">
        <v>53</v>
      </c>
      <c r="P643" t="s">
        <v>146</v>
      </c>
      <c r="Q643" t="s">
        <v>147</v>
      </c>
      <c r="R643" t="s">
        <v>25</v>
      </c>
    </row>
    <row r="644" spans="1:18" x14ac:dyDescent="0.25">
      <c r="A644" t="s">
        <v>144</v>
      </c>
      <c r="B644" t="s">
        <v>145</v>
      </c>
      <c r="C644" t="s">
        <v>40</v>
      </c>
      <c r="D644">
        <v>1</v>
      </c>
      <c r="E644">
        <v>75</v>
      </c>
      <c r="F644">
        <v>0.37067699292295397</v>
      </c>
      <c r="G644">
        <v>27</v>
      </c>
      <c r="H644">
        <v>0.61690219648056599</v>
      </c>
      <c r="I644">
        <v>14</v>
      </c>
      <c r="L644">
        <v>2.7152354183817898E-2</v>
      </c>
      <c r="M644">
        <v>4.8629146358078901E-3</v>
      </c>
      <c r="N644">
        <v>2015</v>
      </c>
      <c r="O644" t="s">
        <v>53</v>
      </c>
      <c r="P644" t="s">
        <v>146</v>
      </c>
      <c r="Q644" t="s">
        <v>147</v>
      </c>
      <c r="R644" t="s">
        <v>25</v>
      </c>
    </row>
    <row r="645" spans="1:18" x14ac:dyDescent="0.25">
      <c r="A645" t="s">
        <v>144</v>
      </c>
      <c r="B645" t="s">
        <v>145</v>
      </c>
      <c r="C645" t="s">
        <v>40</v>
      </c>
      <c r="D645">
        <v>1</v>
      </c>
      <c r="E645">
        <v>84.91</v>
      </c>
      <c r="F645">
        <v>0</v>
      </c>
      <c r="G645">
        <v>17</v>
      </c>
      <c r="H645">
        <v>0.393999775033684</v>
      </c>
      <c r="I645">
        <v>17</v>
      </c>
      <c r="L645">
        <v>8.7818576505028903E-2</v>
      </c>
      <c r="M645">
        <v>0</v>
      </c>
      <c r="N645">
        <v>2015</v>
      </c>
      <c r="O645" t="s">
        <v>53</v>
      </c>
      <c r="P645" t="s">
        <v>146</v>
      </c>
      <c r="Q645" t="s">
        <v>147</v>
      </c>
      <c r="R645" t="s">
        <v>25</v>
      </c>
    </row>
    <row r="646" spans="1:18" x14ac:dyDescent="0.25">
      <c r="A646" t="s">
        <v>148</v>
      </c>
      <c r="B646" t="s">
        <v>149</v>
      </c>
      <c r="C646" t="s">
        <v>12</v>
      </c>
      <c r="D646">
        <v>2</v>
      </c>
      <c r="E646">
        <v>19</v>
      </c>
      <c r="F646">
        <v>0</v>
      </c>
      <c r="G646">
        <v>73</v>
      </c>
      <c r="H646">
        <v>6.5057292848364104E-2</v>
      </c>
      <c r="I646">
        <v>25</v>
      </c>
      <c r="L646">
        <v>9.9598439820690404E-6</v>
      </c>
      <c r="M646">
        <v>0</v>
      </c>
      <c r="N646">
        <v>2016</v>
      </c>
      <c r="O646" t="s">
        <v>13</v>
      </c>
      <c r="P646" t="s">
        <v>150</v>
      </c>
      <c r="Q646" t="s">
        <v>61</v>
      </c>
      <c r="R646" t="s">
        <v>25</v>
      </c>
    </row>
    <row r="647" spans="1:18" x14ac:dyDescent="0.25">
      <c r="A647" t="s">
        <v>148</v>
      </c>
      <c r="B647" t="s">
        <v>149</v>
      </c>
      <c r="C647" t="s">
        <v>12</v>
      </c>
      <c r="D647">
        <v>2</v>
      </c>
      <c r="E647">
        <v>25</v>
      </c>
      <c r="F647">
        <v>5.9255014636726E-3</v>
      </c>
      <c r="G647">
        <v>377</v>
      </c>
      <c r="H647">
        <v>6.5060788947561898E-2</v>
      </c>
      <c r="I647">
        <v>135</v>
      </c>
      <c r="L647">
        <v>2.2695462707011799E-4</v>
      </c>
      <c r="M647">
        <v>2.42316727492411E-4</v>
      </c>
      <c r="N647">
        <v>2016</v>
      </c>
      <c r="O647" t="s">
        <v>13</v>
      </c>
      <c r="P647" t="s">
        <v>150</v>
      </c>
      <c r="Q647" t="s">
        <v>61</v>
      </c>
      <c r="R647" t="s">
        <v>25</v>
      </c>
    </row>
    <row r="648" spans="1:18" x14ac:dyDescent="0.25">
      <c r="A648" t="s">
        <v>148</v>
      </c>
      <c r="B648" t="s">
        <v>149</v>
      </c>
      <c r="C648" t="s">
        <v>12</v>
      </c>
      <c r="D648">
        <v>2</v>
      </c>
      <c r="E648">
        <v>35</v>
      </c>
      <c r="F648">
        <v>4.69721379429998E-2</v>
      </c>
      <c r="G648">
        <v>358</v>
      </c>
      <c r="H648">
        <v>0.10968291973507099</v>
      </c>
      <c r="I648">
        <v>124</v>
      </c>
      <c r="L648">
        <v>4.8809332302364397E-5</v>
      </c>
      <c r="M648">
        <v>8.9385283868038002E-5</v>
      </c>
      <c r="N648">
        <v>2016</v>
      </c>
      <c r="O648" t="s">
        <v>13</v>
      </c>
      <c r="P648" t="s">
        <v>150</v>
      </c>
      <c r="Q648" t="s">
        <v>61</v>
      </c>
      <c r="R648" t="s">
        <v>25</v>
      </c>
    </row>
    <row r="649" spans="1:18" x14ac:dyDescent="0.25">
      <c r="A649" t="s">
        <v>148</v>
      </c>
      <c r="B649" t="s">
        <v>149</v>
      </c>
      <c r="C649" t="s">
        <v>12</v>
      </c>
      <c r="D649">
        <v>2</v>
      </c>
      <c r="E649">
        <v>45</v>
      </c>
      <c r="F649">
        <v>0.12538984458505001</v>
      </c>
      <c r="G649">
        <v>321</v>
      </c>
      <c r="H649">
        <v>0.21348430004303101</v>
      </c>
      <c r="I649">
        <v>113</v>
      </c>
      <c r="L649">
        <v>1.68854869563181E-4</v>
      </c>
      <c r="M649">
        <v>2.2938503808967299E-4</v>
      </c>
      <c r="N649">
        <v>2016</v>
      </c>
      <c r="O649" t="s">
        <v>13</v>
      </c>
      <c r="P649" t="s">
        <v>150</v>
      </c>
      <c r="Q649" t="s">
        <v>61</v>
      </c>
      <c r="R649" t="s">
        <v>25</v>
      </c>
    </row>
    <row r="650" spans="1:18" x14ac:dyDescent="0.25">
      <c r="A650" t="s">
        <v>148</v>
      </c>
      <c r="B650" t="s">
        <v>149</v>
      </c>
      <c r="C650" t="s">
        <v>12</v>
      </c>
      <c r="D650">
        <v>2</v>
      </c>
      <c r="E650">
        <v>55</v>
      </c>
      <c r="F650">
        <v>0.198804749916285</v>
      </c>
      <c r="G650">
        <v>270</v>
      </c>
      <c r="H650">
        <v>0.154851349081675</v>
      </c>
      <c r="I650">
        <v>85</v>
      </c>
      <c r="L650">
        <v>1.2456026414600101E-3</v>
      </c>
      <c r="M650">
        <v>3.84994724111883E-3</v>
      </c>
      <c r="N650">
        <v>2016</v>
      </c>
      <c r="O650" t="s">
        <v>13</v>
      </c>
      <c r="P650" t="s">
        <v>150</v>
      </c>
      <c r="Q650" t="s">
        <v>61</v>
      </c>
      <c r="R650" t="s">
        <v>25</v>
      </c>
    </row>
    <row r="651" spans="1:18" x14ac:dyDescent="0.25">
      <c r="A651" t="s">
        <v>148</v>
      </c>
      <c r="B651" t="s">
        <v>149</v>
      </c>
      <c r="C651" t="s">
        <v>12</v>
      </c>
      <c r="D651">
        <v>2</v>
      </c>
      <c r="E651">
        <v>65</v>
      </c>
      <c r="F651">
        <v>0.260215226719407</v>
      </c>
      <c r="G651">
        <v>186</v>
      </c>
      <c r="H651">
        <v>0.25707836670817402</v>
      </c>
      <c r="I651">
        <v>48</v>
      </c>
      <c r="L651">
        <v>2.6600025206392999E-5</v>
      </c>
      <c r="M651">
        <v>4.4304491454974103E-5</v>
      </c>
      <c r="N651">
        <v>2016</v>
      </c>
      <c r="O651" t="s">
        <v>13</v>
      </c>
      <c r="P651" t="s">
        <v>150</v>
      </c>
      <c r="Q651" t="s">
        <v>61</v>
      </c>
      <c r="R651" t="s">
        <v>25</v>
      </c>
    </row>
    <row r="652" spans="1:18" x14ac:dyDescent="0.25">
      <c r="A652" t="s">
        <v>148</v>
      </c>
      <c r="B652" t="s">
        <v>149</v>
      </c>
      <c r="C652" t="s">
        <v>12</v>
      </c>
      <c r="D652">
        <v>1</v>
      </c>
      <c r="E652">
        <v>19</v>
      </c>
      <c r="F652">
        <v>0</v>
      </c>
      <c r="G652">
        <v>54</v>
      </c>
      <c r="H652">
        <v>2.9621836286635301E-2</v>
      </c>
      <c r="I652">
        <v>20</v>
      </c>
      <c r="L652">
        <v>3.3601188788448198E-5</v>
      </c>
      <c r="M652">
        <v>0</v>
      </c>
      <c r="N652">
        <v>2016</v>
      </c>
      <c r="O652" t="s">
        <v>13</v>
      </c>
      <c r="P652" t="s">
        <v>150</v>
      </c>
      <c r="Q652" t="s">
        <v>61</v>
      </c>
      <c r="R652" t="s">
        <v>25</v>
      </c>
    </row>
    <row r="653" spans="1:18" x14ac:dyDescent="0.25">
      <c r="A653" t="s">
        <v>148</v>
      </c>
      <c r="B653" t="s">
        <v>149</v>
      </c>
      <c r="C653" t="s">
        <v>12</v>
      </c>
      <c r="D653">
        <v>1</v>
      </c>
      <c r="E653">
        <v>25</v>
      </c>
      <c r="F653">
        <v>1.0308248516406E-2</v>
      </c>
      <c r="G653">
        <v>221</v>
      </c>
      <c r="H653">
        <v>4.6721799912470802E-2</v>
      </c>
      <c r="I653">
        <v>70</v>
      </c>
      <c r="L653">
        <v>2.67645114667697E-4</v>
      </c>
      <c r="M653">
        <v>5.0121775184603702E-4</v>
      </c>
      <c r="N653">
        <v>2016</v>
      </c>
      <c r="O653" t="s">
        <v>13</v>
      </c>
      <c r="P653" t="s">
        <v>150</v>
      </c>
      <c r="Q653" t="s">
        <v>61</v>
      </c>
      <c r="R653" t="s">
        <v>25</v>
      </c>
    </row>
    <row r="654" spans="1:18" x14ac:dyDescent="0.25">
      <c r="A654" t="s">
        <v>148</v>
      </c>
      <c r="B654" t="s">
        <v>149</v>
      </c>
      <c r="C654" t="s">
        <v>12</v>
      </c>
      <c r="D654">
        <v>1</v>
      </c>
      <c r="E654">
        <v>35</v>
      </c>
      <c r="F654">
        <v>2.0776102226520401E-2</v>
      </c>
      <c r="G654">
        <v>217</v>
      </c>
      <c r="H654">
        <v>8.3451572707830393E-2</v>
      </c>
      <c r="I654">
        <v>66</v>
      </c>
      <c r="L654">
        <v>2.65464531015614E-4</v>
      </c>
      <c r="M654">
        <v>4.0820867284554899E-4</v>
      </c>
      <c r="N654">
        <v>2016</v>
      </c>
      <c r="O654" t="s">
        <v>13</v>
      </c>
      <c r="P654" t="s">
        <v>150</v>
      </c>
      <c r="Q654" t="s">
        <v>61</v>
      </c>
      <c r="R654" t="s">
        <v>25</v>
      </c>
    </row>
    <row r="655" spans="1:18" x14ac:dyDescent="0.25">
      <c r="A655" t="s">
        <v>148</v>
      </c>
      <c r="B655" t="s">
        <v>149</v>
      </c>
      <c r="C655" t="s">
        <v>12</v>
      </c>
      <c r="D655">
        <v>1</v>
      </c>
      <c r="E655">
        <v>45</v>
      </c>
      <c r="F655">
        <v>5.2434111053267403E-2</v>
      </c>
      <c r="G655">
        <v>221</v>
      </c>
      <c r="H655">
        <v>0.17886037133785601</v>
      </c>
      <c r="I655">
        <v>71</v>
      </c>
      <c r="L655">
        <v>3.37086753743644E-4</v>
      </c>
      <c r="M655">
        <v>3.4825705627822501E-4</v>
      </c>
      <c r="N655">
        <v>2016</v>
      </c>
      <c r="O655" t="s">
        <v>13</v>
      </c>
      <c r="P655" t="s">
        <v>150</v>
      </c>
      <c r="Q655" t="s">
        <v>61</v>
      </c>
      <c r="R655" t="s">
        <v>25</v>
      </c>
    </row>
    <row r="656" spans="1:18" x14ac:dyDescent="0.25">
      <c r="A656" t="s">
        <v>148</v>
      </c>
      <c r="B656" t="s">
        <v>149</v>
      </c>
      <c r="C656" t="s">
        <v>12</v>
      </c>
      <c r="D656">
        <v>1</v>
      </c>
      <c r="E656">
        <v>55</v>
      </c>
      <c r="F656">
        <v>0.10910045678003</v>
      </c>
      <c r="G656">
        <v>199</v>
      </c>
      <c r="H656">
        <v>0.243640433016025</v>
      </c>
      <c r="I656">
        <v>53</v>
      </c>
      <c r="L656">
        <v>1.02025760612232E-4</v>
      </c>
      <c r="M656">
        <v>1.0353196253784E-4</v>
      </c>
      <c r="N656">
        <v>2016</v>
      </c>
      <c r="O656" t="s">
        <v>13</v>
      </c>
      <c r="P656" t="s">
        <v>150</v>
      </c>
      <c r="Q656" t="s">
        <v>61</v>
      </c>
      <c r="R656" t="s">
        <v>25</v>
      </c>
    </row>
    <row r="657" spans="1:18" x14ac:dyDescent="0.25">
      <c r="A657" t="s">
        <v>148</v>
      </c>
      <c r="B657" t="s">
        <v>149</v>
      </c>
      <c r="C657" t="s">
        <v>12</v>
      </c>
      <c r="D657">
        <v>1</v>
      </c>
      <c r="E657">
        <v>65</v>
      </c>
      <c r="F657">
        <v>0.115309624713549</v>
      </c>
      <c r="G657">
        <v>156</v>
      </c>
      <c r="H657">
        <v>0.130483726997324</v>
      </c>
      <c r="I657">
        <v>47</v>
      </c>
      <c r="L657">
        <v>3.9133067600022602E-4</v>
      </c>
      <c r="M657">
        <v>1.0410887315839201E-3</v>
      </c>
      <c r="N657">
        <v>2016</v>
      </c>
      <c r="O657" t="s">
        <v>13</v>
      </c>
      <c r="P657" t="s">
        <v>150</v>
      </c>
      <c r="Q657" t="s">
        <v>61</v>
      </c>
      <c r="R657" t="s">
        <v>25</v>
      </c>
    </row>
    <row r="658" spans="1:18" x14ac:dyDescent="0.25">
      <c r="A658" t="s">
        <v>151</v>
      </c>
      <c r="B658" t="s">
        <v>152</v>
      </c>
      <c r="C658" t="s">
        <v>40</v>
      </c>
      <c r="D658">
        <v>2</v>
      </c>
      <c r="E658">
        <v>19</v>
      </c>
      <c r="F658">
        <v>0</v>
      </c>
      <c r="G658">
        <v>78</v>
      </c>
      <c r="H658">
        <v>0.16233928416613899</v>
      </c>
      <c r="I658">
        <v>62</v>
      </c>
      <c r="L658">
        <v>3.89656991463029E-2</v>
      </c>
      <c r="M658">
        <v>0</v>
      </c>
      <c r="N658">
        <v>2021</v>
      </c>
      <c r="O658" t="s">
        <v>41</v>
      </c>
      <c r="P658" t="s">
        <v>153</v>
      </c>
      <c r="Q658" t="s">
        <v>15</v>
      </c>
      <c r="R658" t="s">
        <v>15</v>
      </c>
    </row>
    <row r="659" spans="1:18" x14ac:dyDescent="0.25">
      <c r="A659" t="s">
        <v>151</v>
      </c>
      <c r="B659" t="s">
        <v>152</v>
      </c>
      <c r="C659" t="s">
        <v>40</v>
      </c>
      <c r="D659">
        <v>2</v>
      </c>
      <c r="E659">
        <v>25</v>
      </c>
      <c r="F659">
        <v>1.3185773462485999E-3</v>
      </c>
      <c r="G659">
        <v>599</v>
      </c>
      <c r="H659">
        <v>0.18270241602324899</v>
      </c>
      <c r="I659">
        <v>490</v>
      </c>
      <c r="L659">
        <v>7.0262501763870999E-2</v>
      </c>
      <c r="M659">
        <v>1.43009876156409E-2</v>
      </c>
      <c r="N659">
        <v>2021</v>
      </c>
      <c r="O659" t="s">
        <v>41</v>
      </c>
      <c r="P659" t="s">
        <v>153</v>
      </c>
      <c r="Q659" t="s">
        <v>15</v>
      </c>
      <c r="R659" t="s">
        <v>15</v>
      </c>
    </row>
    <row r="660" spans="1:18" x14ac:dyDescent="0.25">
      <c r="A660" t="s">
        <v>151</v>
      </c>
      <c r="B660" t="s">
        <v>152</v>
      </c>
      <c r="C660" t="s">
        <v>40</v>
      </c>
      <c r="D660">
        <v>2</v>
      </c>
      <c r="E660">
        <v>35</v>
      </c>
      <c r="F660">
        <v>7.2634514012577403E-3</v>
      </c>
      <c r="G660">
        <v>809</v>
      </c>
      <c r="H660">
        <v>0.26580629470762102</v>
      </c>
      <c r="I660">
        <v>641</v>
      </c>
      <c r="L660">
        <v>7.3543506907186598E-2</v>
      </c>
      <c r="M660">
        <v>1.5148358733049001E-2</v>
      </c>
      <c r="N660">
        <v>2021</v>
      </c>
      <c r="O660" t="s">
        <v>41</v>
      </c>
      <c r="P660" t="s">
        <v>153</v>
      </c>
      <c r="Q660" t="s">
        <v>15</v>
      </c>
      <c r="R660" t="s">
        <v>15</v>
      </c>
    </row>
    <row r="661" spans="1:18" x14ac:dyDescent="0.25">
      <c r="A661" t="s">
        <v>151</v>
      </c>
      <c r="B661" t="s">
        <v>152</v>
      </c>
      <c r="C661" t="s">
        <v>40</v>
      </c>
      <c r="D661">
        <v>2</v>
      </c>
      <c r="E661">
        <v>45</v>
      </c>
      <c r="F661">
        <v>4.1071376587844002E-2</v>
      </c>
      <c r="G661">
        <v>562</v>
      </c>
      <c r="H661">
        <v>0.36893058745860702</v>
      </c>
      <c r="I661">
        <v>424</v>
      </c>
      <c r="L661">
        <v>8.0520561344763E-2</v>
      </c>
      <c r="M661">
        <v>1.8456667582213399E-2</v>
      </c>
      <c r="N661">
        <v>2021</v>
      </c>
      <c r="O661" t="s">
        <v>41</v>
      </c>
      <c r="P661" t="s">
        <v>153</v>
      </c>
      <c r="Q661" t="s">
        <v>15</v>
      </c>
      <c r="R661" t="s">
        <v>15</v>
      </c>
    </row>
    <row r="662" spans="1:18" x14ac:dyDescent="0.25">
      <c r="A662" t="s">
        <v>151</v>
      </c>
      <c r="B662" t="s">
        <v>152</v>
      </c>
      <c r="C662" t="s">
        <v>40</v>
      </c>
      <c r="D662">
        <v>2</v>
      </c>
      <c r="E662">
        <v>55</v>
      </c>
      <c r="F662">
        <v>9.5758736335277206E-2</v>
      </c>
      <c r="G662">
        <v>309</v>
      </c>
      <c r="H662">
        <v>0.50050812291622304</v>
      </c>
      <c r="I662">
        <v>221</v>
      </c>
      <c r="L662">
        <v>8.1195099049713906E-2</v>
      </c>
      <c r="M662">
        <v>1.42982793825301E-2</v>
      </c>
      <c r="N662">
        <v>2021</v>
      </c>
      <c r="O662" t="s">
        <v>41</v>
      </c>
      <c r="P662" t="s">
        <v>153</v>
      </c>
      <c r="Q662" t="s">
        <v>15</v>
      </c>
      <c r="R662" t="s">
        <v>15</v>
      </c>
    </row>
    <row r="663" spans="1:18" x14ac:dyDescent="0.25">
      <c r="A663" t="s">
        <v>151</v>
      </c>
      <c r="B663" t="s">
        <v>152</v>
      </c>
      <c r="C663" t="s">
        <v>40</v>
      </c>
      <c r="D663">
        <v>2</v>
      </c>
      <c r="E663">
        <v>65</v>
      </c>
      <c r="F663">
        <v>0.14631079129256999</v>
      </c>
      <c r="G663">
        <v>218</v>
      </c>
      <c r="H663">
        <v>0.45382315970623499</v>
      </c>
      <c r="I663">
        <v>142</v>
      </c>
      <c r="L663">
        <v>9.6991377478868102E-2</v>
      </c>
      <c r="M663">
        <v>2.80163584367626E-2</v>
      </c>
      <c r="N663">
        <v>2021</v>
      </c>
      <c r="O663" t="s">
        <v>41</v>
      </c>
      <c r="P663" t="s">
        <v>153</v>
      </c>
      <c r="Q663" t="s">
        <v>15</v>
      </c>
      <c r="R663" t="s">
        <v>15</v>
      </c>
    </row>
    <row r="664" spans="1:18" x14ac:dyDescent="0.25">
      <c r="A664" t="s">
        <v>151</v>
      </c>
      <c r="B664" t="s">
        <v>152</v>
      </c>
      <c r="C664" t="s">
        <v>40</v>
      </c>
      <c r="D664">
        <v>1</v>
      </c>
      <c r="E664">
        <v>19</v>
      </c>
      <c r="F664">
        <v>0</v>
      </c>
      <c r="G664">
        <v>87</v>
      </c>
      <c r="H664">
        <v>0.119555793271908</v>
      </c>
      <c r="I664">
        <v>77</v>
      </c>
      <c r="L664">
        <v>4.87971199934207E-2</v>
      </c>
      <c r="M664">
        <v>0</v>
      </c>
      <c r="N664">
        <v>2021</v>
      </c>
      <c r="O664" t="s">
        <v>41</v>
      </c>
      <c r="P664" t="s">
        <v>153</v>
      </c>
      <c r="Q664" t="s">
        <v>15</v>
      </c>
      <c r="R664" t="s">
        <v>15</v>
      </c>
    </row>
    <row r="665" spans="1:18" x14ac:dyDescent="0.25">
      <c r="A665" t="s">
        <v>151</v>
      </c>
      <c r="B665" t="s">
        <v>152</v>
      </c>
      <c r="C665" t="s">
        <v>40</v>
      </c>
      <c r="D665">
        <v>1</v>
      </c>
      <c r="E665">
        <v>25</v>
      </c>
      <c r="F665">
        <v>2.15644231645309E-4</v>
      </c>
      <c r="G665">
        <v>615</v>
      </c>
      <c r="H665">
        <v>0.16651623792434</v>
      </c>
      <c r="I665">
        <v>506</v>
      </c>
      <c r="L665">
        <v>7.3949577364125593E-2</v>
      </c>
      <c r="M665">
        <v>1.15538991426061E-2</v>
      </c>
      <c r="N665">
        <v>2021</v>
      </c>
      <c r="O665" t="s">
        <v>41</v>
      </c>
      <c r="P665" t="s">
        <v>153</v>
      </c>
      <c r="Q665" t="s">
        <v>15</v>
      </c>
      <c r="R665" t="s">
        <v>15</v>
      </c>
    </row>
    <row r="666" spans="1:18" x14ac:dyDescent="0.25">
      <c r="A666" t="s">
        <v>151</v>
      </c>
      <c r="B666" t="s">
        <v>152</v>
      </c>
      <c r="C666" t="s">
        <v>40</v>
      </c>
      <c r="D666">
        <v>1</v>
      </c>
      <c r="E666">
        <v>35</v>
      </c>
      <c r="F666">
        <v>2.4275957182886701E-3</v>
      </c>
      <c r="G666">
        <v>734</v>
      </c>
      <c r="H666">
        <v>0.22860510940811299</v>
      </c>
      <c r="I666">
        <v>580</v>
      </c>
      <c r="L666">
        <v>8.6689128385343595E-2</v>
      </c>
      <c r="M666">
        <v>1.59413019857025E-2</v>
      </c>
      <c r="N666">
        <v>2021</v>
      </c>
      <c r="O666" t="s">
        <v>41</v>
      </c>
      <c r="P666" t="s">
        <v>153</v>
      </c>
      <c r="Q666" t="s">
        <v>15</v>
      </c>
      <c r="R666" t="s">
        <v>15</v>
      </c>
    </row>
    <row r="667" spans="1:18" x14ac:dyDescent="0.25">
      <c r="A667" t="s">
        <v>151</v>
      </c>
      <c r="B667" t="s">
        <v>152</v>
      </c>
      <c r="C667" t="s">
        <v>40</v>
      </c>
      <c r="D667">
        <v>1</v>
      </c>
      <c r="E667">
        <v>45</v>
      </c>
      <c r="F667">
        <v>2.17133516215035E-2</v>
      </c>
      <c r="G667">
        <v>671</v>
      </c>
      <c r="H667">
        <v>0.29141631285786102</v>
      </c>
      <c r="I667">
        <v>506</v>
      </c>
      <c r="L667">
        <v>8.1469440875382895E-2</v>
      </c>
      <c r="M667">
        <v>2.12741195159937E-2</v>
      </c>
      <c r="N667">
        <v>2021</v>
      </c>
      <c r="O667" t="s">
        <v>41</v>
      </c>
      <c r="P667" t="s">
        <v>153</v>
      </c>
      <c r="Q667" t="s">
        <v>15</v>
      </c>
      <c r="R667" t="s">
        <v>15</v>
      </c>
    </row>
    <row r="668" spans="1:18" x14ac:dyDescent="0.25">
      <c r="A668" t="s">
        <v>151</v>
      </c>
      <c r="B668" t="s">
        <v>152</v>
      </c>
      <c r="C668" t="s">
        <v>40</v>
      </c>
      <c r="D668">
        <v>1</v>
      </c>
      <c r="E668">
        <v>55</v>
      </c>
      <c r="F668">
        <v>8.19195382901272E-2</v>
      </c>
      <c r="G668">
        <v>327</v>
      </c>
      <c r="H668">
        <v>0.36454258274987</v>
      </c>
      <c r="I668">
        <v>225</v>
      </c>
      <c r="L668">
        <v>8.91782520418722E-2</v>
      </c>
      <c r="M668">
        <v>2.8967710251892601E-2</v>
      </c>
      <c r="N668">
        <v>2021</v>
      </c>
      <c r="O668" t="s">
        <v>41</v>
      </c>
      <c r="P668" t="s">
        <v>153</v>
      </c>
      <c r="Q668" t="s">
        <v>15</v>
      </c>
      <c r="R668" t="s">
        <v>15</v>
      </c>
    </row>
    <row r="669" spans="1:18" x14ac:dyDescent="0.25">
      <c r="A669" t="s">
        <v>151</v>
      </c>
      <c r="B669" t="s">
        <v>152</v>
      </c>
      <c r="C669" t="s">
        <v>40</v>
      </c>
      <c r="D669">
        <v>1</v>
      </c>
      <c r="E669">
        <v>65</v>
      </c>
      <c r="F669">
        <v>0.13939898331556799</v>
      </c>
      <c r="G669">
        <v>167</v>
      </c>
      <c r="H669">
        <v>0.43536415128808398</v>
      </c>
      <c r="I669">
        <v>113</v>
      </c>
      <c r="L669">
        <v>9.5600432603886398E-2</v>
      </c>
      <c r="M669">
        <v>2.8313612539299999E-2</v>
      </c>
      <c r="N669">
        <v>2021</v>
      </c>
      <c r="O669" t="s">
        <v>41</v>
      </c>
      <c r="P669" t="s">
        <v>153</v>
      </c>
      <c r="Q669" t="s">
        <v>15</v>
      </c>
      <c r="R669" t="s">
        <v>15</v>
      </c>
    </row>
    <row r="670" spans="1:18" x14ac:dyDescent="0.25">
      <c r="A670" t="s">
        <v>154</v>
      </c>
      <c r="B670" t="s">
        <v>155</v>
      </c>
      <c r="C670" t="s">
        <v>12</v>
      </c>
      <c r="D670">
        <v>2</v>
      </c>
      <c r="E670">
        <v>19</v>
      </c>
      <c r="F670">
        <v>0</v>
      </c>
      <c r="G670">
        <v>33</v>
      </c>
      <c r="H670">
        <v>2.7530584526786101E-2</v>
      </c>
      <c r="I670">
        <v>31</v>
      </c>
      <c r="L670">
        <v>1.6174105138640399E-2</v>
      </c>
      <c r="M670">
        <v>0</v>
      </c>
      <c r="N670">
        <v>2015</v>
      </c>
      <c r="O670" t="s">
        <v>13</v>
      </c>
      <c r="P670" t="s">
        <v>156</v>
      </c>
      <c r="Q670" t="s">
        <v>19</v>
      </c>
      <c r="R670" t="s">
        <v>20</v>
      </c>
    </row>
    <row r="671" spans="1:18" x14ac:dyDescent="0.25">
      <c r="A671" t="s">
        <v>154</v>
      </c>
      <c r="B671" t="s">
        <v>155</v>
      </c>
      <c r="C671" t="s">
        <v>12</v>
      </c>
      <c r="D671">
        <v>2</v>
      </c>
      <c r="E671">
        <v>25</v>
      </c>
      <c r="F671">
        <v>8.4466933150282707E-3</v>
      </c>
      <c r="G671">
        <v>252</v>
      </c>
      <c r="H671">
        <v>6.3745736945726605E-2</v>
      </c>
      <c r="I671">
        <v>234</v>
      </c>
      <c r="L671">
        <v>6.5753058338015296E-3</v>
      </c>
      <c r="M671">
        <v>6.8798921179770104E-3</v>
      </c>
      <c r="N671">
        <v>2015</v>
      </c>
      <c r="O671" t="s">
        <v>13</v>
      </c>
      <c r="P671" t="s">
        <v>156</v>
      </c>
      <c r="Q671" t="s">
        <v>19</v>
      </c>
      <c r="R671" t="s">
        <v>20</v>
      </c>
    </row>
    <row r="672" spans="1:18" x14ac:dyDescent="0.25">
      <c r="A672" t="s">
        <v>154</v>
      </c>
      <c r="B672" t="s">
        <v>155</v>
      </c>
      <c r="C672" t="s">
        <v>12</v>
      </c>
      <c r="D672">
        <v>2</v>
      </c>
      <c r="E672">
        <v>35</v>
      </c>
      <c r="F672">
        <v>3.01328526321759E-2</v>
      </c>
      <c r="G672">
        <v>360</v>
      </c>
      <c r="H672">
        <v>7.3403675756491801E-2</v>
      </c>
      <c r="I672">
        <v>334</v>
      </c>
      <c r="L672">
        <v>1.97495379348617E-2</v>
      </c>
      <c r="M672">
        <v>3.1519315098088099E-2</v>
      </c>
      <c r="N672">
        <v>2015</v>
      </c>
      <c r="O672" t="s">
        <v>13</v>
      </c>
      <c r="P672" t="s">
        <v>156</v>
      </c>
      <c r="Q672" t="s">
        <v>19</v>
      </c>
      <c r="R672" t="s">
        <v>20</v>
      </c>
    </row>
    <row r="673" spans="1:18" x14ac:dyDescent="0.25">
      <c r="A673" t="s">
        <v>154</v>
      </c>
      <c r="B673" t="s">
        <v>155</v>
      </c>
      <c r="C673" t="s">
        <v>12</v>
      </c>
      <c r="D673">
        <v>2</v>
      </c>
      <c r="E673">
        <v>45</v>
      </c>
      <c r="F673">
        <v>0.13201818151741801</v>
      </c>
      <c r="G673">
        <v>351</v>
      </c>
      <c r="H673">
        <v>0.15798079461220299</v>
      </c>
      <c r="I673">
        <v>288</v>
      </c>
      <c r="L673">
        <v>1.17777927673605E-2</v>
      </c>
      <c r="M673">
        <v>1.9263118578341499E-2</v>
      </c>
      <c r="N673">
        <v>2015</v>
      </c>
      <c r="O673" t="s">
        <v>13</v>
      </c>
      <c r="P673" t="s">
        <v>156</v>
      </c>
      <c r="Q673" t="s">
        <v>19</v>
      </c>
      <c r="R673" t="s">
        <v>20</v>
      </c>
    </row>
    <row r="674" spans="1:18" x14ac:dyDescent="0.25">
      <c r="A674" t="s">
        <v>154</v>
      </c>
      <c r="B674" t="s">
        <v>155</v>
      </c>
      <c r="C674" t="s">
        <v>12</v>
      </c>
      <c r="D674">
        <v>2</v>
      </c>
      <c r="E674">
        <v>55</v>
      </c>
      <c r="F674">
        <v>0.25530976540228201</v>
      </c>
      <c r="G674">
        <v>245</v>
      </c>
      <c r="H674">
        <v>0.20237483954739099</v>
      </c>
      <c r="I674">
        <v>174</v>
      </c>
      <c r="L674">
        <v>1.42074024126037E-2</v>
      </c>
      <c r="M674">
        <v>2.3538593833669699E-2</v>
      </c>
      <c r="N674">
        <v>2015</v>
      </c>
      <c r="O674" t="s">
        <v>13</v>
      </c>
      <c r="P674" t="s">
        <v>156</v>
      </c>
      <c r="Q674" t="s">
        <v>19</v>
      </c>
      <c r="R674" t="s">
        <v>20</v>
      </c>
    </row>
    <row r="675" spans="1:18" x14ac:dyDescent="0.25">
      <c r="A675" t="s">
        <v>154</v>
      </c>
      <c r="B675" t="s">
        <v>155</v>
      </c>
      <c r="C675" t="s">
        <v>12</v>
      </c>
      <c r="D675">
        <v>2</v>
      </c>
      <c r="E675">
        <v>65</v>
      </c>
      <c r="F675">
        <v>0.31666510423663402</v>
      </c>
      <c r="G675">
        <v>193</v>
      </c>
      <c r="H675">
        <v>0.31590260448594298</v>
      </c>
      <c r="I675">
        <v>120</v>
      </c>
      <c r="L675">
        <v>1.2012117190019199E-2</v>
      </c>
      <c r="M675">
        <v>1.1310331605292301E-2</v>
      </c>
      <c r="N675">
        <v>2015</v>
      </c>
      <c r="O675" t="s">
        <v>13</v>
      </c>
      <c r="P675" t="s">
        <v>156</v>
      </c>
      <c r="Q675" t="s">
        <v>19</v>
      </c>
      <c r="R675" t="s">
        <v>20</v>
      </c>
    </row>
    <row r="676" spans="1:18" x14ac:dyDescent="0.25">
      <c r="A676" t="s">
        <v>154</v>
      </c>
      <c r="B676" t="s">
        <v>155</v>
      </c>
      <c r="C676" t="s">
        <v>12</v>
      </c>
      <c r="D676">
        <v>2</v>
      </c>
      <c r="E676">
        <v>75</v>
      </c>
      <c r="F676">
        <v>0.257168846369142</v>
      </c>
      <c r="G676">
        <v>70</v>
      </c>
      <c r="H676">
        <v>0.243028015873545</v>
      </c>
      <c r="I676">
        <v>48</v>
      </c>
      <c r="L676">
        <v>1.0358324182393601E-2</v>
      </c>
      <c r="M676">
        <v>1.40294577635798E-2</v>
      </c>
      <c r="N676">
        <v>2015</v>
      </c>
      <c r="O676" t="s">
        <v>13</v>
      </c>
      <c r="P676" t="s">
        <v>156</v>
      </c>
      <c r="Q676" t="s">
        <v>19</v>
      </c>
      <c r="R676" t="s">
        <v>20</v>
      </c>
    </row>
    <row r="677" spans="1:18" x14ac:dyDescent="0.25">
      <c r="A677" t="s">
        <v>154</v>
      </c>
      <c r="B677" t="s">
        <v>155</v>
      </c>
      <c r="C677" t="s">
        <v>12</v>
      </c>
      <c r="D677">
        <v>2</v>
      </c>
      <c r="E677">
        <v>84.91</v>
      </c>
      <c r="F677">
        <v>0.379731519823099</v>
      </c>
      <c r="G677">
        <v>26</v>
      </c>
      <c r="H677">
        <v>0.227777520761934</v>
      </c>
      <c r="I677">
        <v>17</v>
      </c>
      <c r="L677">
        <v>1.9666017037174601E-2</v>
      </c>
      <c r="M677">
        <v>3.8804014230444099E-2</v>
      </c>
      <c r="N677">
        <v>2015</v>
      </c>
      <c r="O677" t="s">
        <v>13</v>
      </c>
      <c r="P677" t="s">
        <v>156</v>
      </c>
      <c r="Q677" t="s">
        <v>19</v>
      </c>
      <c r="R677" t="s">
        <v>20</v>
      </c>
    </row>
    <row r="678" spans="1:18" x14ac:dyDescent="0.25">
      <c r="A678" t="s">
        <v>154</v>
      </c>
      <c r="B678" t="s">
        <v>155</v>
      </c>
      <c r="C678" t="s">
        <v>12</v>
      </c>
      <c r="D678">
        <v>1</v>
      </c>
      <c r="E678">
        <v>19</v>
      </c>
      <c r="F678">
        <v>0</v>
      </c>
      <c r="G678">
        <v>23</v>
      </c>
      <c r="H678">
        <v>0.13668044151704101</v>
      </c>
      <c r="I678">
        <v>21</v>
      </c>
      <c r="L678">
        <v>2.4439900390929299E-3</v>
      </c>
      <c r="M678">
        <v>0</v>
      </c>
      <c r="N678">
        <v>2015</v>
      </c>
      <c r="O678" t="s">
        <v>13</v>
      </c>
      <c r="P678" t="s">
        <v>156</v>
      </c>
      <c r="Q678" t="s">
        <v>19</v>
      </c>
      <c r="R678" t="s">
        <v>20</v>
      </c>
    </row>
    <row r="679" spans="1:18" x14ac:dyDescent="0.25">
      <c r="A679" t="s">
        <v>154</v>
      </c>
      <c r="B679" t="s">
        <v>155</v>
      </c>
      <c r="C679" t="s">
        <v>12</v>
      </c>
      <c r="D679">
        <v>1</v>
      </c>
      <c r="E679">
        <v>25</v>
      </c>
      <c r="F679">
        <v>1.45587258148268E-2</v>
      </c>
      <c r="G679">
        <v>130</v>
      </c>
      <c r="H679">
        <v>8.2347095374542004E-2</v>
      </c>
      <c r="I679">
        <v>122</v>
      </c>
      <c r="L679">
        <v>7.1691098510716601E-3</v>
      </c>
      <c r="M679">
        <v>7.5457017301987003E-3</v>
      </c>
      <c r="N679">
        <v>2015</v>
      </c>
      <c r="O679" t="s">
        <v>13</v>
      </c>
      <c r="P679" t="s">
        <v>156</v>
      </c>
      <c r="Q679" t="s">
        <v>19</v>
      </c>
      <c r="R679" t="s">
        <v>20</v>
      </c>
    </row>
    <row r="680" spans="1:18" x14ac:dyDescent="0.25">
      <c r="A680" t="s">
        <v>154</v>
      </c>
      <c r="B680" t="s">
        <v>155</v>
      </c>
      <c r="C680" t="s">
        <v>12</v>
      </c>
      <c r="D680">
        <v>1</v>
      </c>
      <c r="E680">
        <v>35</v>
      </c>
      <c r="F680">
        <v>2.8518139847522699E-2</v>
      </c>
      <c r="G680">
        <v>176</v>
      </c>
      <c r="H680">
        <v>6.8027828641129606E-2</v>
      </c>
      <c r="I680">
        <v>160</v>
      </c>
      <c r="L680">
        <v>1.4227677810419901E-2</v>
      </c>
      <c r="M680">
        <v>2.3653032801957401E-2</v>
      </c>
      <c r="N680">
        <v>2015</v>
      </c>
      <c r="O680" t="s">
        <v>13</v>
      </c>
      <c r="P680" t="s">
        <v>156</v>
      </c>
      <c r="Q680" t="s">
        <v>19</v>
      </c>
      <c r="R680" t="s">
        <v>20</v>
      </c>
    </row>
    <row r="681" spans="1:18" x14ac:dyDescent="0.25">
      <c r="A681" t="s">
        <v>154</v>
      </c>
      <c r="B681" t="s">
        <v>155</v>
      </c>
      <c r="C681" t="s">
        <v>12</v>
      </c>
      <c r="D681">
        <v>1</v>
      </c>
      <c r="E681">
        <v>45</v>
      </c>
      <c r="F681">
        <v>0.15570376355333701</v>
      </c>
      <c r="G681">
        <v>220</v>
      </c>
      <c r="H681">
        <v>0.13241620878239199</v>
      </c>
      <c r="I681">
        <v>175</v>
      </c>
      <c r="L681">
        <v>8.1791219422250299E-3</v>
      </c>
      <c r="M681">
        <v>1.8343549679242298E-2</v>
      </c>
      <c r="N681">
        <v>2015</v>
      </c>
      <c r="O681" t="s">
        <v>13</v>
      </c>
      <c r="P681" t="s">
        <v>156</v>
      </c>
      <c r="Q681" t="s">
        <v>19</v>
      </c>
      <c r="R681" t="s">
        <v>20</v>
      </c>
    </row>
    <row r="682" spans="1:18" x14ac:dyDescent="0.25">
      <c r="A682" t="s">
        <v>154</v>
      </c>
      <c r="B682" t="s">
        <v>155</v>
      </c>
      <c r="C682" t="s">
        <v>12</v>
      </c>
      <c r="D682">
        <v>1</v>
      </c>
      <c r="E682">
        <v>55</v>
      </c>
      <c r="F682">
        <v>0.34459466923117299</v>
      </c>
      <c r="G682">
        <v>176</v>
      </c>
      <c r="H682">
        <v>0.182535469777276</v>
      </c>
      <c r="I682">
        <v>113</v>
      </c>
      <c r="L682">
        <v>4.9355765235370901E-3</v>
      </c>
      <c r="M682">
        <v>1.2863533277684301E-2</v>
      </c>
      <c r="N682">
        <v>2015</v>
      </c>
      <c r="O682" t="s">
        <v>13</v>
      </c>
      <c r="P682" t="s">
        <v>156</v>
      </c>
      <c r="Q682" t="s">
        <v>19</v>
      </c>
      <c r="R682" t="s">
        <v>20</v>
      </c>
    </row>
    <row r="683" spans="1:18" x14ac:dyDescent="0.25">
      <c r="A683" t="s">
        <v>154</v>
      </c>
      <c r="B683" t="s">
        <v>155</v>
      </c>
      <c r="C683" t="s">
        <v>12</v>
      </c>
      <c r="D683">
        <v>1</v>
      </c>
      <c r="E683">
        <v>65</v>
      </c>
      <c r="F683">
        <v>0.257855897933427</v>
      </c>
      <c r="G683">
        <v>159</v>
      </c>
      <c r="H683">
        <v>0.22118408128061101</v>
      </c>
      <c r="I683">
        <v>113</v>
      </c>
      <c r="L683">
        <v>9.9932308243070398E-3</v>
      </c>
      <c r="M683">
        <v>1.52585985785634E-2</v>
      </c>
      <c r="N683">
        <v>2015</v>
      </c>
      <c r="O683" t="s">
        <v>13</v>
      </c>
      <c r="P683" t="s">
        <v>156</v>
      </c>
      <c r="Q683" t="s">
        <v>19</v>
      </c>
      <c r="R683" t="s">
        <v>20</v>
      </c>
    </row>
    <row r="684" spans="1:18" x14ac:dyDescent="0.25">
      <c r="A684" t="s">
        <v>154</v>
      </c>
      <c r="B684" t="s">
        <v>155</v>
      </c>
      <c r="C684" t="s">
        <v>12</v>
      </c>
      <c r="D684">
        <v>1</v>
      </c>
      <c r="E684">
        <v>75</v>
      </c>
      <c r="F684">
        <v>0.29294880764525699</v>
      </c>
      <c r="G684">
        <v>55</v>
      </c>
      <c r="H684">
        <v>0.31833173464454401</v>
      </c>
      <c r="I684">
        <v>39</v>
      </c>
      <c r="L684">
        <v>6.6039380524042998E-3</v>
      </c>
      <c r="M684">
        <v>5.6651570434727103E-3</v>
      </c>
      <c r="N684">
        <v>2015</v>
      </c>
      <c r="O684" t="s">
        <v>13</v>
      </c>
      <c r="P684" t="s">
        <v>156</v>
      </c>
      <c r="Q684" t="s">
        <v>19</v>
      </c>
      <c r="R684" t="s">
        <v>20</v>
      </c>
    </row>
    <row r="685" spans="1:18" x14ac:dyDescent="0.25">
      <c r="A685" t="s">
        <v>154</v>
      </c>
      <c r="B685" t="s">
        <v>155</v>
      </c>
      <c r="C685" t="s">
        <v>12</v>
      </c>
      <c r="D685">
        <v>1</v>
      </c>
      <c r="E685">
        <v>84.91</v>
      </c>
      <c r="F685">
        <v>0.128836445430663</v>
      </c>
      <c r="G685">
        <v>20</v>
      </c>
      <c r="H685">
        <v>0.28322381973682997</v>
      </c>
      <c r="I685">
        <v>15</v>
      </c>
      <c r="L685">
        <v>3.05272862132028E-2</v>
      </c>
      <c r="M685">
        <v>2.3499777499179999E-2</v>
      </c>
      <c r="N685">
        <v>2015</v>
      </c>
      <c r="O685" t="s">
        <v>13</v>
      </c>
      <c r="P685" t="s">
        <v>156</v>
      </c>
      <c r="Q685" t="s">
        <v>19</v>
      </c>
      <c r="R685" t="s">
        <v>20</v>
      </c>
    </row>
    <row r="686" spans="1:18" x14ac:dyDescent="0.25">
      <c r="A686" t="s">
        <v>157</v>
      </c>
      <c r="B686" t="s">
        <v>158</v>
      </c>
      <c r="C686" t="s">
        <v>12</v>
      </c>
      <c r="D686">
        <v>2</v>
      </c>
      <c r="E686">
        <v>19</v>
      </c>
      <c r="F686">
        <v>0</v>
      </c>
      <c r="G686">
        <v>146</v>
      </c>
      <c r="H686">
        <v>3.6418551161869401E-3</v>
      </c>
      <c r="I686">
        <v>90</v>
      </c>
      <c r="L686">
        <v>9.3583109814735804E-2</v>
      </c>
      <c r="M686">
        <v>0</v>
      </c>
      <c r="N686">
        <v>2019</v>
      </c>
      <c r="O686" t="s">
        <v>13</v>
      </c>
      <c r="P686" t="s">
        <v>159</v>
      </c>
      <c r="Q686" t="s">
        <v>19</v>
      </c>
      <c r="R686" t="s">
        <v>20</v>
      </c>
    </row>
    <row r="687" spans="1:18" x14ac:dyDescent="0.25">
      <c r="A687" t="s">
        <v>157</v>
      </c>
      <c r="B687" t="s">
        <v>158</v>
      </c>
      <c r="C687" t="s">
        <v>12</v>
      </c>
      <c r="D687">
        <v>2</v>
      </c>
      <c r="E687">
        <v>25</v>
      </c>
      <c r="F687">
        <v>4.3623056783687201E-3</v>
      </c>
      <c r="G687">
        <v>714</v>
      </c>
      <c r="H687">
        <v>1.52945914713189E-2</v>
      </c>
      <c r="I687">
        <v>427</v>
      </c>
      <c r="L687">
        <v>3.7335878922616E-2</v>
      </c>
      <c r="M687">
        <v>9.0394853599078506E-2</v>
      </c>
      <c r="N687">
        <v>2019</v>
      </c>
      <c r="O687" t="s">
        <v>13</v>
      </c>
      <c r="P687" t="s">
        <v>159</v>
      </c>
      <c r="Q687" t="s">
        <v>19</v>
      </c>
      <c r="R687" t="s">
        <v>20</v>
      </c>
    </row>
    <row r="688" spans="1:18" x14ac:dyDescent="0.25">
      <c r="A688" t="s">
        <v>157</v>
      </c>
      <c r="B688" t="s">
        <v>158</v>
      </c>
      <c r="C688" t="s">
        <v>12</v>
      </c>
      <c r="D688">
        <v>2</v>
      </c>
      <c r="E688">
        <v>35</v>
      </c>
      <c r="F688">
        <v>2.0336559247000299E-2</v>
      </c>
      <c r="G688">
        <v>929</v>
      </c>
      <c r="H688">
        <v>2.3706571236189699E-2</v>
      </c>
      <c r="I688">
        <v>561</v>
      </c>
      <c r="L688">
        <v>3.1470046821545701E-2</v>
      </c>
      <c r="M688">
        <v>0.12943445332360501</v>
      </c>
      <c r="N688">
        <v>2019</v>
      </c>
      <c r="O688" t="s">
        <v>13</v>
      </c>
      <c r="P688" t="s">
        <v>159</v>
      </c>
      <c r="Q688" t="s">
        <v>19</v>
      </c>
      <c r="R688" t="s">
        <v>20</v>
      </c>
    </row>
    <row r="689" spans="1:18" x14ac:dyDescent="0.25">
      <c r="A689" t="s">
        <v>157</v>
      </c>
      <c r="B689" t="s">
        <v>158</v>
      </c>
      <c r="C689" t="s">
        <v>12</v>
      </c>
      <c r="D689">
        <v>2</v>
      </c>
      <c r="E689">
        <v>45</v>
      </c>
      <c r="F689">
        <v>5.8667462764334398E-2</v>
      </c>
      <c r="G689">
        <v>700</v>
      </c>
      <c r="H689">
        <v>6.8457763439652999E-2</v>
      </c>
      <c r="I689">
        <v>434</v>
      </c>
      <c r="L689">
        <v>2.0972385417334E-2</v>
      </c>
      <c r="M689">
        <v>5.4114569316516502E-2</v>
      </c>
      <c r="N689">
        <v>2019</v>
      </c>
      <c r="O689" t="s">
        <v>13</v>
      </c>
      <c r="P689" t="s">
        <v>159</v>
      </c>
      <c r="Q689" t="s">
        <v>19</v>
      </c>
      <c r="R689" t="s">
        <v>20</v>
      </c>
    </row>
    <row r="690" spans="1:18" x14ac:dyDescent="0.25">
      <c r="A690" t="s">
        <v>157</v>
      </c>
      <c r="B690" t="s">
        <v>158</v>
      </c>
      <c r="C690" t="s">
        <v>12</v>
      </c>
      <c r="D690">
        <v>2</v>
      </c>
      <c r="E690">
        <v>55</v>
      </c>
      <c r="F690">
        <v>0.24066203476001299</v>
      </c>
      <c r="G690">
        <v>466</v>
      </c>
      <c r="H690">
        <v>0.105837375526801</v>
      </c>
      <c r="I690">
        <v>245</v>
      </c>
      <c r="L690">
        <v>1.31541201050529E-2</v>
      </c>
      <c r="M690">
        <v>5.8371076175543699E-2</v>
      </c>
      <c r="N690">
        <v>2019</v>
      </c>
      <c r="O690" t="s">
        <v>13</v>
      </c>
      <c r="P690" t="s">
        <v>159</v>
      </c>
      <c r="Q690" t="s">
        <v>19</v>
      </c>
      <c r="R690" t="s">
        <v>20</v>
      </c>
    </row>
    <row r="691" spans="1:18" x14ac:dyDescent="0.25">
      <c r="A691" t="s">
        <v>157</v>
      </c>
      <c r="B691" t="s">
        <v>158</v>
      </c>
      <c r="C691" t="s">
        <v>12</v>
      </c>
      <c r="D691">
        <v>2</v>
      </c>
      <c r="E691">
        <v>65</v>
      </c>
      <c r="F691">
        <v>0.35533753732392398</v>
      </c>
      <c r="G691">
        <v>369</v>
      </c>
      <c r="H691">
        <v>0.116421330135433</v>
      </c>
      <c r="I691">
        <v>154</v>
      </c>
      <c r="L691">
        <v>1.09347940698251E-2</v>
      </c>
      <c r="M691">
        <v>5.4436758764405901E-2</v>
      </c>
      <c r="N691">
        <v>2019</v>
      </c>
      <c r="O691" t="s">
        <v>13</v>
      </c>
      <c r="P691" t="s">
        <v>159</v>
      </c>
      <c r="Q691" t="s">
        <v>19</v>
      </c>
      <c r="R691" t="s">
        <v>20</v>
      </c>
    </row>
    <row r="692" spans="1:18" x14ac:dyDescent="0.25">
      <c r="A692" t="s">
        <v>157</v>
      </c>
      <c r="B692" t="s">
        <v>158</v>
      </c>
      <c r="C692" t="s">
        <v>12</v>
      </c>
      <c r="D692">
        <v>1</v>
      </c>
      <c r="E692">
        <v>19</v>
      </c>
      <c r="F692">
        <v>0</v>
      </c>
      <c r="G692">
        <v>156</v>
      </c>
      <c r="H692">
        <v>3.1472326713373203E-2</v>
      </c>
      <c r="I692">
        <v>75</v>
      </c>
      <c r="L692">
        <v>4.2696833728392202E-3</v>
      </c>
      <c r="M692">
        <v>0</v>
      </c>
      <c r="N692">
        <v>2019</v>
      </c>
      <c r="O692" t="s">
        <v>13</v>
      </c>
      <c r="P692" t="s">
        <v>159</v>
      </c>
      <c r="Q692" t="s">
        <v>19</v>
      </c>
      <c r="R692" t="s">
        <v>20</v>
      </c>
    </row>
    <row r="693" spans="1:18" x14ac:dyDescent="0.25">
      <c r="A693" t="s">
        <v>157</v>
      </c>
      <c r="B693" t="s">
        <v>158</v>
      </c>
      <c r="C693" t="s">
        <v>12</v>
      </c>
      <c r="D693">
        <v>1</v>
      </c>
      <c r="E693">
        <v>25</v>
      </c>
      <c r="F693">
        <v>1.2229825910907899E-2</v>
      </c>
      <c r="G693">
        <v>482</v>
      </c>
      <c r="H693">
        <v>1.7704616015885299E-2</v>
      </c>
      <c r="I693">
        <v>179</v>
      </c>
      <c r="L693">
        <v>5.0594862704175002E-3</v>
      </c>
      <c r="M693">
        <v>2.0592984961945501E-2</v>
      </c>
      <c r="N693">
        <v>2019</v>
      </c>
      <c r="O693" t="s">
        <v>13</v>
      </c>
      <c r="P693" t="s">
        <v>159</v>
      </c>
      <c r="Q693" t="s">
        <v>19</v>
      </c>
      <c r="R693" t="s">
        <v>20</v>
      </c>
    </row>
    <row r="694" spans="1:18" x14ac:dyDescent="0.25">
      <c r="A694" t="s">
        <v>157</v>
      </c>
      <c r="B694" t="s">
        <v>158</v>
      </c>
      <c r="C694" t="s">
        <v>12</v>
      </c>
      <c r="D694">
        <v>1</v>
      </c>
      <c r="E694">
        <v>35</v>
      </c>
      <c r="F694">
        <v>3.7749711650178597E-2</v>
      </c>
      <c r="G694">
        <v>505</v>
      </c>
      <c r="H694">
        <v>1.91921438462864E-2</v>
      </c>
      <c r="I694">
        <v>264</v>
      </c>
      <c r="L694">
        <v>9.5249964164339108E-3</v>
      </c>
      <c r="M694">
        <v>7.2823698716983506E-2</v>
      </c>
      <c r="N694">
        <v>2019</v>
      </c>
      <c r="O694" t="s">
        <v>13</v>
      </c>
      <c r="P694" t="s">
        <v>159</v>
      </c>
      <c r="Q694" t="s">
        <v>19</v>
      </c>
      <c r="R694" t="s">
        <v>20</v>
      </c>
    </row>
    <row r="695" spans="1:18" x14ac:dyDescent="0.25">
      <c r="A695" t="s">
        <v>157</v>
      </c>
      <c r="B695" t="s">
        <v>158</v>
      </c>
      <c r="C695" t="s">
        <v>12</v>
      </c>
      <c r="D695">
        <v>1</v>
      </c>
      <c r="E695">
        <v>45</v>
      </c>
      <c r="F695">
        <v>0.119378654240014</v>
      </c>
      <c r="G695">
        <v>455</v>
      </c>
      <c r="H695">
        <v>6.3278914037123699E-2</v>
      </c>
      <c r="I695">
        <v>234</v>
      </c>
      <c r="L695">
        <v>7.1386865920423301E-3</v>
      </c>
      <c r="M695">
        <v>3.5360744930542497E-2</v>
      </c>
      <c r="N695">
        <v>2019</v>
      </c>
      <c r="O695" t="s">
        <v>13</v>
      </c>
      <c r="P695" t="s">
        <v>159</v>
      </c>
      <c r="Q695" t="s">
        <v>19</v>
      </c>
      <c r="R695" t="s">
        <v>20</v>
      </c>
    </row>
    <row r="696" spans="1:18" x14ac:dyDescent="0.25">
      <c r="A696" t="s">
        <v>157</v>
      </c>
      <c r="B696" t="s">
        <v>158</v>
      </c>
      <c r="C696" t="s">
        <v>12</v>
      </c>
      <c r="D696">
        <v>1</v>
      </c>
      <c r="E696">
        <v>55</v>
      </c>
      <c r="F696">
        <v>0.211413464683019</v>
      </c>
      <c r="G696">
        <v>347</v>
      </c>
      <c r="H696">
        <v>0.124761461214162</v>
      </c>
      <c r="I696">
        <v>172</v>
      </c>
      <c r="L696">
        <v>7.1276525250113703E-3</v>
      </c>
      <c r="M696">
        <v>2.2282805260173399E-2</v>
      </c>
      <c r="N696">
        <v>2019</v>
      </c>
      <c r="O696" t="s">
        <v>13</v>
      </c>
      <c r="P696" t="s">
        <v>159</v>
      </c>
      <c r="Q696" t="s">
        <v>19</v>
      </c>
      <c r="R696" t="s">
        <v>20</v>
      </c>
    </row>
    <row r="697" spans="1:18" x14ac:dyDescent="0.25">
      <c r="A697" t="s">
        <v>157</v>
      </c>
      <c r="B697" t="s">
        <v>158</v>
      </c>
      <c r="C697" t="s">
        <v>12</v>
      </c>
      <c r="D697">
        <v>1</v>
      </c>
      <c r="E697">
        <v>65</v>
      </c>
      <c r="F697">
        <v>0.28965916470818598</v>
      </c>
      <c r="G697">
        <v>257</v>
      </c>
      <c r="H697">
        <v>0.13879811618195201</v>
      </c>
      <c r="I697">
        <v>127</v>
      </c>
      <c r="L697">
        <v>4.2960922040853498E-3</v>
      </c>
      <c r="M697">
        <v>1.46274827150741E-2</v>
      </c>
      <c r="N697">
        <v>2019</v>
      </c>
      <c r="O697" t="s">
        <v>13</v>
      </c>
      <c r="P697" t="s">
        <v>159</v>
      </c>
      <c r="Q697" t="s">
        <v>19</v>
      </c>
      <c r="R697" t="s">
        <v>20</v>
      </c>
    </row>
    <row r="698" spans="1:18" x14ac:dyDescent="0.25">
      <c r="A698" t="s">
        <v>160</v>
      </c>
      <c r="B698" t="s">
        <v>161</v>
      </c>
      <c r="C698" t="s">
        <v>12</v>
      </c>
      <c r="D698">
        <v>2</v>
      </c>
      <c r="E698">
        <v>19</v>
      </c>
      <c r="F698">
        <v>0</v>
      </c>
      <c r="G698">
        <v>116</v>
      </c>
      <c r="H698">
        <v>1.25271848494155E-2</v>
      </c>
      <c r="I698">
        <v>109</v>
      </c>
      <c r="L698">
        <v>1.7643770470578499E-2</v>
      </c>
      <c r="M698">
        <v>0</v>
      </c>
      <c r="N698">
        <v>2015</v>
      </c>
      <c r="O698" t="s">
        <v>13</v>
      </c>
      <c r="P698" t="s">
        <v>162</v>
      </c>
      <c r="Q698" t="s">
        <v>94</v>
      </c>
      <c r="R698" t="s">
        <v>44</v>
      </c>
    </row>
    <row r="699" spans="1:18" x14ac:dyDescent="0.25">
      <c r="A699" t="s">
        <v>160</v>
      </c>
      <c r="B699" t="s">
        <v>161</v>
      </c>
      <c r="C699" t="s">
        <v>12</v>
      </c>
      <c r="D699">
        <v>2</v>
      </c>
      <c r="E699">
        <v>25</v>
      </c>
      <c r="F699">
        <v>0</v>
      </c>
      <c r="G699">
        <v>723</v>
      </c>
      <c r="H699">
        <v>9.3325626594865495E-3</v>
      </c>
      <c r="I699">
        <v>661</v>
      </c>
      <c r="L699">
        <v>7.3545185779386194E-2</v>
      </c>
      <c r="M699">
        <v>0</v>
      </c>
      <c r="N699">
        <v>2015</v>
      </c>
      <c r="O699" t="s">
        <v>13</v>
      </c>
      <c r="P699" t="s">
        <v>162</v>
      </c>
      <c r="Q699" t="s">
        <v>94</v>
      </c>
      <c r="R699" t="s">
        <v>44</v>
      </c>
    </row>
    <row r="700" spans="1:18" x14ac:dyDescent="0.25">
      <c r="A700" t="s">
        <v>160</v>
      </c>
      <c r="B700" t="s">
        <v>161</v>
      </c>
      <c r="C700" t="s">
        <v>12</v>
      </c>
      <c r="D700">
        <v>2</v>
      </c>
      <c r="E700">
        <v>35</v>
      </c>
      <c r="F700">
        <v>2.2401894213985199E-3</v>
      </c>
      <c r="G700">
        <v>677</v>
      </c>
      <c r="H700">
        <v>2.7258287628292799E-2</v>
      </c>
      <c r="I700">
        <v>625</v>
      </c>
      <c r="L700">
        <v>4.0342508981200897E-2</v>
      </c>
      <c r="M700">
        <v>4.4956172929100702E-2</v>
      </c>
      <c r="N700">
        <v>2015</v>
      </c>
      <c r="O700" t="s">
        <v>13</v>
      </c>
      <c r="P700" t="s">
        <v>162</v>
      </c>
      <c r="Q700" t="s">
        <v>94</v>
      </c>
      <c r="R700" t="s">
        <v>44</v>
      </c>
    </row>
    <row r="701" spans="1:18" x14ac:dyDescent="0.25">
      <c r="A701" t="s">
        <v>160</v>
      </c>
      <c r="B701" t="s">
        <v>161</v>
      </c>
      <c r="C701" t="s">
        <v>12</v>
      </c>
      <c r="D701">
        <v>2</v>
      </c>
      <c r="E701">
        <v>45</v>
      </c>
      <c r="F701">
        <v>1.9954969386052901E-2</v>
      </c>
      <c r="G701">
        <v>439</v>
      </c>
      <c r="H701">
        <v>4.9408588596986699E-2</v>
      </c>
      <c r="I701">
        <v>394</v>
      </c>
      <c r="L701">
        <v>1.9476350511464801E-2</v>
      </c>
      <c r="M701">
        <v>3.6653519018568198E-2</v>
      </c>
      <c r="N701">
        <v>2015</v>
      </c>
      <c r="O701" t="s">
        <v>13</v>
      </c>
      <c r="P701" t="s">
        <v>162</v>
      </c>
      <c r="Q701" t="s">
        <v>94</v>
      </c>
      <c r="R701" t="s">
        <v>44</v>
      </c>
    </row>
    <row r="702" spans="1:18" x14ac:dyDescent="0.25">
      <c r="A702" t="s">
        <v>160</v>
      </c>
      <c r="B702" t="s">
        <v>161</v>
      </c>
      <c r="C702" t="s">
        <v>12</v>
      </c>
      <c r="D702">
        <v>2</v>
      </c>
      <c r="E702">
        <v>55</v>
      </c>
      <c r="F702">
        <v>3.3637843028585003E-2</v>
      </c>
      <c r="G702">
        <v>320</v>
      </c>
      <c r="H702">
        <v>6.52187133483699E-2</v>
      </c>
      <c r="I702">
        <v>287</v>
      </c>
      <c r="L702">
        <v>2.8914351461738801E-2</v>
      </c>
      <c r="M702">
        <v>5.4440548302183901E-2</v>
      </c>
      <c r="N702">
        <v>2015</v>
      </c>
      <c r="O702" t="s">
        <v>13</v>
      </c>
      <c r="P702" t="s">
        <v>162</v>
      </c>
      <c r="Q702" t="s">
        <v>94</v>
      </c>
      <c r="R702" t="s">
        <v>44</v>
      </c>
    </row>
    <row r="703" spans="1:18" x14ac:dyDescent="0.25">
      <c r="A703" t="s">
        <v>160</v>
      </c>
      <c r="B703" t="s">
        <v>161</v>
      </c>
      <c r="C703" t="s">
        <v>12</v>
      </c>
      <c r="D703">
        <v>2</v>
      </c>
      <c r="E703">
        <v>65</v>
      </c>
      <c r="F703">
        <v>2.0000329466724202E-2</v>
      </c>
      <c r="G703">
        <v>252</v>
      </c>
      <c r="H703">
        <v>6.30158318653396E-2</v>
      </c>
      <c r="I703">
        <v>218</v>
      </c>
      <c r="L703">
        <v>5.2145474811964902E-2</v>
      </c>
      <c r="M703">
        <v>8.0061754877506205E-2</v>
      </c>
      <c r="N703">
        <v>2015</v>
      </c>
      <c r="O703" t="s">
        <v>13</v>
      </c>
      <c r="P703" t="s">
        <v>162</v>
      </c>
      <c r="Q703" t="s">
        <v>94</v>
      </c>
      <c r="R703" t="s">
        <v>44</v>
      </c>
    </row>
    <row r="704" spans="1:18" x14ac:dyDescent="0.25">
      <c r="A704" t="s">
        <v>160</v>
      </c>
      <c r="B704" t="s">
        <v>161</v>
      </c>
      <c r="C704" t="s">
        <v>12</v>
      </c>
      <c r="D704">
        <v>1</v>
      </c>
      <c r="E704">
        <v>19</v>
      </c>
      <c r="F704">
        <v>0</v>
      </c>
      <c r="G704">
        <v>76</v>
      </c>
      <c r="H704">
        <v>1.9399619371156E-3</v>
      </c>
      <c r="I704">
        <v>68</v>
      </c>
      <c r="L704">
        <v>9.5505437402162802E-2</v>
      </c>
      <c r="M704">
        <v>0</v>
      </c>
      <c r="N704">
        <v>2015</v>
      </c>
      <c r="O704" t="s">
        <v>13</v>
      </c>
      <c r="P704" t="s">
        <v>162</v>
      </c>
      <c r="Q704" t="s">
        <v>94</v>
      </c>
      <c r="R704" t="s">
        <v>44</v>
      </c>
    </row>
    <row r="705" spans="1:18" x14ac:dyDescent="0.25">
      <c r="A705" t="s">
        <v>160</v>
      </c>
      <c r="B705" t="s">
        <v>161</v>
      </c>
      <c r="C705" t="s">
        <v>12</v>
      </c>
      <c r="D705">
        <v>1</v>
      </c>
      <c r="E705">
        <v>25</v>
      </c>
      <c r="F705">
        <v>3.9733342944147499E-4</v>
      </c>
      <c r="G705">
        <v>472</v>
      </c>
      <c r="H705">
        <v>8.2874993032504996E-3</v>
      </c>
      <c r="I705">
        <v>426</v>
      </c>
      <c r="L705">
        <v>3.2762613153750897E-2</v>
      </c>
      <c r="M705">
        <v>4.2912050143210999E-2</v>
      </c>
      <c r="N705">
        <v>2015</v>
      </c>
      <c r="O705" t="s">
        <v>13</v>
      </c>
      <c r="P705" t="s">
        <v>162</v>
      </c>
      <c r="Q705" t="s">
        <v>94</v>
      </c>
      <c r="R705" t="s">
        <v>44</v>
      </c>
    </row>
    <row r="706" spans="1:18" x14ac:dyDescent="0.25">
      <c r="A706" t="s">
        <v>160</v>
      </c>
      <c r="B706" t="s">
        <v>161</v>
      </c>
      <c r="C706" t="s">
        <v>12</v>
      </c>
      <c r="D706">
        <v>1</v>
      </c>
      <c r="E706">
        <v>35</v>
      </c>
      <c r="F706">
        <v>1.2450348072482801E-3</v>
      </c>
      <c r="G706">
        <v>509</v>
      </c>
      <c r="H706">
        <v>1.3391581354834901E-2</v>
      </c>
      <c r="I706">
        <v>451</v>
      </c>
      <c r="L706">
        <v>3.7757699151736997E-2</v>
      </c>
      <c r="M706">
        <v>5.5521587058453399E-2</v>
      </c>
      <c r="N706">
        <v>2015</v>
      </c>
      <c r="O706" t="s">
        <v>13</v>
      </c>
      <c r="P706" t="s">
        <v>162</v>
      </c>
      <c r="Q706" t="s">
        <v>94</v>
      </c>
      <c r="R706" t="s">
        <v>44</v>
      </c>
    </row>
    <row r="707" spans="1:18" x14ac:dyDescent="0.25">
      <c r="A707" t="s">
        <v>160</v>
      </c>
      <c r="B707" t="s">
        <v>161</v>
      </c>
      <c r="C707" t="s">
        <v>12</v>
      </c>
      <c r="D707">
        <v>1</v>
      </c>
      <c r="E707">
        <v>45</v>
      </c>
      <c r="F707">
        <v>2.8658482177876801E-3</v>
      </c>
      <c r="G707">
        <v>336</v>
      </c>
      <c r="H707">
        <v>2.6712243367189699E-2</v>
      </c>
      <c r="I707">
        <v>311</v>
      </c>
      <c r="L707">
        <v>4.2017479411945197E-2</v>
      </c>
      <c r="M707">
        <v>5.2102775687298299E-2</v>
      </c>
      <c r="N707">
        <v>2015</v>
      </c>
      <c r="O707" t="s">
        <v>13</v>
      </c>
      <c r="P707" t="s">
        <v>162</v>
      </c>
      <c r="Q707" t="s">
        <v>94</v>
      </c>
      <c r="R707" t="s">
        <v>44</v>
      </c>
    </row>
    <row r="708" spans="1:18" x14ac:dyDescent="0.25">
      <c r="A708" t="s">
        <v>160</v>
      </c>
      <c r="B708" t="s">
        <v>161</v>
      </c>
      <c r="C708" t="s">
        <v>12</v>
      </c>
      <c r="D708">
        <v>1</v>
      </c>
      <c r="E708">
        <v>55</v>
      </c>
      <c r="F708">
        <v>2.8661428221125299E-4</v>
      </c>
      <c r="G708">
        <v>211</v>
      </c>
      <c r="H708">
        <v>9.3176595548459099E-2</v>
      </c>
      <c r="I708">
        <v>190</v>
      </c>
      <c r="L708">
        <v>2.2094092679298301E-2</v>
      </c>
      <c r="M708">
        <v>6.3571623364511E-3</v>
      </c>
      <c r="N708">
        <v>2015</v>
      </c>
      <c r="O708" t="s">
        <v>13</v>
      </c>
      <c r="P708" t="s">
        <v>162</v>
      </c>
      <c r="Q708" t="s">
        <v>94</v>
      </c>
      <c r="R708" t="s">
        <v>44</v>
      </c>
    </row>
    <row r="709" spans="1:18" x14ac:dyDescent="0.25">
      <c r="A709" t="s">
        <v>160</v>
      </c>
      <c r="B709" t="s">
        <v>161</v>
      </c>
      <c r="C709" t="s">
        <v>12</v>
      </c>
      <c r="D709">
        <v>1</v>
      </c>
      <c r="E709">
        <v>65</v>
      </c>
      <c r="F709">
        <v>1.26295478484142E-2</v>
      </c>
      <c r="G709">
        <v>159</v>
      </c>
      <c r="H709">
        <v>3.8737680885896901E-2</v>
      </c>
      <c r="I709">
        <v>141</v>
      </c>
      <c r="L709">
        <v>5.0870854706366098E-2</v>
      </c>
      <c r="M709">
        <v>9.8985490751822197E-2</v>
      </c>
      <c r="N709">
        <v>2015</v>
      </c>
      <c r="O709" t="s">
        <v>13</v>
      </c>
      <c r="P709" t="s">
        <v>162</v>
      </c>
      <c r="Q709" t="s">
        <v>94</v>
      </c>
      <c r="R709" t="s">
        <v>44</v>
      </c>
    </row>
    <row r="710" spans="1:18" x14ac:dyDescent="0.25">
      <c r="A710" t="s">
        <v>163</v>
      </c>
      <c r="B710" t="s">
        <v>164</v>
      </c>
      <c r="C710" t="s">
        <v>12</v>
      </c>
      <c r="D710">
        <v>2</v>
      </c>
      <c r="E710">
        <v>27.5</v>
      </c>
      <c r="F710">
        <v>1.6355534199017901E-3</v>
      </c>
      <c r="G710">
        <v>221</v>
      </c>
      <c r="H710">
        <v>1.20456651108659E-2</v>
      </c>
      <c r="I710">
        <v>215</v>
      </c>
      <c r="L710">
        <v>0.11068118175330099</v>
      </c>
      <c r="M710">
        <v>0.274118901158727</v>
      </c>
      <c r="N710">
        <v>2013</v>
      </c>
      <c r="O710" t="s">
        <v>13</v>
      </c>
      <c r="P710" t="s">
        <v>165</v>
      </c>
      <c r="Q710" t="s">
        <v>29</v>
      </c>
      <c r="R710" t="s">
        <v>20</v>
      </c>
    </row>
    <row r="711" spans="1:18" x14ac:dyDescent="0.25">
      <c r="A711" t="s">
        <v>163</v>
      </c>
      <c r="B711" t="s">
        <v>164</v>
      </c>
      <c r="C711" t="s">
        <v>12</v>
      </c>
      <c r="D711">
        <v>2</v>
      </c>
      <c r="E711">
        <v>35</v>
      </c>
      <c r="F711">
        <v>2.2290301462547998E-3</v>
      </c>
      <c r="G711">
        <v>374</v>
      </c>
      <c r="H711">
        <v>3.4116631194820397E-2</v>
      </c>
      <c r="I711">
        <v>366</v>
      </c>
      <c r="L711">
        <v>5.3021927394316597E-2</v>
      </c>
      <c r="M711">
        <v>5.1802788278059501E-2</v>
      </c>
      <c r="N711">
        <v>2013</v>
      </c>
      <c r="O711" t="s">
        <v>13</v>
      </c>
      <c r="P711" t="s">
        <v>165</v>
      </c>
      <c r="Q711" t="s">
        <v>29</v>
      </c>
      <c r="R711" t="s">
        <v>20</v>
      </c>
    </row>
    <row r="712" spans="1:18" x14ac:dyDescent="0.25">
      <c r="A712" t="s">
        <v>163</v>
      </c>
      <c r="B712" t="s">
        <v>164</v>
      </c>
      <c r="C712" t="s">
        <v>12</v>
      </c>
      <c r="D712">
        <v>2</v>
      </c>
      <c r="E712">
        <v>45</v>
      </c>
      <c r="F712">
        <v>1.3547627511352999E-2</v>
      </c>
      <c r="G712">
        <v>433</v>
      </c>
      <c r="H712">
        <v>9.3254381540931394E-2</v>
      </c>
      <c r="I712">
        <v>415</v>
      </c>
      <c r="L712">
        <v>4.4162122046059599E-2</v>
      </c>
      <c r="M712">
        <v>3.9671897018020999E-2</v>
      </c>
      <c r="N712">
        <v>2013</v>
      </c>
      <c r="O712" t="s">
        <v>13</v>
      </c>
      <c r="P712" t="s">
        <v>165</v>
      </c>
      <c r="Q712" t="s">
        <v>29</v>
      </c>
      <c r="R712" t="s">
        <v>20</v>
      </c>
    </row>
    <row r="713" spans="1:18" x14ac:dyDescent="0.25">
      <c r="A713" t="s">
        <v>163</v>
      </c>
      <c r="B713" t="s">
        <v>164</v>
      </c>
      <c r="C713" t="s">
        <v>12</v>
      </c>
      <c r="D713">
        <v>2</v>
      </c>
      <c r="E713">
        <v>55</v>
      </c>
      <c r="F713">
        <v>6.8353074800269406E-2</v>
      </c>
      <c r="G713">
        <v>399</v>
      </c>
      <c r="H713">
        <v>0.106279949086529</v>
      </c>
      <c r="I713">
        <v>365</v>
      </c>
      <c r="L713">
        <v>3.7357263565069902E-2</v>
      </c>
      <c r="M713">
        <v>6.3845487912509005E-2</v>
      </c>
      <c r="N713">
        <v>2013</v>
      </c>
      <c r="O713" t="s">
        <v>13</v>
      </c>
      <c r="P713" t="s">
        <v>165</v>
      </c>
      <c r="Q713" t="s">
        <v>29</v>
      </c>
      <c r="R713" t="s">
        <v>20</v>
      </c>
    </row>
    <row r="714" spans="1:18" x14ac:dyDescent="0.25">
      <c r="A714" t="s">
        <v>163</v>
      </c>
      <c r="B714" t="s">
        <v>164</v>
      </c>
      <c r="C714" t="s">
        <v>12</v>
      </c>
      <c r="D714">
        <v>2</v>
      </c>
      <c r="E714">
        <v>62.5</v>
      </c>
      <c r="F714">
        <v>6.7677736936083505E-2</v>
      </c>
      <c r="G714">
        <v>178</v>
      </c>
      <c r="H714">
        <v>0.15007513939306799</v>
      </c>
      <c r="I714">
        <v>165</v>
      </c>
      <c r="L714">
        <v>5.5584429563742897E-2</v>
      </c>
      <c r="M714">
        <v>6.5802688462315198E-2</v>
      </c>
      <c r="N714">
        <v>2013</v>
      </c>
      <c r="O714" t="s">
        <v>13</v>
      </c>
      <c r="P714" t="s">
        <v>165</v>
      </c>
      <c r="Q714" t="s">
        <v>29</v>
      </c>
      <c r="R714" t="s">
        <v>20</v>
      </c>
    </row>
    <row r="715" spans="1:18" x14ac:dyDescent="0.25">
      <c r="A715" t="s">
        <v>163</v>
      </c>
      <c r="B715" t="s">
        <v>164</v>
      </c>
      <c r="C715" t="s">
        <v>12</v>
      </c>
      <c r="D715">
        <v>1</v>
      </c>
      <c r="E715">
        <v>27.5</v>
      </c>
      <c r="F715">
        <v>0</v>
      </c>
      <c r="G715">
        <v>134</v>
      </c>
      <c r="H715">
        <v>1.3679359284619001E-2</v>
      </c>
      <c r="I715">
        <v>132</v>
      </c>
      <c r="L715">
        <v>6.1588336739217098E-2</v>
      </c>
      <c r="M715">
        <v>0</v>
      </c>
      <c r="N715">
        <v>2013</v>
      </c>
      <c r="O715" t="s">
        <v>13</v>
      </c>
      <c r="P715" t="s">
        <v>165</v>
      </c>
      <c r="Q715" t="s">
        <v>29</v>
      </c>
      <c r="R715" t="s">
        <v>20</v>
      </c>
    </row>
    <row r="716" spans="1:18" x14ac:dyDescent="0.25">
      <c r="A716" t="s">
        <v>163</v>
      </c>
      <c r="B716" t="s">
        <v>164</v>
      </c>
      <c r="C716" t="s">
        <v>12</v>
      </c>
      <c r="D716">
        <v>1</v>
      </c>
      <c r="E716">
        <v>35</v>
      </c>
      <c r="F716">
        <v>4.5889955875525303E-3</v>
      </c>
      <c r="G716">
        <v>219</v>
      </c>
      <c r="H716">
        <v>4.14664330265192E-2</v>
      </c>
      <c r="I716">
        <v>210</v>
      </c>
      <c r="L716">
        <v>1.6081384932910298E-2</v>
      </c>
      <c r="M716">
        <v>1.7534330310910201E-2</v>
      </c>
      <c r="N716">
        <v>2013</v>
      </c>
      <c r="O716" t="s">
        <v>13</v>
      </c>
      <c r="P716" t="s">
        <v>165</v>
      </c>
      <c r="Q716" t="s">
        <v>29</v>
      </c>
      <c r="R716" t="s">
        <v>20</v>
      </c>
    </row>
    <row r="717" spans="1:18" x14ac:dyDescent="0.25">
      <c r="A717" t="s">
        <v>163</v>
      </c>
      <c r="B717" t="s">
        <v>164</v>
      </c>
      <c r="C717" t="s">
        <v>12</v>
      </c>
      <c r="D717">
        <v>1</v>
      </c>
      <c r="E717">
        <v>45</v>
      </c>
      <c r="F717">
        <v>3.9021393954382401E-2</v>
      </c>
      <c r="G717">
        <v>261</v>
      </c>
      <c r="H717">
        <v>5.3824559704954901E-2</v>
      </c>
      <c r="I717">
        <v>246</v>
      </c>
      <c r="L717">
        <v>2.1935841122276901E-2</v>
      </c>
      <c r="M717">
        <v>5.6377715960110701E-2</v>
      </c>
      <c r="N717">
        <v>2013</v>
      </c>
      <c r="O717" t="s">
        <v>13</v>
      </c>
      <c r="P717" t="s">
        <v>165</v>
      </c>
      <c r="Q717" t="s">
        <v>29</v>
      </c>
      <c r="R717" t="s">
        <v>20</v>
      </c>
    </row>
    <row r="718" spans="1:18" x14ac:dyDescent="0.25">
      <c r="A718" t="s">
        <v>163</v>
      </c>
      <c r="B718" t="s">
        <v>164</v>
      </c>
      <c r="C718" t="s">
        <v>12</v>
      </c>
      <c r="D718">
        <v>1</v>
      </c>
      <c r="E718">
        <v>55</v>
      </c>
      <c r="F718">
        <v>4.5427165322186297E-2</v>
      </c>
      <c r="G718">
        <v>251</v>
      </c>
      <c r="H718">
        <v>0.10425662883336601</v>
      </c>
      <c r="I718">
        <v>239</v>
      </c>
      <c r="L718">
        <v>2.9165954568288001E-2</v>
      </c>
      <c r="M718">
        <v>4.0314030898578899E-2</v>
      </c>
      <c r="N718">
        <v>2013</v>
      </c>
      <c r="O718" t="s">
        <v>13</v>
      </c>
      <c r="P718" t="s">
        <v>165</v>
      </c>
      <c r="Q718" t="s">
        <v>29</v>
      </c>
      <c r="R718" t="s">
        <v>20</v>
      </c>
    </row>
    <row r="719" spans="1:18" x14ac:dyDescent="0.25">
      <c r="A719" t="s">
        <v>163</v>
      </c>
      <c r="B719" t="s">
        <v>164</v>
      </c>
      <c r="C719" t="s">
        <v>12</v>
      </c>
      <c r="D719">
        <v>1</v>
      </c>
      <c r="E719">
        <v>62.5</v>
      </c>
      <c r="F719">
        <v>2.4087348048827801E-2</v>
      </c>
      <c r="G719">
        <v>81</v>
      </c>
      <c r="H719">
        <v>0.108832533890958</v>
      </c>
      <c r="I719">
        <v>74</v>
      </c>
      <c r="L719">
        <v>3.6912443883293199E-2</v>
      </c>
      <c r="M719">
        <v>3.5222635550256502E-2</v>
      </c>
      <c r="N719">
        <v>2013</v>
      </c>
      <c r="O719" t="s">
        <v>13</v>
      </c>
      <c r="P719" t="s">
        <v>165</v>
      </c>
      <c r="Q719" t="s">
        <v>29</v>
      </c>
      <c r="R719" t="s">
        <v>20</v>
      </c>
    </row>
    <row r="720" spans="1:18" x14ac:dyDescent="0.25">
      <c r="A720" t="s">
        <v>166</v>
      </c>
      <c r="B720" t="s">
        <v>167</v>
      </c>
      <c r="C720" t="s">
        <v>12</v>
      </c>
      <c r="D720">
        <v>2</v>
      </c>
      <c r="E720">
        <v>27.5</v>
      </c>
      <c r="F720">
        <v>6.8350484350634599E-3</v>
      </c>
      <c r="G720">
        <v>475</v>
      </c>
      <c r="H720">
        <v>8.6538860349315606E-3</v>
      </c>
      <c r="I720">
        <v>438</v>
      </c>
      <c r="L720">
        <v>1.2062528797132301E-2</v>
      </c>
      <c r="M720">
        <v>6.2939156175857797E-2</v>
      </c>
      <c r="N720">
        <v>2010</v>
      </c>
      <c r="O720" t="s">
        <v>13</v>
      </c>
      <c r="P720" t="s">
        <v>168</v>
      </c>
      <c r="Q720" t="s">
        <v>169</v>
      </c>
      <c r="R720" t="s">
        <v>170</v>
      </c>
    </row>
    <row r="721" spans="1:18" x14ac:dyDescent="0.25">
      <c r="A721" t="s">
        <v>166</v>
      </c>
      <c r="B721" t="s">
        <v>167</v>
      </c>
      <c r="C721" t="s">
        <v>12</v>
      </c>
      <c r="D721">
        <v>2</v>
      </c>
      <c r="E721">
        <v>35</v>
      </c>
      <c r="F721">
        <v>6.72132548361919E-4</v>
      </c>
      <c r="G721">
        <v>835</v>
      </c>
      <c r="H721">
        <v>1.35035656955786E-2</v>
      </c>
      <c r="I721">
        <v>783</v>
      </c>
      <c r="L721">
        <v>2.98782759026191E-2</v>
      </c>
      <c r="M721">
        <v>3.5237908473936798E-2</v>
      </c>
      <c r="N721">
        <v>2010</v>
      </c>
      <c r="O721" t="s">
        <v>13</v>
      </c>
      <c r="P721" t="s">
        <v>168</v>
      </c>
      <c r="Q721" t="s">
        <v>169</v>
      </c>
      <c r="R721" t="s">
        <v>170</v>
      </c>
    </row>
    <row r="722" spans="1:18" x14ac:dyDescent="0.25">
      <c r="A722" t="s">
        <v>166</v>
      </c>
      <c r="B722" t="s">
        <v>167</v>
      </c>
      <c r="C722" t="s">
        <v>12</v>
      </c>
      <c r="D722">
        <v>2</v>
      </c>
      <c r="E722">
        <v>45</v>
      </c>
      <c r="F722">
        <v>1.17712920004567E-2</v>
      </c>
      <c r="G722">
        <v>982</v>
      </c>
      <c r="H722">
        <v>3.1168291856829702E-2</v>
      </c>
      <c r="I722">
        <v>932</v>
      </c>
      <c r="L722">
        <v>1.6835023051522902E-2</v>
      </c>
      <c r="M722">
        <v>3.7552868828343001E-2</v>
      </c>
      <c r="N722">
        <v>2010</v>
      </c>
      <c r="O722" t="s">
        <v>13</v>
      </c>
      <c r="P722" t="s">
        <v>168</v>
      </c>
      <c r="Q722" t="s">
        <v>169</v>
      </c>
      <c r="R722" t="s">
        <v>170</v>
      </c>
    </row>
    <row r="723" spans="1:18" x14ac:dyDescent="0.25">
      <c r="A723" t="s">
        <v>166</v>
      </c>
      <c r="B723" t="s">
        <v>167</v>
      </c>
      <c r="C723" t="s">
        <v>12</v>
      </c>
      <c r="D723">
        <v>2</v>
      </c>
      <c r="E723">
        <v>55</v>
      </c>
      <c r="F723">
        <v>3.6801225709503699E-2</v>
      </c>
      <c r="G723">
        <v>841</v>
      </c>
      <c r="H723">
        <v>3.6054856968501602E-2</v>
      </c>
      <c r="I723">
        <v>790</v>
      </c>
      <c r="L723">
        <v>1.6556485126865399E-2</v>
      </c>
      <c r="M723">
        <v>6.5401268820172803E-2</v>
      </c>
      <c r="N723">
        <v>2010</v>
      </c>
      <c r="O723" t="s">
        <v>13</v>
      </c>
      <c r="P723" t="s">
        <v>168</v>
      </c>
      <c r="Q723" t="s">
        <v>169</v>
      </c>
      <c r="R723" t="s">
        <v>170</v>
      </c>
    </row>
    <row r="724" spans="1:18" x14ac:dyDescent="0.25">
      <c r="A724" t="s">
        <v>166</v>
      </c>
      <c r="B724" t="s">
        <v>167</v>
      </c>
      <c r="C724" t="s">
        <v>12</v>
      </c>
      <c r="D724">
        <v>2</v>
      </c>
      <c r="E724">
        <v>62.5</v>
      </c>
      <c r="F724">
        <v>3.5935893976323303E-2</v>
      </c>
      <c r="G724">
        <v>277</v>
      </c>
      <c r="H724">
        <v>8.5647216259081199E-2</v>
      </c>
      <c r="I724">
        <v>252</v>
      </c>
      <c r="L724">
        <v>8.5742100012991106E-3</v>
      </c>
      <c r="M724">
        <v>1.36324902674523E-2</v>
      </c>
      <c r="N724">
        <v>2010</v>
      </c>
      <c r="O724" t="s">
        <v>13</v>
      </c>
      <c r="P724" t="s">
        <v>168</v>
      </c>
      <c r="Q724" t="s">
        <v>169</v>
      </c>
      <c r="R724" t="s">
        <v>170</v>
      </c>
    </row>
    <row r="725" spans="1:18" x14ac:dyDescent="0.25">
      <c r="A725" t="s">
        <v>166</v>
      </c>
      <c r="B725" t="s">
        <v>167</v>
      </c>
      <c r="C725" t="s">
        <v>12</v>
      </c>
      <c r="D725">
        <v>1</v>
      </c>
      <c r="E725">
        <v>27.5</v>
      </c>
      <c r="F725">
        <v>0</v>
      </c>
      <c r="G725">
        <v>313</v>
      </c>
      <c r="H725">
        <v>1.0003898219641301E-2</v>
      </c>
      <c r="I725">
        <v>281</v>
      </c>
      <c r="L725">
        <v>3.2067369736884899E-2</v>
      </c>
      <c r="M725">
        <v>0</v>
      </c>
      <c r="N725">
        <v>2010</v>
      </c>
      <c r="O725" t="s">
        <v>13</v>
      </c>
      <c r="P725" t="s">
        <v>168</v>
      </c>
      <c r="Q725" t="s">
        <v>169</v>
      </c>
      <c r="R725" t="s">
        <v>170</v>
      </c>
    </row>
    <row r="726" spans="1:18" x14ac:dyDescent="0.25">
      <c r="A726" t="s">
        <v>166</v>
      </c>
      <c r="B726" t="s">
        <v>167</v>
      </c>
      <c r="C726" t="s">
        <v>12</v>
      </c>
      <c r="D726">
        <v>1</v>
      </c>
      <c r="E726">
        <v>35</v>
      </c>
      <c r="F726">
        <v>1.7167177545222799E-3</v>
      </c>
      <c r="G726">
        <v>487</v>
      </c>
      <c r="H726">
        <v>1.4532463911695799E-2</v>
      </c>
      <c r="I726">
        <v>447</v>
      </c>
      <c r="L726">
        <v>3.0933625376561399E-2</v>
      </c>
      <c r="M726">
        <v>4.9202331968221998E-2</v>
      </c>
      <c r="N726">
        <v>2010</v>
      </c>
      <c r="O726" t="s">
        <v>13</v>
      </c>
      <c r="P726" t="s">
        <v>168</v>
      </c>
      <c r="Q726" t="s">
        <v>169</v>
      </c>
      <c r="R726" t="s">
        <v>170</v>
      </c>
    </row>
    <row r="727" spans="1:18" x14ac:dyDescent="0.25">
      <c r="A727" t="s">
        <v>166</v>
      </c>
      <c r="B727" t="s">
        <v>167</v>
      </c>
      <c r="C727" t="s">
        <v>12</v>
      </c>
      <c r="D727">
        <v>1</v>
      </c>
      <c r="E727">
        <v>45</v>
      </c>
      <c r="F727">
        <v>9.2328401564995104E-3</v>
      </c>
      <c r="G727">
        <v>546</v>
      </c>
      <c r="H727">
        <v>2.1795424601433199E-2</v>
      </c>
      <c r="I727">
        <v>505</v>
      </c>
      <c r="L727">
        <v>2.2533766525648102E-2</v>
      </c>
      <c r="M727">
        <v>5.99366852028081E-2</v>
      </c>
      <c r="N727">
        <v>2010</v>
      </c>
      <c r="O727" t="s">
        <v>13</v>
      </c>
      <c r="P727" t="s">
        <v>168</v>
      </c>
      <c r="Q727" t="s">
        <v>169</v>
      </c>
      <c r="R727" t="s">
        <v>170</v>
      </c>
    </row>
    <row r="728" spans="1:18" x14ac:dyDescent="0.25">
      <c r="A728" t="s">
        <v>166</v>
      </c>
      <c r="B728" t="s">
        <v>167</v>
      </c>
      <c r="C728" t="s">
        <v>12</v>
      </c>
      <c r="D728">
        <v>1</v>
      </c>
      <c r="E728">
        <v>55</v>
      </c>
      <c r="F728">
        <v>2.08849969907196E-2</v>
      </c>
      <c r="G728">
        <v>423</v>
      </c>
      <c r="H728">
        <v>2.3994497381050899E-2</v>
      </c>
      <c r="I728">
        <v>389</v>
      </c>
      <c r="L728">
        <v>2.7055404897406401E-2</v>
      </c>
      <c r="M728">
        <v>0.111774527567211</v>
      </c>
      <c r="N728">
        <v>2010</v>
      </c>
      <c r="O728" t="s">
        <v>13</v>
      </c>
      <c r="P728" t="s">
        <v>168</v>
      </c>
      <c r="Q728" t="s">
        <v>169</v>
      </c>
      <c r="R728" t="s">
        <v>170</v>
      </c>
    </row>
    <row r="729" spans="1:18" x14ac:dyDescent="0.25">
      <c r="A729" t="s">
        <v>166</v>
      </c>
      <c r="B729" t="s">
        <v>167</v>
      </c>
      <c r="C729" t="s">
        <v>12</v>
      </c>
      <c r="D729">
        <v>1</v>
      </c>
      <c r="E729">
        <v>62.5</v>
      </c>
      <c r="F729">
        <v>2.4981571955526999E-2</v>
      </c>
      <c r="G729">
        <v>168</v>
      </c>
      <c r="H729">
        <v>4.3599742213243399E-2</v>
      </c>
      <c r="I729">
        <v>154</v>
      </c>
      <c r="L729">
        <v>1.8283202895705099E-2</v>
      </c>
      <c r="M729">
        <v>4.5250769785374602E-2</v>
      </c>
      <c r="N729">
        <v>2010</v>
      </c>
      <c r="O729" t="s">
        <v>13</v>
      </c>
      <c r="P729" t="s">
        <v>168</v>
      </c>
      <c r="Q729" t="s">
        <v>169</v>
      </c>
      <c r="R729" t="s">
        <v>170</v>
      </c>
    </row>
    <row r="730" spans="1:18" x14ac:dyDescent="0.25">
      <c r="A730" t="s">
        <v>166</v>
      </c>
      <c r="B730" t="s">
        <v>171</v>
      </c>
      <c r="C730" t="s">
        <v>12</v>
      </c>
      <c r="D730">
        <v>2</v>
      </c>
      <c r="E730">
        <v>19</v>
      </c>
      <c r="F730">
        <v>0</v>
      </c>
      <c r="G730">
        <v>44</v>
      </c>
      <c r="H730">
        <v>3.3541821920125602E-3</v>
      </c>
      <c r="I730">
        <v>40</v>
      </c>
      <c r="L730">
        <v>0.111698074699996</v>
      </c>
      <c r="M730">
        <v>0</v>
      </c>
      <c r="N730">
        <v>2023</v>
      </c>
      <c r="O730" t="s">
        <v>13</v>
      </c>
      <c r="P730" t="s">
        <v>168</v>
      </c>
      <c r="Q730" t="s">
        <v>169</v>
      </c>
      <c r="R730" t="s">
        <v>170</v>
      </c>
    </row>
    <row r="731" spans="1:18" x14ac:dyDescent="0.25">
      <c r="A731" t="s">
        <v>166</v>
      </c>
      <c r="B731" t="s">
        <v>171</v>
      </c>
      <c r="C731" t="s">
        <v>12</v>
      </c>
      <c r="D731">
        <v>2</v>
      </c>
      <c r="E731">
        <v>25</v>
      </c>
      <c r="F731">
        <v>4.3610678451722496E-3</v>
      </c>
      <c r="G731">
        <v>275</v>
      </c>
      <c r="H731">
        <v>2.03383474901477E-2</v>
      </c>
      <c r="I731">
        <v>245</v>
      </c>
      <c r="L731">
        <v>1.19171760226936E-2</v>
      </c>
      <c r="M731">
        <v>2.28635924234303E-2</v>
      </c>
      <c r="N731">
        <v>2023</v>
      </c>
      <c r="O731" t="s">
        <v>13</v>
      </c>
      <c r="P731" t="s">
        <v>168</v>
      </c>
      <c r="Q731" t="s">
        <v>169</v>
      </c>
      <c r="R731" t="s">
        <v>170</v>
      </c>
    </row>
    <row r="732" spans="1:18" x14ac:dyDescent="0.25">
      <c r="A732" t="s">
        <v>166</v>
      </c>
      <c r="B732" t="s">
        <v>171</v>
      </c>
      <c r="C732" t="s">
        <v>12</v>
      </c>
      <c r="D732">
        <v>2</v>
      </c>
      <c r="E732">
        <v>35</v>
      </c>
      <c r="F732">
        <v>2.91420291537004E-3</v>
      </c>
      <c r="G732">
        <v>514</v>
      </c>
      <c r="H732">
        <v>3.7538390293910602E-2</v>
      </c>
      <c r="I732">
        <v>475</v>
      </c>
      <c r="L732">
        <v>2.4455150297504901E-2</v>
      </c>
      <c r="M732">
        <v>2.4082556500202801E-2</v>
      </c>
      <c r="N732">
        <v>2023</v>
      </c>
      <c r="O732" t="s">
        <v>13</v>
      </c>
      <c r="P732" t="s">
        <v>168</v>
      </c>
      <c r="Q732" t="s">
        <v>169</v>
      </c>
      <c r="R732" t="s">
        <v>170</v>
      </c>
    </row>
    <row r="733" spans="1:18" x14ac:dyDescent="0.25">
      <c r="A733" t="s">
        <v>166</v>
      </c>
      <c r="B733" t="s">
        <v>171</v>
      </c>
      <c r="C733" t="s">
        <v>12</v>
      </c>
      <c r="D733">
        <v>2</v>
      </c>
      <c r="E733">
        <v>45</v>
      </c>
      <c r="F733">
        <v>3.4268879488257901E-2</v>
      </c>
      <c r="G733">
        <v>573</v>
      </c>
      <c r="H733">
        <v>8.5282050655657901E-2</v>
      </c>
      <c r="I733">
        <v>511</v>
      </c>
      <c r="L733">
        <v>1.4784029329949501E-2</v>
      </c>
      <c r="M733">
        <v>2.22246914745577E-2</v>
      </c>
      <c r="N733">
        <v>2023</v>
      </c>
      <c r="O733" t="s">
        <v>13</v>
      </c>
      <c r="P733" t="s">
        <v>168</v>
      </c>
      <c r="Q733" t="s">
        <v>169</v>
      </c>
      <c r="R733" t="s">
        <v>170</v>
      </c>
    </row>
    <row r="734" spans="1:18" x14ac:dyDescent="0.25">
      <c r="A734" t="s">
        <v>166</v>
      </c>
      <c r="B734" t="s">
        <v>171</v>
      </c>
      <c r="C734" t="s">
        <v>12</v>
      </c>
      <c r="D734">
        <v>2</v>
      </c>
      <c r="E734">
        <v>55</v>
      </c>
      <c r="F734">
        <v>0.105996068523712</v>
      </c>
      <c r="G734">
        <v>655</v>
      </c>
      <c r="H734">
        <v>0.13312058399002899</v>
      </c>
      <c r="I734">
        <v>563</v>
      </c>
      <c r="L734">
        <v>1.5631879729904499E-2</v>
      </c>
      <c r="M734">
        <v>2.6782087561006501E-2</v>
      </c>
      <c r="N734">
        <v>2023</v>
      </c>
      <c r="O734" t="s">
        <v>13</v>
      </c>
      <c r="P734" t="s">
        <v>168</v>
      </c>
      <c r="Q734" t="s">
        <v>169</v>
      </c>
      <c r="R734" t="s">
        <v>170</v>
      </c>
    </row>
    <row r="735" spans="1:18" x14ac:dyDescent="0.25">
      <c r="A735" t="s">
        <v>166</v>
      </c>
      <c r="B735" t="s">
        <v>171</v>
      </c>
      <c r="C735" t="s">
        <v>12</v>
      </c>
      <c r="D735">
        <v>2</v>
      </c>
      <c r="E735">
        <v>65</v>
      </c>
      <c r="F735">
        <v>0.15213658533402399</v>
      </c>
      <c r="G735">
        <v>616</v>
      </c>
      <c r="H735">
        <v>0.14021965807859799</v>
      </c>
      <c r="I735">
        <v>486</v>
      </c>
      <c r="L735">
        <v>1.6372757582683101E-2</v>
      </c>
      <c r="M735">
        <v>3.3340532366639697E-2</v>
      </c>
      <c r="N735">
        <v>2023</v>
      </c>
      <c r="O735" t="s">
        <v>13</v>
      </c>
      <c r="P735" t="s">
        <v>168</v>
      </c>
      <c r="Q735" t="s">
        <v>169</v>
      </c>
      <c r="R735" t="s">
        <v>170</v>
      </c>
    </row>
    <row r="736" spans="1:18" x14ac:dyDescent="0.25">
      <c r="A736" t="s">
        <v>166</v>
      </c>
      <c r="B736" t="s">
        <v>171</v>
      </c>
      <c r="C736" t="s">
        <v>12</v>
      </c>
      <c r="D736">
        <v>1</v>
      </c>
      <c r="E736">
        <v>19</v>
      </c>
      <c r="F736">
        <v>0</v>
      </c>
      <c r="G736">
        <v>36</v>
      </c>
      <c r="H736">
        <v>4.2037859359351703E-3</v>
      </c>
      <c r="I736">
        <v>32</v>
      </c>
      <c r="L736">
        <v>0.111557052340939</v>
      </c>
      <c r="M736">
        <v>0</v>
      </c>
      <c r="N736">
        <v>2023</v>
      </c>
      <c r="O736" t="s">
        <v>13</v>
      </c>
      <c r="P736" t="s">
        <v>168</v>
      </c>
      <c r="Q736" t="s">
        <v>169</v>
      </c>
      <c r="R736" t="s">
        <v>170</v>
      </c>
    </row>
    <row r="737" spans="1:18" x14ac:dyDescent="0.25">
      <c r="A737" t="s">
        <v>166</v>
      </c>
      <c r="B737" t="s">
        <v>171</v>
      </c>
      <c r="C737" t="s">
        <v>12</v>
      </c>
      <c r="D737">
        <v>1</v>
      </c>
      <c r="E737">
        <v>25</v>
      </c>
      <c r="F737">
        <v>0</v>
      </c>
      <c r="G737">
        <v>180</v>
      </c>
      <c r="H737">
        <v>1.7545453111121202E-2</v>
      </c>
      <c r="I737">
        <v>154</v>
      </c>
      <c r="L737">
        <v>2.6841631588372699E-2</v>
      </c>
      <c r="M737">
        <v>0</v>
      </c>
      <c r="N737">
        <v>2023</v>
      </c>
      <c r="O737" t="s">
        <v>13</v>
      </c>
      <c r="P737" t="s">
        <v>168</v>
      </c>
      <c r="Q737" t="s">
        <v>169</v>
      </c>
      <c r="R737" t="s">
        <v>170</v>
      </c>
    </row>
    <row r="738" spans="1:18" x14ac:dyDescent="0.25">
      <c r="A738" t="s">
        <v>166</v>
      </c>
      <c r="B738" t="s">
        <v>171</v>
      </c>
      <c r="C738" t="s">
        <v>12</v>
      </c>
      <c r="D738">
        <v>1</v>
      </c>
      <c r="E738">
        <v>35</v>
      </c>
      <c r="F738">
        <v>0</v>
      </c>
      <c r="G738">
        <v>280</v>
      </c>
      <c r="H738">
        <v>6.1068155144538797E-2</v>
      </c>
      <c r="I738">
        <v>248</v>
      </c>
      <c r="L738">
        <v>1.8781651662199202E-2</v>
      </c>
      <c r="M738">
        <v>0</v>
      </c>
      <c r="N738">
        <v>2023</v>
      </c>
      <c r="O738" t="s">
        <v>13</v>
      </c>
      <c r="P738" t="s">
        <v>168</v>
      </c>
      <c r="Q738" t="s">
        <v>169</v>
      </c>
      <c r="R738" t="s">
        <v>170</v>
      </c>
    </row>
    <row r="739" spans="1:18" x14ac:dyDescent="0.25">
      <c r="A739" t="s">
        <v>166</v>
      </c>
      <c r="B739" t="s">
        <v>171</v>
      </c>
      <c r="C739" t="s">
        <v>12</v>
      </c>
      <c r="D739">
        <v>1</v>
      </c>
      <c r="E739">
        <v>45</v>
      </c>
      <c r="F739">
        <v>1.77330347713235E-2</v>
      </c>
      <c r="G739">
        <v>334</v>
      </c>
      <c r="H739">
        <v>8.1960990853213705E-2</v>
      </c>
      <c r="I739">
        <v>300</v>
      </c>
      <c r="L739">
        <v>1.68161651336266E-2</v>
      </c>
      <c r="M739">
        <v>1.8518298967941101E-2</v>
      </c>
      <c r="N739">
        <v>2023</v>
      </c>
      <c r="O739" t="s">
        <v>13</v>
      </c>
      <c r="P739" t="s">
        <v>168</v>
      </c>
      <c r="Q739" t="s">
        <v>169</v>
      </c>
      <c r="R739" t="s">
        <v>170</v>
      </c>
    </row>
    <row r="740" spans="1:18" x14ac:dyDescent="0.25">
      <c r="A740" t="s">
        <v>166</v>
      </c>
      <c r="B740" t="s">
        <v>171</v>
      </c>
      <c r="C740" t="s">
        <v>12</v>
      </c>
      <c r="D740">
        <v>1</v>
      </c>
      <c r="E740">
        <v>55</v>
      </c>
      <c r="F740">
        <v>6.3651417032566299E-2</v>
      </c>
      <c r="G740">
        <v>371</v>
      </c>
      <c r="H740">
        <v>0.10448893051253801</v>
      </c>
      <c r="I740">
        <v>320</v>
      </c>
      <c r="L740">
        <v>1.5569591962372099E-2</v>
      </c>
      <c r="M740">
        <v>2.6503783797436099E-2</v>
      </c>
      <c r="N740">
        <v>2023</v>
      </c>
      <c r="O740" t="s">
        <v>13</v>
      </c>
      <c r="P740" t="s">
        <v>168</v>
      </c>
      <c r="Q740" t="s">
        <v>169</v>
      </c>
      <c r="R740" t="s">
        <v>170</v>
      </c>
    </row>
    <row r="741" spans="1:18" x14ac:dyDescent="0.25">
      <c r="A741" t="s">
        <v>166</v>
      </c>
      <c r="B741" t="s">
        <v>171</v>
      </c>
      <c r="C741" t="s">
        <v>12</v>
      </c>
      <c r="D741">
        <v>1</v>
      </c>
      <c r="E741">
        <v>65</v>
      </c>
      <c r="F741">
        <v>0.10487216120238201</v>
      </c>
      <c r="G741">
        <v>312</v>
      </c>
      <c r="H741">
        <v>0.17769869771154001</v>
      </c>
      <c r="I741">
        <v>261</v>
      </c>
      <c r="L741">
        <v>1.4870212144163999E-2</v>
      </c>
      <c r="M741">
        <v>1.7350687237857199E-2</v>
      </c>
      <c r="N741">
        <v>2023</v>
      </c>
      <c r="O741" t="s">
        <v>13</v>
      </c>
      <c r="P741" t="s">
        <v>168</v>
      </c>
      <c r="Q741" t="s">
        <v>169</v>
      </c>
      <c r="R741" t="s">
        <v>170</v>
      </c>
    </row>
    <row r="742" spans="1:18" x14ac:dyDescent="0.25">
      <c r="A742" t="s">
        <v>172</v>
      </c>
      <c r="B742" t="s">
        <v>173</v>
      </c>
      <c r="C742" t="s">
        <v>12</v>
      </c>
      <c r="D742">
        <v>2</v>
      </c>
      <c r="E742">
        <v>19</v>
      </c>
      <c r="F742">
        <v>0</v>
      </c>
      <c r="G742">
        <v>41</v>
      </c>
      <c r="H742">
        <v>3.9193110626237301E-2</v>
      </c>
      <c r="I742">
        <v>32</v>
      </c>
      <c r="L742">
        <v>1.46770327854432E-2</v>
      </c>
      <c r="M742">
        <v>0</v>
      </c>
      <c r="N742">
        <v>2004</v>
      </c>
      <c r="O742" t="s">
        <v>13</v>
      </c>
      <c r="P742" t="s">
        <v>174</v>
      </c>
      <c r="Q742" t="s">
        <v>33</v>
      </c>
      <c r="R742" t="s">
        <v>34</v>
      </c>
    </row>
    <row r="743" spans="1:18" x14ac:dyDescent="0.25">
      <c r="A743" t="s">
        <v>172</v>
      </c>
      <c r="B743" t="s">
        <v>173</v>
      </c>
      <c r="C743" t="s">
        <v>12</v>
      </c>
      <c r="D743">
        <v>2</v>
      </c>
      <c r="E743">
        <v>25</v>
      </c>
      <c r="F743">
        <v>0</v>
      </c>
      <c r="G743">
        <v>204</v>
      </c>
      <c r="H743">
        <v>6.3496099915665405E-2</v>
      </c>
      <c r="I743">
        <v>171</v>
      </c>
      <c r="L743">
        <v>3.6398046762644298E-2</v>
      </c>
      <c r="M743">
        <v>0</v>
      </c>
      <c r="N743">
        <v>2004</v>
      </c>
      <c r="O743" t="s">
        <v>13</v>
      </c>
      <c r="P743" t="s">
        <v>174</v>
      </c>
      <c r="Q743" t="s">
        <v>33</v>
      </c>
      <c r="R743" t="s">
        <v>34</v>
      </c>
    </row>
    <row r="744" spans="1:18" x14ac:dyDescent="0.25">
      <c r="A744" t="s">
        <v>172</v>
      </c>
      <c r="B744" t="s">
        <v>173</v>
      </c>
      <c r="C744" t="s">
        <v>12</v>
      </c>
      <c r="D744">
        <v>2</v>
      </c>
      <c r="E744">
        <v>35</v>
      </c>
      <c r="F744">
        <v>1.7467248908296901E-2</v>
      </c>
      <c r="G744">
        <v>229</v>
      </c>
      <c r="H744">
        <v>0.18541285935889801</v>
      </c>
      <c r="I744">
        <v>180</v>
      </c>
      <c r="L744">
        <v>2.4048736015533301E-2</v>
      </c>
      <c r="M744">
        <v>1.10613210554422E-2</v>
      </c>
      <c r="N744">
        <v>2004</v>
      </c>
      <c r="O744" t="s">
        <v>13</v>
      </c>
      <c r="P744" t="s">
        <v>174</v>
      </c>
      <c r="Q744" t="s">
        <v>33</v>
      </c>
      <c r="R744" t="s">
        <v>34</v>
      </c>
    </row>
    <row r="745" spans="1:18" x14ac:dyDescent="0.25">
      <c r="A745" t="s">
        <v>172</v>
      </c>
      <c r="B745" t="s">
        <v>173</v>
      </c>
      <c r="C745" t="s">
        <v>12</v>
      </c>
      <c r="D745">
        <v>2</v>
      </c>
      <c r="E745">
        <v>45</v>
      </c>
      <c r="F745">
        <v>6.5727699530516395E-2</v>
      </c>
      <c r="G745">
        <v>213</v>
      </c>
      <c r="H745">
        <v>0.29194602973091399</v>
      </c>
      <c r="I745">
        <v>159</v>
      </c>
      <c r="L745">
        <v>2.15392848436168E-2</v>
      </c>
      <c r="M745">
        <v>9.57723843881126E-3</v>
      </c>
      <c r="N745">
        <v>2004</v>
      </c>
      <c r="O745" t="s">
        <v>13</v>
      </c>
      <c r="P745" t="s">
        <v>174</v>
      </c>
      <c r="Q745" t="s">
        <v>33</v>
      </c>
      <c r="R745" t="s">
        <v>34</v>
      </c>
    </row>
    <row r="746" spans="1:18" x14ac:dyDescent="0.25">
      <c r="A746" t="s">
        <v>172</v>
      </c>
      <c r="B746" t="s">
        <v>173</v>
      </c>
      <c r="C746" t="s">
        <v>12</v>
      </c>
      <c r="D746">
        <v>2</v>
      </c>
      <c r="E746">
        <v>55</v>
      </c>
      <c r="F746">
        <v>0.115853658536585</v>
      </c>
      <c r="G746">
        <v>164</v>
      </c>
      <c r="H746">
        <v>0.30996484835128202</v>
      </c>
      <c r="I746">
        <v>119</v>
      </c>
      <c r="L746">
        <v>3.4965979901593801E-2</v>
      </c>
      <c r="M746">
        <v>1.81608785800281E-2</v>
      </c>
      <c r="N746">
        <v>2004</v>
      </c>
      <c r="O746" t="s">
        <v>13</v>
      </c>
      <c r="P746" t="s">
        <v>174</v>
      </c>
      <c r="Q746" t="s">
        <v>33</v>
      </c>
      <c r="R746" t="s">
        <v>34</v>
      </c>
    </row>
    <row r="747" spans="1:18" x14ac:dyDescent="0.25">
      <c r="A747" t="s">
        <v>172</v>
      </c>
      <c r="B747" t="s">
        <v>173</v>
      </c>
      <c r="C747" t="s">
        <v>12</v>
      </c>
      <c r="D747">
        <v>2</v>
      </c>
      <c r="E747">
        <v>62.5</v>
      </c>
      <c r="F747">
        <v>6.5217391304347797E-2</v>
      </c>
      <c r="G747">
        <v>46</v>
      </c>
      <c r="H747">
        <v>0.33846076195407099</v>
      </c>
      <c r="I747">
        <v>38</v>
      </c>
      <c r="L747">
        <v>3.2214334398649402E-2</v>
      </c>
      <c r="M747">
        <v>1.0670786829365999E-2</v>
      </c>
      <c r="N747">
        <v>2004</v>
      </c>
      <c r="O747" t="s">
        <v>13</v>
      </c>
      <c r="P747" t="s">
        <v>174</v>
      </c>
      <c r="Q747" t="s">
        <v>33</v>
      </c>
      <c r="R747" t="s">
        <v>34</v>
      </c>
    </row>
    <row r="748" spans="1:18" x14ac:dyDescent="0.25">
      <c r="A748" t="s">
        <v>172</v>
      </c>
      <c r="B748" t="s">
        <v>173</v>
      </c>
      <c r="C748" t="s">
        <v>12</v>
      </c>
      <c r="D748">
        <v>1</v>
      </c>
      <c r="E748">
        <v>19</v>
      </c>
      <c r="F748">
        <v>0</v>
      </c>
      <c r="G748">
        <v>39</v>
      </c>
      <c r="H748">
        <v>4.3154271509961602E-2</v>
      </c>
      <c r="I748">
        <v>33</v>
      </c>
      <c r="L748">
        <v>2.6584971108990999E-2</v>
      </c>
      <c r="M748">
        <v>0</v>
      </c>
      <c r="N748">
        <v>2004</v>
      </c>
      <c r="O748" t="s">
        <v>13</v>
      </c>
      <c r="P748" t="s">
        <v>174</v>
      </c>
      <c r="Q748" t="s">
        <v>33</v>
      </c>
      <c r="R748" t="s">
        <v>34</v>
      </c>
    </row>
    <row r="749" spans="1:18" x14ac:dyDescent="0.25">
      <c r="A749" t="s">
        <v>172</v>
      </c>
      <c r="B749" t="s">
        <v>173</v>
      </c>
      <c r="C749" t="s">
        <v>12</v>
      </c>
      <c r="D749">
        <v>1</v>
      </c>
      <c r="E749">
        <v>25</v>
      </c>
      <c r="F749">
        <v>0</v>
      </c>
      <c r="G749">
        <v>170</v>
      </c>
      <c r="H749">
        <v>6.4662502892627705E-2</v>
      </c>
      <c r="I749">
        <v>133</v>
      </c>
      <c r="L749">
        <v>4.84626557032641E-2</v>
      </c>
      <c r="M749">
        <v>0</v>
      </c>
      <c r="N749">
        <v>2004</v>
      </c>
      <c r="O749" t="s">
        <v>13</v>
      </c>
      <c r="P749" t="s">
        <v>174</v>
      </c>
      <c r="Q749" t="s">
        <v>33</v>
      </c>
      <c r="R749" t="s">
        <v>34</v>
      </c>
    </row>
    <row r="750" spans="1:18" x14ac:dyDescent="0.25">
      <c r="A750" t="s">
        <v>172</v>
      </c>
      <c r="B750" t="s">
        <v>173</v>
      </c>
      <c r="C750" t="s">
        <v>12</v>
      </c>
      <c r="D750">
        <v>1</v>
      </c>
      <c r="E750">
        <v>35</v>
      </c>
      <c r="F750">
        <v>2.2099447513812199E-2</v>
      </c>
      <c r="G750">
        <v>181</v>
      </c>
      <c r="H750">
        <v>0.178086231443047</v>
      </c>
      <c r="I750">
        <v>147</v>
      </c>
      <c r="L750">
        <v>2.6460758466095E-2</v>
      </c>
      <c r="M750">
        <v>1.37808249362402E-2</v>
      </c>
      <c r="N750">
        <v>2004</v>
      </c>
      <c r="O750" t="s">
        <v>13</v>
      </c>
      <c r="P750" t="s">
        <v>174</v>
      </c>
      <c r="Q750" t="s">
        <v>33</v>
      </c>
      <c r="R750" t="s">
        <v>34</v>
      </c>
    </row>
    <row r="751" spans="1:18" x14ac:dyDescent="0.25">
      <c r="A751" t="s">
        <v>172</v>
      </c>
      <c r="B751" t="s">
        <v>173</v>
      </c>
      <c r="C751" t="s">
        <v>12</v>
      </c>
      <c r="D751">
        <v>1</v>
      </c>
      <c r="E751">
        <v>45</v>
      </c>
      <c r="F751">
        <v>4.7368421052631601E-2</v>
      </c>
      <c r="G751">
        <v>190</v>
      </c>
      <c r="H751">
        <v>0.30519975312155301</v>
      </c>
      <c r="I751">
        <v>150</v>
      </c>
      <c r="L751">
        <v>1.9713172243193602E-2</v>
      </c>
      <c r="M751">
        <v>7.0177519835743904E-3</v>
      </c>
      <c r="N751">
        <v>2004</v>
      </c>
      <c r="O751" t="s">
        <v>13</v>
      </c>
      <c r="P751" t="s">
        <v>174</v>
      </c>
      <c r="Q751" t="s">
        <v>33</v>
      </c>
      <c r="R751" t="s">
        <v>34</v>
      </c>
    </row>
    <row r="752" spans="1:18" x14ac:dyDescent="0.25">
      <c r="A752" t="s">
        <v>172</v>
      </c>
      <c r="B752" t="s">
        <v>173</v>
      </c>
      <c r="C752" t="s">
        <v>12</v>
      </c>
      <c r="D752">
        <v>1</v>
      </c>
      <c r="E752">
        <v>55</v>
      </c>
      <c r="F752">
        <v>9.1743119266055106E-2</v>
      </c>
      <c r="G752">
        <v>109</v>
      </c>
      <c r="H752">
        <v>0.45082223369521002</v>
      </c>
      <c r="I752">
        <v>78</v>
      </c>
      <c r="L752">
        <v>2.1420022928700499E-2</v>
      </c>
      <c r="M752">
        <v>4.8591420652277697E-3</v>
      </c>
      <c r="N752">
        <v>2004</v>
      </c>
      <c r="O752" t="s">
        <v>13</v>
      </c>
      <c r="P752" t="s">
        <v>174</v>
      </c>
      <c r="Q752" t="s">
        <v>33</v>
      </c>
      <c r="R752" t="s">
        <v>34</v>
      </c>
    </row>
    <row r="753" spans="1:18" x14ac:dyDescent="0.25">
      <c r="A753" t="s">
        <v>172</v>
      </c>
      <c r="B753" t="s">
        <v>173</v>
      </c>
      <c r="C753" t="s">
        <v>12</v>
      </c>
      <c r="D753">
        <v>1</v>
      </c>
      <c r="E753">
        <v>62.5</v>
      </c>
      <c r="F753">
        <v>0.105263157894737</v>
      </c>
      <c r="G753">
        <v>38</v>
      </c>
      <c r="H753">
        <v>0.40255403528552902</v>
      </c>
      <c r="I753">
        <v>30</v>
      </c>
      <c r="L753">
        <v>4.0498080797033001E-2</v>
      </c>
      <c r="M753">
        <v>1.2124213872828599E-2</v>
      </c>
      <c r="N753">
        <v>2004</v>
      </c>
      <c r="O753" t="s">
        <v>13</v>
      </c>
      <c r="P753" t="s">
        <v>174</v>
      </c>
      <c r="Q753" t="s">
        <v>33</v>
      </c>
      <c r="R753" t="s">
        <v>34</v>
      </c>
    </row>
    <row r="754" spans="1:18" x14ac:dyDescent="0.25">
      <c r="A754" t="s">
        <v>172</v>
      </c>
      <c r="B754" t="s">
        <v>175</v>
      </c>
      <c r="C754" t="s">
        <v>12</v>
      </c>
      <c r="D754">
        <v>2</v>
      </c>
      <c r="E754">
        <v>19</v>
      </c>
      <c r="F754">
        <v>0</v>
      </c>
      <c r="G754">
        <v>25</v>
      </c>
      <c r="H754">
        <v>3.1915624794778101E-2</v>
      </c>
      <c r="I754">
        <v>10</v>
      </c>
      <c r="L754">
        <v>2.48504896518171E-2</v>
      </c>
      <c r="M754">
        <v>0</v>
      </c>
      <c r="N754">
        <v>2016</v>
      </c>
      <c r="O754" t="s">
        <v>13</v>
      </c>
      <c r="P754" t="s">
        <v>174</v>
      </c>
      <c r="Q754" t="s">
        <v>33</v>
      </c>
      <c r="R754" t="s">
        <v>34</v>
      </c>
    </row>
    <row r="755" spans="1:18" x14ac:dyDescent="0.25">
      <c r="A755" t="s">
        <v>172</v>
      </c>
      <c r="B755" t="s">
        <v>175</v>
      </c>
      <c r="C755" t="s">
        <v>12</v>
      </c>
      <c r="D755">
        <v>2</v>
      </c>
      <c r="E755">
        <v>25</v>
      </c>
      <c r="F755">
        <v>5.58784604177523E-4</v>
      </c>
      <c r="G755">
        <v>324</v>
      </c>
      <c r="H755">
        <v>3.5662878569790703E-2</v>
      </c>
      <c r="I755">
        <v>185</v>
      </c>
      <c r="L755">
        <v>7.3557502302689801E-2</v>
      </c>
      <c r="M755">
        <v>4.6345989034662499E-2</v>
      </c>
      <c r="N755">
        <v>2016</v>
      </c>
      <c r="O755" t="s">
        <v>13</v>
      </c>
      <c r="P755" t="s">
        <v>174</v>
      </c>
      <c r="Q755" t="s">
        <v>33</v>
      </c>
      <c r="R755" t="s">
        <v>34</v>
      </c>
    </row>
    <row r="756" spans="1:18" x14ac:dyDescent="0.25">
      <c r="A756" t="s">
        <v>172</v>
      </c>
      <c r="B756" t="s">
        <v>175</v>
      </c>
      <c r="C756" t="s">
        <v>12</v>
      </c>
      <c r="D756">
        <v>2</v>
      </c>
      <c r="E756">
        <v>35</v>
      </c>
      <c r="F756">
        <v>1.85560879000881E-2</v>
      </c>
      <c r="G756">
        <v>288</v>
      </c>
      <c r="H756">
        <v>0.101943159318047</v>
      </c>
      <c r="I756">
        <v>159</v>
      </c>
      <c r="L756">
        <v>2.4406998671005299E-2</v>
      </c>
      <c r="M756">
        <v>2.1856808615741501E-2</v>
      </c>
      <c r="N756">
        <v>2016</v>
      </c>
      <c r="O756" t="s">
        <v>13</v>
      </c>
      <c r="P756" t="s">
        <v>174</v>
      </c>
      <c r="Q756" t="s">
        <v>33</v>
      </c>
      <c r="R756" t="s">
        <v>34</v>
      </c>
    </row>
    <row r="757" spans="1:18" x14ac:dyDescent="0.25">
      <c r="A757" t="s">
        <v>172</v>
      </c>
      <c r="B757" t="s">
        <v>175</v>
      </c>
      <c r="C757" t="s">
        <v>12</v>
      </c>
      <c r="D757">
        <v>2</v>
      </c>
      <c r="E757">
        <v>45</v>
      </c>
      <c r="F757">
        <v>9.3717647434285803E-2</v>
      </c>
      <c r="G757">
        <v>252</v>
      </c>
      <c r="H757">
        <v>0.37135718309222099</v>
      </c>
      <c r="I757">
        <v>133</v>
      </c>
      <c r="L757">
        <v>1.0562715773320399E-2</v>
      </c>
      <c r="M757">
        <v>3.7544421023818198E-3</v>
      </c>
      <c r="N757">
        <v>2016</v>
      </c>
      <c r="O757" t="s">
        <v>13</v>
      </c>
      <c r="P757" t="s">
        <v>174</v>
      </c>
      <c r="Q757" t="s">
        <v>33</v>
      </c>
      <c r="R757" t="s">
        <v>34</v>
      </c>
    </row>
    <row r="758" spans="1:18" x14ac:dyDescent="0.25">
      <c r="A758" t="s">
        <v>172</v>
      </c>
      <c r="B758" t="s">
        <v>175</v>
      </c>
      <c r="C758" t="s">
        <v>12</v>
      </c>
      <c r="D758">
        <v>2</v>
      </c>
      <c r="E758">
        <v>55</v>
      </c>
      <c r="F758">
        <v>3.6852106286510103E-2</v>
      </c>
      <c r="G758">
        <v>145</v>
      </c>
      <c r="H758">
        <v>0.46672485262552998</v>
      </c>
      <c r="I758">
        <v>85</v>
      </c>
      <c r="L758">
        <v>4.77705782101936E-2</v>
      </c>
      <c r="M758">
        <v>6.6648821781832004E-3</v>
      </c>
      <c r="N758">
        <v>2016</v>
      </c>
      <c r="O758" t="s">
        <v>13</v>
      </c>
      <c r="P758" t="s">
        <v>174</v>
      </c>
      <c r="Q758" t="s">
        <v>33</v>
      </c>
      <c r="R758" t="s">
        <v>34</v>
      </c>
    </row>
    <row r="759" spans="1:18" x14ac:dyDescent="0.25">
      <c r="A759" t="s">
        <v>172</v>
      </c>
      <c r="B759" t="s">
        <v>175</v>
      </c>
      <c r="C759" t="s">
        <v>12</v>
      </c>
      <c r="D759">
        <v>2</v>
      </c>
      <c r="E759">
        <v>65</v>
      </c>
      <c r="F759">
        <v>0.20903048697787299</v>
      </c>
      <c r="G759">
        <v>107</v>
      </c>
      <c r="H759">
        <v>0.34724335020452601</v>
      </c>
      <c r="I759">
        <v>53</v>
      </c>
      <c r="L759">
        <v>1.5109963192264601E-2</v>
      </c>
      <c r="M759">
        <v>8.7986851877532996E-3</v>
      </c>
      <c r="N759">
        <v>2016</v>
      </c>
      <c r="O759" t="s">
        <v>13</v>
      </c>
      <c r="P759" t="s">
        <v>174</v>
      </c>
      <c r="Q759" t="s">
        <v>33</v>
      </c>
      <c r="R759" t="s">
        <v>34</v>
      </c>
    </row>
    <row r="760" spans="1:18" x14ac:dyDescent="0.25">
      <c r="A760" t="s">
        <v>172</v>
      </c>
      <c r="B760" t="s">
        <v>175</v>
      </c>
      <c r="C760" t="s">
        <v>12</v>
      </c>
      <c r="D760">
        <v>1</v>
      </c>
      <c r="E760">
        <v>19</v>
      </c>
      <c r="F760">
        <v>0</v>
      </c>
      <c r="G760">
        <v>26</v>
      </c>
      <c r="H760">
        <v>9.0083032396196805E-3</v>
      </c>
      <c r="I760">
        <v>15</v>
      </c>
      <c r="L760">
        <v>0.123840286209028</v>
      </c>
      <c r="M760">
        <v>0</v>
      </c>
      <c r="N760">
        <v>2016</v>
      </c>
      <c r="O760" t="s">
        <v>13</v>
      </c>
      <c r="P760" t="s">
        <v>174</v>
      </c>
      <c r="Q760" t="s">
        <v>33</v>
      </c>
      <c r="R760" t="s">
        <v>34</v>
      </c>
    </row>
    <row r="761" spans="1:18" x14ac:dyDescent="0.25">
      <c r="A761" t="s">
        <v>172</v>
      </c>
      <c r="B761" t="s">
        <v>175</v>
      </c>
      <c r="C761" t="s">
        <v>12</v>
      </c>
      <c r="D761">
        <v>1</v>
      </c>
      <c r="E761">
        <v>25</v>
      </c>
      <c r="F761">
        <v>9.1250743675771705E-3</v>
      </c>
      <c r="G761">
        <v>287</v>
      </c>
      <c r="H761">
        <v>4.2476769334485999E-2</v>
      </c>
      <c r="I761">
        <v>150</v>
      </c>
      <c r="L761">
        <v>2.0557136919308001E-2</v>
      </c>
      <c r="M761">
        <v>3.01571652779715E-2</v>
      </c>
      <c r="N761">
        <v>2016</v>
      </c>
      <c r="O761" t="s">
        <v>13</v>
      </c>
      <c r="P761" t="s">
        <v>174</v>
      </c>
      <c r="Q761" t="s">
        <v>33</v>
      </c>
      <c r="R761" t="s">
        <v>34</v>
      </c>
    </row>
    <row r="762" spans="1:18" x14ac:dyDescent="0.25">
      <c r="A762" t="s">
        <v>172</v>
      </c>
      <c r="B762" t="s">
        <v>175</v>
      </c>
      <c r="C762" t="s">
        <v>12</v>
      </c>
      <c r="D762">
        <v>1</v>
      </c>
      <c r="E762">
        <v>35</v>
      </c>
      <c r="F762">
        <v>1.04369967310426E-2</v>
      </c>
      <c r="G762">
        <v>224</v>
      </c>
      <c r="H762">
        <v>9.7426059062293E-2</v>
      </c>
      <c r="I762">
        <v>120</v>
      </c>
      <c r="L762">
        <v>2.5523296169055899E-2</v>
      </c>
      <c r="M762">
        <v>1.7960442036422102E-2</v>
      </c>
      <c r="N762">
        <v>2016</v>
      </c>
      <c r="O762" t="s">
        <v>13</v>
      </c>
      <c r="P762" t="s">
        <v>174</v>
      </c>
      <c r="Q762" t="s">
        <v>33</v>
      </c>
      <c r="R762" t="s">
        <v>34</v>
      </c>
    </row>
    <row r="763" spans="1:18" x14ac:dyDescent="0.25">
      <c r="A763" t="s">
        <v>172</v>
      </c>
      <c r="B763" t="s">
        <v>175</v>
      </c>
      <c r="C763" t="s">
        <v>12</v>
      </c>
      <c r="D763">
        <v>1</v>
      </c>
      <c r="E763">
        <v>45</v>
      </c>
      <c r="F763">
        <v>5.6618825551313402E-2</v>
      </c>
      <c r="G763">
        <v>199</v>
      </c>
      <c r="H763">
        <v>0.20313614911882399</v>
      </c>
      <c r="I763">
        <v>109</v>
      </c>
      <c r="L763">
        <v>1.49463783384483E-2</v>
      </c>
      <c r="M763">
        <v>1.03823419943261E-2</v>
      </c>
      <c r="N763">
        <v>2016</v>
      </c>
      <c r="O763" t="s">
        <v>13</v>
      </c>
      <c r="P763" t="s">
        <v>174</v>
      </c>
      <c r="Q763" t="s">
        <v>33</v>
      </c>
      <c r="R763" t="s">
        <v>34</v>
      </c>
    </row>
    <row r="764" spans="1:18" x14ac:dyDescent="0.25">
      <c r="A764" t="s">
        <v>172</v>
      </c>
      <c r="B764" t="s">
        <v>175</v>
      </c>
      <c r="C764" t="s">
        <v>12</v>
      </c>
      <c r="D764">
        <v>1</v>
      </c>
      <c r="E764">
        <v>55</v>
      </c>
      <c r="F764">
        <v>2.0747613274917701E-2</v>
      </c>
      <c r="G764">
        <v>158</v>
      </c>
      <c r="H764">
        <v>0.20769821177565501</v>
      </c>
      <c r="I764">
        <v>89</v>
      </c>
      <c r="L764">
        <v>2.1173062061872298E-2</v>
      </c>
      <c r="M764">
        <v>9.1644766184288996E-3</v>
      </c>
      <c r="N764">
        <v>2016</v>
      </c>
      <c r="O764" t="s">
        <v>13</v>
      </c>
      <c r="P764" t="s">
        <v>174</v>
      </c>
      <c r="Q764" t="s">
        <v>33</v>
      </c>
      <c r="R764" t="s">
        <v>34</v>
      </c>
    </row>
    <row r="765" spans="1:18" x14ac:dyDescent="0.25">
      <c r="A765" t="s">
        <v>172</v>
      </c>
      <c r="B765" t="s">
        <v>175</v>
      </c>
      <c r="C765" t="s">
        <v>12</v>
      </c>
      <c r="D765">
        <v>1</v>
      </c>
      <c r="E765">
        <v>65</v>
      </c>
      <c r="F765">
        <v>2.39177600647432E-2</v>
      </c>
      <c r="G765">
        <v>69</v>
      </c>
      <c r="H765">
        <v>0.341322581887749</v>
      </c>
      <c r="I765">
        <v>34</v>
      </c>
      <c r="L765">
        <v>4.2103259850404598E-2</v>
      </c>
      <c r="M765">
        <v>9.3611542944639498E-3</v>
      </c>
      <c r="N765">
        <v>2016</v>
      </c>
      <c r="O765" t="s">
        <v>13</v>
      </c>
      <c r="P765" t="s">
        <v>174</v>
      </c>
      <c r="Q765" t="s">
        <v>33</v>
      </c>
      <c r="R765" t="s">
        <v>34</v>
      </c>
    </row>
    <row r="766" spans="1:18" x14ac:dyDescent="0.25">
      <c r="A766" t="s">
        <v>176</v>
      </c>
      <c r="B766" t="s">
        <v>177</v>
      </c>
      <c r="C766" t="s">
        <v>12</v>
      </c>
      <c r="D766">
        <v>2</v>
      </c>
      <c r="E766">
        <v>25</v>
      </c>
      <c r="F766">
        <v>7.2042975851246598E-3</v>
      </c>
      <c r="G766">
        <v>282</v>
      </c>
      <c r="H766">
        <v>8.8566790483445897E-3</v>
      </c>
      <c r="I766">
        <v>248</v>
      </c>
      <c r="L766">
        <v>4.4647914218287101E-2</v>
      </c>
      <c r="M766">
        <v>0.30258667081058699</v>
      </c>
      <c r="N766">
        <v>2006</v>
      </c>
      <c r="O766" t="s">
        <v>13</v>
      </c>
      <c r="P766" t="s">
        <v>178</v>
      </c>
      <c r="Q766" t="s">
        <v>19</v>
      </c>
      <c r="R766" t="s">
        <v>20</v>
      </c>
    </row>
    <row r="767" spans="1:18" x14ac:dyDescent="0.25">
      <c r="A767" t="s">
        <v>176</v>
      </c>
      <c r="B767" t="s">
        <v>177</v>
      </c>
      <c r="C767" t="s">
        <v>12</v>
      </c>
      <c r="D767">
        <v>2</v>
      </c>
      <c r="E767">
        <v>35</v>
      </c>
      <c r="F767">
        <v>4.6192970680511002E-2</v>
      </c>
      <c r="G767">
        <v>389</v>
      </c>
      <c r="H767">
        <v>3.9829134815064997E-2</v>
      </c>
      <c r="I767">
        <v>349</v>
      </c>
      <c r="L767">
        <v>1.65135969678856E-2</v>
      </c>
      <c r="M767">
        <v>7.0995211402356206E-2</v>
      </c>
      <c r="N767">
        <v>2006</v>
      </c>
      <c r="O767" t="s">
        <v>13</v>
      </c>
      <c r="P767" t="s">
        <v>178</v>
      </c>
      <c r="Q767" t="s">
        <v>19</v>
      </c>
      <c r="R767" t="s">
        <v>20</v>
      </c>
    </row>
    <row r="768" spans="1:18" x14ac:dyDescent="0.25">
      <c r="A768" t="s">
        <v>176</v>
      </c>
      <c r="B768" t="s">
        <v>177</v>
      </c>
      <c r="C768" t="s">
        <v>12</v>
      </c>
      <c r="D768">
        <v>2</v>
      </c>
      <c r="E768">
        <v>45</v>
      </c>
      <c r="F768">
        <v>0.13323391749246999</v>
      </c>
      <c r="G768">
        <v>385</v>
      </c>
      <c r="H768">
        <v>8.5874044780378203E-2</v>
      </c>
      <c r="I768">
        <v>307</v>
      </c>
      <c r="L768">
        <v>1.30482036548355E-2</v>
      </c>
      <c r="M768">
        <v>4.8506247339695802E-2</v>
      </c>
      <c r="N768">
        <v>2006</v>
      </c>
      <c r="O768" t="s">
        <v>13</v>
      </c>
      <c r="P768" t="s">
        <v>178</v>
      </c>
      <c r="Q768" t="s">
        <v>19</v>
      </c>
      <c r="R768" t="s">
        <v>20</v>
      </c>
    </row>
    <row r="769" spans="1:18" x14ac:dyDescent="0.25">
      <c r="A769" t="s">
        <v>176</v>
      </c>
      <c r="B769" t="s">
        <v>177</v>
      </c>
      <c r="C769" t="s">
        <v>12</v>
      </c>
      <c r="D769">
        <v>2</v>
      </c>
      <c r="E769">
        <v>55</v>
      </c>
      <c r="F769">
        <v>0.347939619899235</v>
      </c>
      <c r="G769">
        <v>216</v>
      </c>
      <c r="H769">
        <v>0.15134470378841999</v>
      </c>
      <c r="I769">
        <v>127</v>
      </c>
      <c r="L769">
        <v>1.16072374904634E-2</v>
      </c>
      <c r="M769">
        <v>4.0938372680831198E-2</v>
      </c>
      <c r="N769">
        <v>2006</v>
      </c>
      <c r="O769" t="s">
        <v>13</v>
      </c>
      <c r="P769" t="s">
        <v>178</v>
      </c>
      <c r="Q769" t="s">
        <v>19</v>
      </c>
      <c r="R769" t="s">
        <v>20</v>
      </c>
    </row>
    <row r="770" spans="1:18" x14ac:dyDescent="0.25">
      <c r="A770" t="s">
        <v>176</v>
      </c>
      <c r="B770" t="s">
        <v>177</v>
      </c>
      <c r="C770" t="s">
        <v>12</v>
      </c>
      <c r="D770">
        <v>2</v>
      </c>
      <c r="E770">
        <v>62.5</v>
      </c>
      <c r="F770">
        <v>0.53657385929067802</v>
      </c>
      <c r="G770">
        <v>26</v>
      </c>
      <c r="H770">
        <v>0.27648023622249801</v>
      </c>
      <c r="I770">
        <v>11</v>
      </c>
      <c r="L770">
        <v>1.2624825981492499E-2</v>
      </c>
      <c r="M770">
        <v>2.2064585131287898E-2</v>
      </c>
      <c r="N770">
        <v>2006</v>
      </c>
      <c r="O770" t="s">
        <v>13</v>
      </c>
      <c r="P770" t="s">
        <v>178</v>
      </c>
      <c r="Q770" t="s">
        <v>19</v>
      </c>
      <c r="R770" t="s">
        <v>20</v>
      </c>
    </row>
    <row r="771" spans="1:18" x14ac:dyDescent="0.25">
      <c r="A771" t="s">
        <v>176</v>
      </c>
      <c r="B771" t="s">
        <v>177</v>
      </c>
      <c r="C771" t="s">
        <v>12</v>
      </c>
      <c r="D771">
        <v>1</v>
      </c>
      <c r="E771">
        <v>25</v>
      </c>
      <c r="F771">
        <v>1.40265726173064E-2</v>
      </c>
      <c r="G771">
        <v>222</v>
      </c>
      <c r="H771">
        <v>9.8832246506996707E-3</v>
      </c>
      <c r="I771">
        <v>184</v>
      </c>
      <c r="L771">
        <v>3.06869810009953E-2</v>
      </c>
      <c r="M771">
        <v>0.29617311741754798</v>
      </c>
      <c r="N771">
        <v>2006</v>
      </c>
      <c r="O771" t="s">
        <v>13</v>
      </c>
      <c r="P771" t="s">
        <v>178</v>
      </c>
      <c r="Q771" t="s">
        <v>19</v>
      </c>
      <c r="R771" t="s">
        <v>20</v>
      </c>
    </row>
    <row r="772" spans="1:18" x14ac:dyDescent="0.25">
      <c r="A772" t="s">
        <v>176</v>
      </c>
      <c r="B772" t="s">
        <v>177</v>
      </c>
      <c r="C772" t="s">
        <v>12</v>
      </c>
      <c r="D772">
        <v>1</v>
      </c>
      <c r="E772">
        <v>35</v>
      </c>
      <c r="F772">
        <v>7.0270088297076094E-2</v>
      </c>
      <c r="G772">
        <v>262</v>
      </c>
      <c r="H772">
        <v>4.6578447308549598E-2</v>
      </c>
      <c r="I772">
        <v>225</v>
      </c>
      <c r="L772">
        <v>1.3534140850404599E-2</v>
      </c>
      <c r="M772">
        <v>6.3169947364459106E-2</v>
      </c>
      <c r="N772">
        <v>2006</v>
      </c>
      <c r="O772" t="s">
        <v>13</v>
      </c>
      <c r="P772" t="s">
        <v>178</v>
      </c>
      <c r="Q772" t="s">
        <v>19</v>
      </c>
      <c r="R772" t="s">
        <v>20</v>
      </c>
    </row>
    <row r="773" spans="1:18" x14ac:dyDescent="0.25">
      <c r="A773" t="s">
        <v>176</v>
      </c>
      <c r="B773" t="s">
        <v>177</v>
      </c>
      <c r="C773" t="s">
        <v>12</v>
      </c>
      <c r="D773">
        <v>1</v>
      </c>
      <c r="E773">
        <v>45</v>
      </c>
      <c r="F773">
        <v>0.17136246353565501</v>
      </c>
      <c r="G773">
        <v>257</v>
      </c>
      <c r="H773">
        <v>0.122085448687028</v>
      </c>
      <c r="I773">
        <v>183</v>
      </c>
      <c r="L773">
        <v>8.0332156452365393E-3</v>
      </c>
      <c r="M773">
        <v>2.2825381150539299E-2</v>
      </c>
      <c r="N773">
        <v>2006</v>
      </c>
      <c r="O773" t="s">
        <v>13</v>
      </c>
      <c r="P773" t="s">
        <v>178</v>
      </c>
      <c r="Q773" t="s">
        <v>19</v>
      </c>
      <c r="R773" t="s">
        <v>20</v>
      </c>
    </row>
    <row r="774" spans="1:18" x14ac:dyDescent="0.25">
      <c r="A774" t="s">
        <v>176</v>
      </c>
      <c r="B774" t="s">
        <v>177</v>
      </c>
      <c r="C774" t="s">
        <v>12</v>
      </c>
      <c r="D774">
        <v>1</v>
      </c>
      <c r="E774">
        <v>55</v>
      </c>
      <c r="F774">
        <v>0.32771927867270201</v>
      </c>
      <c r="G774">
        <v>150</v>
      </c>
      <c r="H774">
        <v>0.21138630782597201</v>
      </c>
      <c r="I774">
        <v>95</v>
      </c>
      <c r="L774">
        <v>8.5880727116498801E-3</v>
      </c>
      <c r="M774">
        <v>1.6971804191553499E-2</v>
      </c>
      <c r="N774">
        <v>2006</v>
      </c>
      <c r="O774" t="s">
        <v>13</v>
      </c>
      <c r="P774" t="s">
        <v>178</v>
      </c>
      <c r="Q774" t="s">
        <v>19</v>
      </c>
      <c r="R774" t="s">
        <v>20</v>
      </c>
    </row>
    <row r="775" spans="1:18" x14ac:dyDescent="0.25">
      <c r="A775" t="s">
        <v>176</v>
      </c>
      <c r="B775" t="s">
        <v>177</v>
      </c>
      <c r="C775" t="s">
        <v>12</v>
      </c>
      <c r="D775">
        <v>1</v>
      </c>
      <c r="E775">
        <v>62.5</v>
      </c>
      <c r="F775">
        <v>0.75171858047809104</v>
      </c>
      <c r="G775">
        <v>27</v>
      </c>
      <c r="H775">
        <v>0.26048198144870599</v>
      </c>
      <c r="I775">
        <v>7</v>
      </c>
      <c r="L775">
        <v>9.5391928963165507E-3</v>
      </c>
      <c r="M775">
        <v>2.30489799060038E-2</v>
      </c>
      <c r="N775">
        <v>2006</v>
      </c>
      <c r="O775" t="s">
        <v>13</v>
      </c>
      <c r="P775" t="s">
        <v>178</v>
      </c>
      <c r="Q775" t="s">
        <v>19</v>
      </c>
      <c r="R775" t="s">
        <v>20</v>
      </c>
    </row>
    <row r="776" spans="1:18" x14ac:dyDescent="0.25">
      <c r="A776" t="s">
        <v>176</v>
      </c>
      <c r="B776" t="s">
        <v>179</v>
      </c>
      <c r="C776" t="s">
        <v>12</v>
      </c>
      <c r="D776">
        <v>2</v>
      </c>
      <c r="E776">
        <v>19</v>
      </c>
      <c r="F776">
        <v>5.1724137931034503E-2</v>
      </c>
      <c r="G776">
        <v>58</v>
      </c>
      <c r="H776">
        <v>0.11111111111111099</v>
      </c>
      <c r="I776">
        <v>36</v>
      </c>
      <c r="L776">
        <v>0</v>
      </c>
      <c r="M776">
        <v>0</v>
      </c>
      <c r="N776">
        <v>2014</v>
      </c>
      <c r="O776" t="s">
        <v>13</v>
      </c>
      <c r="P776" t="s">
        <v>178</v>
      </c>
      <c r="Q776" t="s">
        <v>19</v>
      </c>
      <c r="R776" t="s">
        <v>20</v>
      </c>
    </row>
    <row r="777" spans="1:18" x14ac:dyDescent="0.25">
      <c r="A777" t="s">
        <v>176</v>
      </c>
      <c r="B777" t="s">
        <v>179</v>
      </c>
      <c r="C777" t="s">
        <v>12</v>
      </c>
      <c r="D777">
        <v>2</v>
      </c>
      <c r="E777">
        <v>25</v>
      </c>
      <c r="F777">
        <v>1.57819225251076E-2</v>
      </c>
      <c r="G777">
        <v>697</v>
      </c>
      <c r="H777">
        <v>2.88246383292215E-2</v>
      </c>
      <c r="I777">
        <v>417</v>
      </c>
      <c r="L777">
        <v>2.2684181343943401E-8</v>
      </c>
      <c r="M777">
        <v>9.2980421822581907E-8</v>
      </c>
      <c r="N777">
        <v>2014</v>
      </c>
      <c r="O777" t="s">
        <v>13</v>
      </c>
      <c r="P777" t="s">
        <v>178</v>
      </c>
      <c r="Q777" t="s">
        <v>19</v>
      </c>
      <c r="R777" t="s">
        <v>20</v>
      </c>
    </row>
    <row r="778" spans="1:18" x14ac:dyDescent="0.25">
      <c r="A778" t="s">
        <v>176</v>
      </c>
      <c r="B778" t="s">
        <v>179</v>
      </c>
      <c r="C778" t="s">
        <v>12</v>
      </c>
      <c r="D778">
        <v>2</v>
      </c>
      <c r="E778">
        <v>35</v>
      </c>
      <c r="F778">
        <v>3.8793103448275898E-2</v>
      </c>
      <c r="G778">
        <v>696</v>
      </c>
      <c r="H778">
        <v>4.9540712705051698E-2</v>
      </c>
      <c r="I778">
        <v>424</v>
      </c>
      <c r="L778">
        <v>4.8035397943832497E-10</v>
      </c>
      <c r="M778">
        <v>2.0552545080236099E-9</v>
      </c>
      <c r="N778">
        <v>2014</v>
      </c>
      <c r="O778" t="s">
        <v>13</v>
      </c>
      <c r="P778" t="s">
        <v>178</v>
      </c>
      <c r="Q778" t="s">
        <v>19</v>
      </c>
      <c r="R778" t="s">
        <v>20</v>
      </c>
    </row>
    <row r="779" spans="1:18" x14ac:dyDescent="0.25">
      <c r="A779" t="s">
        <v>176</v>
      </c>
      <c r="B779" t="s">
        <v>179</v>
      </c>
      <c r="C779" t="s">
        <v>12</v>
      </c>
      <c r="D779">
        <v>2</v>
      </c>
      <c r="E779">
        <v>45</v>
      </c>
      <c r="F779">
        <v>8.9921339329858394E-2</v>
      </c>
      <c r="G779">
        <v>528</v>
      </c>
      <c r="H779">
        <v>0.12530270263387899</v>
      </c>
      <c r="I779">
        <v>330</v>
      </c>
      <c r="L779">
        <v>0</v>
      </c>
      <c r="M779">
        <v>0</v>
      </c>
      <c r="N779">
        <v>2014</v>
      </c>
      <c r="O779" t="s">
        <v>13</v>
      </c>
      <c r="P779" t="s">
        <v>178</v>
      </c>
      <c r="Q779" t="s">
        <v>19</v>
      </c>
      <c r="R779" t="s">
        <v>20</v>
      </c>
    </row>
    <row r="780" spans="1:18" x14ac:dyDescent="0.25">
      <c r="A780" t="s">
        <v>176</v>
      </c>
      <c r="B780" t="s">
        <v>179</v>
      </c>
      <c r="C780" t="s">
        <v>12</v>
      </c>
      <c r="D780">
        <v>2</v>
      </c>
      <c r="E780">
        <v>55</v>
      </c>
      <c r="F780">
        <v>0.293515358361775</v>
      </c>
      <c r="G780">
        <v>293</v>
      </c>
      <c r="H780">
        <v>0.147435897435897</v>
      </c>
      <c r="I780">
        <v>156</v>
      </c>
      <c r="L780">
        <v>0</v>
      </c>
      <c r="M780">
        <v>0</v>
      </c>
      <c r="N780">
        <v>2014</v>
      </c>
      <c r="O780" t="s">
        <v>13</v>
      </c>
      <c r="P780" t="s">
        <v>178</v>
      </c>
      <c r="Q780" t="s">
        <v>19</v>
      </c>
      <c r="R780" t="s">
        <v>20</v>
      </c>
    </row>
    <row r="781" spans="1:18" x14ac:dyDescent="0.25">
      <c r="A781" t="s">
        <v>176</v>
      </c>
      <c r="B781" t="s">
        <v>179</v>
      </c>
      <c r="C781" t="s">
        <v>12</v>
      </c>
      <c r="D781">
        <v>2</v>
      </c>
      <c r="E781">
        <v>65</v>
      </c>
      <c r="F781">
        <v>0.45522388059701502</v>
      </c>
      <c r="G781">
        <v>134</v>
      </c>
      <c r="H781">
        <v>0.29510612785630402</v>
      </c>
      <c r="I781">
        <v>51</v>
      </c>
      <c r="L781">
        <v>2.4151454902324802E-7</v>
      </c>
      <c r="M781">
        <v>4.7946957161966905E-7</v>
      </c>
      <c r="N781">
        <v>2014</v>
      </c>
      <c r="O781" t="s">
        <v>13</v>
      </c>
      <c r="P781" t="s">
        <v>178</v>
      </c>
      <c r="Q781" t="s">
        <v>19</v>
      </c>
      <c r="R781" t="s">
        <v>20</v>
      </c>
    </row>
    <row r="782" spans="1:18" x14ac:dyDescent="0.25">
      <c r="A782" t="s">
        <v>176</v>
      </c>
      <c r="B782" t="s">
        <v>179</v>
      </c>
      <c r="C782" t="s">
        <v>12</v>
      </c>
      <c r="D782">
        <v>1</v>
      </c>
      <c r="E782">
        <v>19</v>
      </c>
      <c r="F782">
        <v>1.5384615384615399E-2</v>
      </c>
      <c r="G782">
        <v>65</v>
      </c>
      <c r="H782">
        <v>5.5555555555555601E-2</v>
      </c>
      <c r="I782">
        <v>36</v>
      </c>
      <c r="L782">
        <v>0</v>
      </c>
      <c r="M782">
        <v>0</v>
      </c>
      <c r="N782">
        <v>2014</v>
      </c>
      <c r="O782" t="s">
        <v>13</v>
      </c>
      <c r="P782" t="s">
        <v>178</v>
      </c>
      <c r="Q782" t="s">
        <v>19</v>
      </c>
      <c r="R782" t="s">
        <v>20</v>
      </c>
    </row>
    <row r="783" spans="1:18" x14ac:dyDescent="0.25">
      <c r="A783" t="s">
        <v>176</v>
      </c>
      <c r="B783" t="s">
        <v>179</v>
      </c>
      <c r="C783" t="s">
        <v>12</v>
      </c>
      <c r="D783">
        <v>1</v>
      </c>
      <c r="E783">
        <v>25</v>
      </c>
      <c r="F783">
        <v>3.0434782608695699E-2</v>
      </c>
      <c r="G783">
        <v>460</v>
      </c>
      <c r="H783">
        <v>5.0067838154293103E-2</v>
      </c>
      <c r="I783">
        <v>280</v>
      </c>
      <c r="L783">
        <v>2.7686653186449399E-8</v>
      </c>
      <c r="M783">
        <v>9.76907519118483E-8</v>
      </c>
      <c r="N783">
        <v>2014</v>
      </c>
      <c r="O783" t="s">
        <v>13</v>
      </c>
      <c r="P783" t="s">
        <v>178</v>
      </c>
      <c r="Q783" t="s">
        <v>19</v>
      </c>
      <c r="R783" t="s">
        <v>20</v>
      </c>
    </row>
    <row r="784" spans="1:18" x14ac:dyDescent="0.25">
      <c r="A784" t="s">
        <v>176</v>
      </c>
      <c r="B784" t="s">
        <v>179</v>
      </c>
      <c r="C784" t="s">
        <v>12</v>
      </c>
      <c r="D784">
        <v>1</v>
      </c>
      <c r="E784">
        <v>35</v>
      </c>
      <c r="F784">
        <v>3.4852546916890097E-2</v>
      </c>
      <c r="G784">
        <v>373</v>
      </c>
      <c r="H784">
        <v>8.7153113347124306E-2</v>
      </c>
      <c r="I784">
        <v>253</v>
      </c>
      <c r="L784">
        <v>6.8583693256984594E-8</v>
      </c>
      <c r="M784">
        <v>1.3892073999363501E-7</v>
      </c>
      <c r="N784">
        <v>2014</v>
      </c>
      <c r="O784" t="s">
        <v>13</v>
      </c>
      <c r="P784" t="s">
        <v>178</v>
      </c>
      <c r="Q784" t="s">
        <v>19</v>
      </c>
      <c r="R784" t="s">
        <v>20</v>
      </c>
    </row>
    <row r="785" spans="1:18" x14ac:dyDescent="0.25">
      <c r="A785" t="s">
        <v>176</v>
      </c>
      <c r="B785" t="s">
        <v>179</v>
      </c>
      <c r="C785" t="s">
        <v>12</v>
      </c>
      <c r="D785">
        <v>1</v>
      </c>
      <c r="E785">
        <v>45</v>
      </c>
      <c r="F785">
        <v>0.14529000713550899</v>
      </c>
      <c r="G785">
        <v>279</v>
      </c>
      <c r="H785">
        <v>0.22417196147201099</v>
      </c>
      <c r="I785">
        <v>173</v>
      </c>
      <c r="L785">
        <v>1.0089831714876E-8</v>
      </c>
      <c r="M785">
        <v>1.4268189464463901E-8</v>
      </c>
      <c r="N785">
        <v>2014</v>
      </c>
      <c r="O785" t="s">
        <v>13</v>
      </c>
      <c r="P785" t="s">
        <v>178</v>
      </c>
      <c r="Q785" t="s">
        <v>19</v>
      </c>
      <c r="R785" t="s">
        <v>20</v>
      </c>
    </row>
    <row r="786" spans="1:18" x14ac:dyDescent="0.25">
      <c r="A786" t="s">
        <v>176</v>
      </c>
      <c r="B786" t="s">
        <v>179</v>
      </c>
      <c r="C786" t="s">
        <v>12</v>
      </c>
      <c r="D786">
        <v>1</v>
      </c>
      <c r="E786">
        <v>55</v>
      </c>
      <c r="F786">
        <v>0.29207920792079201</v>
      </c>
      <c r="G786">
        <v>202</v>
      </c>
      <c r="H786">
        <v>0.20709583051813499</v>
      </c>
      <c r="I786">
        <v>87</v>
      </c>
      <c r="L786">
        <v>1.80935711259603E-8</v>
      </c>
      <c r="M786">
        <v>4.8870715868051501E-8</v>
      </c>
      <c r="N786">
        <v>2014</v>
      </c>
      <c r="O786" t="s">
        <v>13</v>
      </c>
      <c r="P786" t="s">
        <v>178</v>
      </c>
      <c r="Q786" t="s">
        <v>19</v>
      </c>
      <c r="R786" t="s">
        <v>20</v>
      </c>
    </row>
    <row r="787" spans="1:18" x14ac:dyDescent="0.25">
      <c r="A787" t="s">
        <v>176</v>
      </c>
      <c r="B787" t="s">
        <v>179</v>
      </c>
      <c r="C787" t="s">
        <v>12</v>
      </c>
      <c r="D787">
        <v>1</v>
      </c>
      <c r="E787">
        <v>65</v>
      </c>
      <c r="F787">
        <v>0.443037974683544</v>
      </c>
      <c r="G787">
        <v>79</v>
      </c>
      <c r="H787">
        <v>0.25</v>
      </c>
      <c r="I787">
        <v>24</v>
      </c>
      <c r="L787">
        <v>0</v>
      </c>
      <c r="M787">
        <v>0</v>
      </c>
      <c r="N787">
        <v>2014</v>
      </c>
      <c r="O787" t="s">
        <v>13</v>
      </c>
      <c r="P787" t="s">
        <v>178</v>
      </c>
      <c r="Q787" t="s">
        <v>19</v>
      </c>
      <c r="R787" t="s">
        <v>20</v>
      </c>
    </row>
    <row r="788" spans="1:18" x14ac:dyDescent="0.25">
      <c r="A788" t="s">
        <v>180</v>
      </c>
      <c r="B788" t="s">
        <v>181</v>
      </c>
      <c r="C788" t="s">
        <v>12</v>
      </c>
      <c r="D788">
        <v>2</v>
      </c>
      <c r="E788">
        <v>19</v>
      </c>
      <c r="F788">
        <v>0</v>
      </c>
      <c r="G788">
        <v>53</v>
      </c>
      <c r="H788">
        <v>2.4341098043755001E-3</v>
      </c>
      <c r="I788">
        <v>52</v>
      </c>
      <c r="L788">
        <v>0.10298473387272</v>
      </c>
      <c r="M788">
        <v>0</v>
      </c>
      <c r="N788">
        <v>2013</v>
      </c>
      <c r="O788" t="s">
        <v>13</v>
      </c>
      <c r="P788" t="s">
        <v>182</v>
      </c>
      <c r="Q788" t="s">
        <v>169</v>
      </c>
      <c r="R788" t="s">
        <v>170</v>
      </c>
    </row>
    <row r="789" spans="1:18" x14ac:dyDescent="0.25">
      <c r="A789" t="s">
        <v>180</v>
      </c>
      <c r="B789" t="s">
        <v>181</v>
      </c>
      <c r="C789" t="s">
        <v>12</v>
      </c>
      <c r="D789">
        <v>2</v>
      </c>
      <c r="E789">
        <v>25</v>
      </c>
      <c r="F789">
        <v>1.0858419515625E-3</v>
      </c>
      <c r="G789">
        <v>336</v>
      </c>
      <c r="H789">
        <v>1.00095556762986E-2</v>
      </c>
      <c r="I789">
        <v>328</v>
      </c>
      <c r="L789">
        <v>2.7003404342236699E-2</v>
      </c>
      <c r="M789">
        <v>4.6483319946277697E-2</v>
      </c>
      <c r="N789">
        <v>2013</v>
      </c>
      <c r="O789" t="s">
        <v>13</v>
      </c>
      <c r="P789" t="s">
        <v>182</v>
      </c>
      <c r="Q789" t="s">
        <v>169</v>
      </c>
      <c r="R789" t="s">
        <v>170</v>
      </c>
    </row>
    <row r="790" spans="1:18" x14ac:dyDescent="0.25">
      <c r="A790" t="s">
        <v>180</v>
      </c>
      <c r="B790" t="s">
        <v>181</v>
      </c>
      <c r="C790" t="s">
        <v>12</v>
      </c>
      <c r="D790">
        <v>2</v>
      </c>
      <c r="E790">
        <v>35</v>
      </c>
      <c r="F790">
        <v>4.1348401480001901E-3</v>
      </c>
      <c r="G790">
        <v>388</v>
      </c>
      <c r="H790">
        <v>3.6368580878536901E-2</v>
      </c>
      <c r="I790">
        <v>379</v>
      </c>
      <c r="L790">
        <v>1.0753208102062E-2</v>
      </c>
      <c r="M790">
        <v>1.30289281970859E-2</v>
      </c>
      <c r="N790">
        <v>2013</v>
      </c>
      <c r="O790" t="s">
        <v>13</v>
      </c>
      <c r="P790" t="s">
        <v>182</v>
      </c>
      <c r="Q790" t="s">
        <v>169</v>
      </c>
      <c r="R790" t="s">
        <v>170</v>
      </c>
    </row>
    <row r="791" spans="1:18" x14ac:dyDescent="0.25">
      <c r="A791" t="s">
        <v>180</v>
      </c>
      <c r="B791" t="s">
        <v>181</v>
      </c>
      <c r="C791" t="s">
        <v>12</v>
      </c>
      <c r="D791">
        <v>2</v>
      </c>
      <c r="E791">
        <v>45</v>
      </c>
      <c r="F791">
        <v>3.68497893863724E-2</v>
      </c>
      <c r="G791">
        <v>367</v>
      </c>
      <c r="H791">
        <v>4.2291193727193602E-2</v>
      </c>
      <c r="I791">
        <v>343</v>
      </c>
      <c r="L791">
        <v>8.1789788692660202E-3</v>
      </c>
      <c r="M791">
        <v>2.6722447886276299E-2</v>
      </c>
      <c r="N791">
        <v>2013</v>
      </c>
      <c r="O791" t="s">
        <v>13</v>
      </c>
      <c r="P791" t="s">
        <v>182</v>
      </c>
      <c r="Q791" t="s">
        <v>169</v>
      </c>
      <c r="R791" t="s">
        <v>170</v>
      </c>
    </row>
    <row r="792" spans="1:18" x14ac:dyDescent="0.25">
      <c r="A792" t="s">
        <v>180</v>
      </c>
      <c r="B792" t="s">
        <v>181</v>
      </c>
      <c r="C792" t="s">
        <v>12</v>
      </c>
      <c r="D792">
        <v>2</v>
      </c>
      <c r="E792">
        <v>55</v>
      </c>
      <c r="F792">
        <v>7.2064524146862999E-2</v>
      </c>
      <c r="G792">
        <v>270</v>
      </c>
      <c r="H792">
        <v>6.61397619905469E-2</v>
      </c>
      <c r="I792">
        <v>242</v>
      </c>
      <c r="L792">
        <v>9.0865485537875695E-3</v>
      </c>
      <c r="M792">
        <v>2.8466899519255601E-2</v>
      </c>
      <c r="N792">
        <v>2013</v>
      </c>
      <c r="O792" t="s">
        <v>13</v>
      </c>
      <c r="P792" t="s">
        <v>182</v>
      </c>
      <c r="Q792" t="s">
        <v>169</v>
      </c>
      <c r="R792" t="s">
        <v>170</v>
      </c>
    </row>
    <row r="793" spans="1:18" x14ac:dyDescent="0.25">
      <c r="A793" t="s">
        <v>180</v>
      </c>
      <c r="B793" t="s">
        <v>181</v>
      </c>
      <c r="C793" t="s">
        <v>12</v>
      </c>
      <c r="D793">
        <v>2</v>
      </c>
      <c r="E793">
        <v>62.5</v>
      </c>
      <c r="F793">
        <v>0.14872327899392801</v>
      </c>
      <c r="G793">
        <v>57</v>
      </c>
      <c r="H793">
        <v>0.14831815529081199</v>
      </c>
      <c r="I793">
        <v>47</v>
      </c>
      <c r="L793">
        <v>1.0066737191984801E-2</v>
      </c>
      <c r="M793">
        <v>1.8848042420538801E-2</v>
      </c>
      <c r="N793">
        <v>2013</v>
      </c>
      <c r="O793" t="s">
        <v>13</v>
      </c>
      <c r="P793" t="s">
        <v>182</v>
      </c>
      <c r="Q793" t="s">
        <v>169</v>
      </c>
      <c r="R793" t="s">
        <v>170</v>
      </c>
    </row>
    <row r="794" spans="1:18" x14ac:dyDescent="0.25">
      <c r="A794" t="s">
        <v>180</v>
      </c>
      <c r="B794" t="s">
        <v>181</v>
      </c>
      <c r="C794" t="s">
        <v>12</v>
      </c>
      <c r="D794">
        <v>1</v>
      </c>
      <c r="E794">
        <v>19</v>
      </c>
      <c r="F794">
        <v>0</v>
      </c>
      <c r="G794">
        <v>38</v>
      </c>
      <c r="H794">
        <v>1.7563502866620801E-2</v>
      </c>
      <c r="I794">
        <v>35</v>
      </c>
      <c r="L794">
        <v>4.1584040937488404E-3</v>
      </c>
      <c r="M794">
        <v>0</v>
      </c>
      <c r="N794">
        <v>2013</v>
      </c>
      <c r="O794" t="s">
        <v>13</v>
      </c>
      <c r="P794" t="s">
        <v>182</v>
      </c>
      <c r="Q794" t="s">
        <v>169</v>
      </c>
      <c r="R794" t="s">
        <v>170</v>
      </c>
    </row>
    <row r="795" spans="1:18" x14ac:dyDescent="0.25">
      <c r="A795" t="s">
        <v>180</v>
      </c>
      <c r="B795" t="s">
        <v>181</v>
      </c>
      <c r="C795" t="s">
        <v>12</v>
      </c>
      <c r="D795">
        <v>1</v>
      </c>
      <c r="E795">
        <v>25</v>
      </c>
      <c r="F795">
        <v>0</v>
      </c>
      <c r="G795">
        <v>191</v>
      </c>
      <c r="H795">
        <v>9.0826892807817708E-3</v>
      </c>
      <c r="I795">
        <v>185</v>
      </c>
      <c r="L795">
        <v>2.4434041547939201E-2</v>
      </c>
      <c r="M795">
        <v>0</v>
      </c>
      <c r="N795">
        <v>2013</v>
      </c>
      <c r="O795" t="s">
        <v>13</v>
      </c>
      <c r="P795" t="s">
        <v>182</v>
      </c>
      <c r="Q795" t="s">
        <v>169</v>
      </c>
      <c r="R795" t="s">
        <v>170</v>
      </c>
    </row>
    <row r="796" spans="1:18" x14ac:dyDescent="0.25">
      <c r="A796" t="s">
        <v>180</v>
      </c>
      <c r="B796" t="s">
        <v>181</v>
      </c>
      <c r="C796" t="s">
        <v>12</v>
      </c>
      <c r="D796">
        <v>1</v>
      </c>
      <c r="E796">
        <v>35</v>
      </c>
      <c r="F796">
        <v>0</v>
      </c>
      <c r="G796">
        <v>258</v>
      </c>
      <c r="H796">
        <v>3.22490057348074E-2</v>
      </c>
      <c r="I796">
        <v>250</v>
      </c>
      <c r="L796">
        <v>1.16683203920219E-2</v>
      </c>
      <c r="M796">
        <v>0</v>
      </c>
      <c r="N796">
        <v>2013</v>
      </c>
      <c r="O796" t="s">
        <v>13</v>
      </c>
      <c r="P796" t="s">
        <v>182</v>
      </c>
      <c r="Q796" t="s">
        <v>169</v>
      </c>
      <c r="R796" t="s">
        <v>170</v>
      </c>
    </row>
    <row r="797" spans="1:18" x14ac:dyDescent="0.25">
      <c r="A797" t="s">
        <v>180</v>
      </c>
      <c r="B797" t="s">
        <v>181</v>
      </c>
      <c r="C797" t="s">
        <v>12</v>
      </c>
      <c r="D797">
        <v>1</v>
      </c>
      <c r="E797">
        <v>45</v>
      </c>
      <c r="F797">
        <v>8.4350869015274096E-3</v>
      </c>
      <c r="G797">
        <v>252</v>
      </c>
      <c r="H797">
        <v>3.9959823384883103E-2</v>
      </c>
      <c r="I797">
        <v>243</v>
      </c>
      <c r="L797">
        <v>1.1261539113753801E-2</v>
      </c>
      <c r="M797">
        <v>1.6680870071821299E-2</v>
      </c>
      <c r="N797">
        <v>2013</v>
      </c>
      <c r="O797" t="s">
        <v>13</v>
      </c>
      <c r="P797" t="s">
        <v>182</v>
      </c>
      <c r="Q797" t="s">
        <v>169</v>
      </c>
      <c r="R797" t="s">
        <v>170</v>
      </c>
    </row>
    <row r="798" spans="1:18" x14ac:dyDescent="0.25">
      <c r="A798" t="s">
        <v>180</v>
      </c>
      <c r="B798" t="s">
        <v>181</v>
      </c>
      <c r="C798" t="s">
        <v>12</v>
      </c>
      <c r="D798">
        <v>1</v>
      </c>
      <c r="E798">
        <v>55</v>
      </c>
      <c r="F798">
        <v>9.1290430649424298E-3</v>
      </c>
      <c r="G798">
        <v>187</v>
      </c>
      <c r="H798">
        <v>6.2153358714079003E-2</v>
      </c>
      <c r="I798">
        <v>182</v>
      </c>
      <c r="L798">
        <v>1.8145125288763799E-2</v>
      </c>
      <c r="M798">
        <v>1.9086360178349401E-2</v>
      </c>
      <c r="N798">
        <v>2013</v>
      </c>
      <c r="O798" t="s">
        <v>13</v>
      </c>
      <c r="P798" t="s">
        <v>182</v>
      </c>
      <c r="Q798" t="s">
        <v>169</v>
      </c>
      <c r="R798" t="s">
        <v>170</v>
      </c>
    </row>
    <row r="799" spans="1:18" x14ac:dyDescent="0.25">
      <c r="A799" t="s">
        <v>180</v>
      </c>
      <c r="B799" t="s">
        <v>181</v>
      </c>
      <c r="C799" t="s">
        <v>12</v>
      </c>
      <c r="D799">
        <v>1</v>
      </c>
      <c r="E799">
        <v>62.5</v>
      </c>
      <c r="F799">
        <v>7.8074827860733303E-2</v>
      </c>
      <c r="G799">
        <v>63</v>
      </c>
      <c r="H799">
        <v>4.5671540588898801E-2</v>
      </c>
      <c r="I799">
        <v>57</v>
      </c>
      <c r="L799">
        <v>8.9930563056614902E-3</v>
      </c>
      <c r="M799">
        <v>4.5882809594691099E-2</v>
      </c>
      <c r="N799">
        <v>2013</v>
      </c>
      <c r="O799" t="s">
        <v>13</v>
      </c>
      <c r="P799" t="s">
        <v>182</v>
      </c>
      <c r="Q799" t="s">
        <v>169</v>
      </c>
      <c r="R799" t="s">
        <v>170</v>
      </c>
    </row>
    <row r="800" spans="1:18" x14ac:dyDescent="0.25">
      <c r="A800" t="s">
        <v>183</v>
      </c>
      <c r="B800" t="s">
        <v>184</v>
      </c>
      <c r="C800" t="s">
        <v>12</v>
      </c>
      <c r="D800">
        <v>2</v>
      </c>
      <c r="E800">
        <v>19</v>
      </c>
      <c r="F800">
        <v>0</v>
      </c>
      <c r="G800">
        <v>13</v>
      </c>
      <c r="H800">
        <v>6.5931417529775304E-3</v>
      </c>
      <c r="I800">
        <v>8</v>
      </c>
      <c r="L800">
        <v>9.4982422464375604E-2</v>
      </c>
      <c r="M800">
        <v>0</v>
      </c>
      <c r="N800">
        <v>2017</v>
      </c>
      <c r="O800" t="s">
        <v>13</v>
      </c>
      <c r="P800" t="s">
        <v>185</v>
      </c>
      <c r="Q800" t="s">
        <v>19</v>
      </c>
      <c r="R800" t="s">
        <v>20</v>
      </c>
    </row>
    <row r="801" spans="1:18" x14ac:dyDescent="0.25">
      <c r="A801" t="s">
        <v>183</v>
      </c>
      <c r="B801" t="s">
        <v>184</v>
      </c>
      <c r="C801" t="s">
        <v>12</v>
      </c>
      <c r="D801">
        <v>2</v>
      </c>
      <c r="E801">
        <v>25</v>
      </c>
      <c r="F801">
        <v>9.1052469053440593E-3</v>
      </c>
      <c r="G801">
        <v>123</v>
      </c>
      <c r="H801">
        <v>3.7329183286275699E-2</v>
      </c>
      <c r="I801">
        <v>60</v>
      </c>
      <c r="L801">
        <v>3.7174359808005799E-3</v>
      </c>
      <c r="M801">
        <v>6.5130327238646099E-3</v>
      </c>
      <c r="N801">
        <v>2017</v>
      </c>
      <c r="O801" t="s">
        <v>13</v>
      </c>
      <c r="P801" t="s">
        <v>185</v>
      </c>
      <c r="Q801" t="s">
        <v>19</v>
      </c>
      <c r="R801" t="s">
        <v>20</v>
      </c>
    </row>
    <row r="802" spans="1:18" x14ac:dyDescent="0.25">
      <c r="A802" t="s">
        <v>183</v>
      </c>
      <c r="B802" t="s">
        <v>184</v>
      </c>
      <c r="C802" t="s">
        <v>12</v>
      </c>
      <c r="D802">
        <v>2</v>
      </c>
      <c r="E802">
        <v>35</v>
      </c>
      <c r="F802">
        <v>3.5871758837497502E-3</v>
      </c>
      <c r="G802">
        <v>190</v>
      </c>
      <c r="H802">
        <v>3.2973373954348101E-2</v>
      </c>
      <c r="I802">
        <v>121</v>
      </c>
      <c r="L802">
        <v>3.1363028673439097E-2</v>
      </c>
      <c r="M802">
        <v>3.81067094813307E-2</v>
      </c>
      <c r="N802">
        <v>2017</v>
      </c>
      <c r="O802" t="s">
        <v>13</v>
      </c>
      <c r="P802" t="s">
        <v>185</v>
      </c>
      <c r="Q802" t="s">
        <v>19</v>
      </c>
      <c r="R802" t="s">
        <v>20</v>
      </c>
    </row>
    <row r="803" spans="1:18" x14ac:dyDescent="0.25">
      <c r="A803" t="s">
        <v>183</v>
      </c>
      <c r="B803" t="s">
        <v>184</v>
      </c>
      <c r="C803" t="s">
        <v>12</v>
      </c>
      <c r="D803">
        <v>2</v>
      </c>
      <c r="E803">
        <v>45</v>
      </c>
      <c r="F803">
        <v>4.4717525349932903E-2</v>
      </c>
      <c r="G803">
        <v>292</v>
      </c>
      <c r="H803">
        <v>6.9189626431329601E-2</v>
      </c>
      <c r="I803">
        <v>199</v>
      </c>
      <c r="L803">
        <v>7.0895694119806896E-3</v>
      </c>
      <c r="M803">
        <v>1.5807933115198201E-2</v>
      </c>
      <c r="N803">
        <v>2017</v>
      </c>
      <c r="O803" t="s">
        <v>13</v>
      </c>
      <c r="P803" t="s">
        <v>185</v>
      </c>
      <c r="Q803" t="s">
        <v>19</v>
      </c>
      <c r="R803" t="s">
        <v>20</v>
      </c>
    </row>
    <row r="804" spans="1:18" x14ac:dyDescent="0.25">
      <c r="A804" t="s">
        <v>183</v>
      </c>
      <c r="B804" t="s">
        <v>184</v>
      </c>
      <c r="C804" t="s">
        <v>12</v>
      </c>
      <c r="D804">
        <v>2</v>
      </c>
      <c r="E804">
        <v>55</v>
      </c>
      <c r="F804">
        <v>8.5684882525900105E-2</v>
      </c>
      <c r="G804">
        <v>313</v>
      </c>
      <c r="H804">
        <v>8.7860342742278996E-2</v>
      </c>
      <c r="I804">
        <v>192</v>
      </c>
      <c r="L804">
        <v>2.0271547352992601E-2</v>
      </c>
      <c r="M804">
        <v>5.2593064024371798E-2</v>
      </c>
      <c r="N804">
        <v>2017</v>
      </c>
      <c r="O804" t="s">
        <v>13</v>
      </c>
      <c r="P804" t="s">
        <v>185</v>
      </c>
      <c r="Q804" t="s">
        <v>19</v>
      </c>
      <c r="R804" t="s">
        <v>20</v>
      </c>
    </row>
    <row r="805" spans="1:18" x14ac:dyDescent="0.25">
      <c r="A805" t="s">
        <v>183</v>
      </c>
      <c r="B805" t="s">
        <v>184</v>
      </c>
      <c r="C805" t="s">
        <v>12</v>
      </c>
      <c r="D805">
        <v>2</v>
      </c>
      <c r="E805">
        <v>65</v>
      </c>
      <c r="F805">
        <v>0.18042558861383901</v>
      </c>
      <c r="G805">
        <v>155</v>
      </c>
      <c r="H805">
        <v>0.24314046748389101</v>
      </c>
      <c r="I805">
        <v>82</v>
      </c>
      <c r="L805">
        <v>7.8197970955730094E-3</v>
      </c>
      <c r="M805">
        <v>8.3187133116939104E-3</v>
      </c>
      <c r="N805">
        <v>2017</v>
      </c>
      <c r="O805" t="s">
        <v>13</v>
      </c>
      <c r="P805" t="s">
        <v>185</v>
      </c>
      <c r="Q805" t="s">
        <v>19</v>
      </c>
      <c r="R805" t="s">
        <v>20</v>
      </c>
    </row>
    <row r="806" spans="1:18" x14ac:dyDescent="0.25">
      <c r="A806" t="s">
        <v>183</v>
      </c>
      <c r="B806" t="s">
        <v>184</v>
      </c>
      <c r="C806" t="s">
        <v>12</v>
      </c>
      <c r="D806">
        <v>1</v>
      </c>
      <c r="E806">
        <v>19</v>
      </c>
      <c r="F806">
        <v>0</v>
      </c>
      <c r="G806">
        <v>5</v>
      </c>
      <c r="H806">
        <v>0.56375352448404203</v>
      </c>
      <c r="I806">
        <v>2</v>
      </c>
      <c r="L806">
        <v>3.2888963888666597E-5</v>
      </c>
      <c r="M806">
        <v>0</v>
      </c>
      <c r="N806">
        <v>2017</v>
      </c>
      <c r="O806" t="s">
        <v>13</v>
      </c>
      <c r="P806" t="s">
        <v>185</v>
      </c>
      <c r="Q806" t="s">
        <v>19</v>
      </c>
      <c r="R806" t="s">
        <v>20</v>
      </c>
    </row>
    <row r="807" spans="1:18" x14ac:dyDescent="0.25">
      <c r="A807" t="s">
        <v>183</v>
      </c>
      <c r="B807" t="s">
        <v>184</v>
      </c>
      <c r="C807" t="s">
        <v>12</v>
      </c>
      <c r="D807">
        <v>1</v>
      </c>
      <c r="E807">
        <v>25</v>
      </c>
      <c r="F807">
        <v>4.7912199403867001E-3</v>
      </c>
      <c r="G807">
        <v>101</v>
      </c>
      <c r="H807">
        <v>1.5829648624576101E-2</v>
      </c>
      <c r="I807">
        <v>48</v>
      </c>
      <c r="L807">
        <v>2.52899169293903E-2</v>
      </c>
      <c r="M807">
        <v>6.2825757093021198E-2</v>
      </c>
      <c r="N807">
        <v>2017</v>
      </c>
      <c r="O807" t="s">
        <v>13</v>
      </c>
      <c r="P807" t="s">
        <v>185</v>
      </c>
      <c r="Q807" t="s">
        <v>19</v>
      </c>
      <c r="R807" t="s">
        <v>20</v>
      </c>
    </row>
    <row r="808" spans="1:18" x14ac:dyDescent="0.25">
      <c r="A808" t="s">
        <v>183</v>
      </c>
      <c r="B808" t="s">
        <v>184</v>
      </c>
      <c r="C808" t="s">
        <v>12</v>
      </c>
      <c r="D808">
        <v>1</v>
      </c>
      <c r="E808">
        <v>35</v>
      </c>
      <c r="F808">
        <v>4.7368813659154699E-2</v>
      </c>
      <c r="G808">
        <v>143</v>
      </c>
      <c r="H808">
        <v>8.7035188380309603E-2</v>
      </c>
      <c r="I808">
        <v>67</v>
      </c>
      <c r="L808">
        <v>6.65526351993682E-3</v>
      </c>
      <c r="M808">
        <v>1.2052475345462501E-2</v>
      </c>
      <c r="N808">
        <v>2017</v>
      </c>
      <c r="O808" t="s">
        <v>13</v>
      </c>
      <c r="P808" t="s">
        <v>185</v>
      </c>
      <c r="Q808" t="s">
        <v>19</v>
      </c>
      <c r="R808" t="s">
        <v>20</v>
      </c>
    </row>
    <row r="809" spans="1:18" x14ac:dyDescent="0.25">
      <c r="A809" t="s">
        <v>183</v>
      </c>
      <c r="B809" t="s">
        <v>184</v>
      </c>
      <c r="C809" t="s">
        <v>12</v>
      </c>
      <c r="D809">
        <v>1</v>
      </c>
      <c r="E809">
        <v>45</v>
      </c>
      <c r="F809">
        <v>5.7931621243906099E-2</v>
      </c>
      <c r="G809">
        <v>167</v>
      </c>
      <c r="H809">
        <v>0.14083151776791999</v>
      </c>
      <c r="I809">
        <v>89</v>
      </c>
      <c r="L809">
        <v>1.81464113677678E-2</v>
      </c>
      <c r="M809">
        <v>2.0718321402109299E-2</v>
      </c>
      <c r="N809">
        <v>2017</v>
      </c>
      <c r="O809" t="s">
        <v>13</v>
      </c>
      <c r="P809" t="s">
        <v>185</v>
      </c>
      <c r="Q809" t="s">
        <v>19</v>
      </c>
      <c r="R809" t="s">
        <v>20</v>
      </c>
    </row>
    <row r="810" spans="1:18" x14ac:dyDescent="0.25">
      <c r="A810" t="s">
        <v>183</v>
      </c>
      <c r="B810" t="s">
        <v>184</v>
      </c>
      <c r="C810" t="s">
        <v>12</v>
      </c>
      <c r="D810">
        <v>1</v>
      </c>
      <c r="E810">
        <v>55</v>
      </c>
      <c r="F810">
        <v>0.14493916834860199</v>
      </c>
      <c r="G810">
        <v>237</v>
      </c>
      <c r="H810">
        <v>0.14137089551901599</v>
      </c>
      <c r="I810">
        <v>126</v>
      </c>
      <c r="L810">
        <v>9.0678509258734497E-3</v>
      </c>
      <c r="M810">
        <v>1.8166811779038498E-2</v>
      </c>
      <c r="N810">
        <v>2017</v>
      </c>
      <c r="O810" t="s">
        <v>13</v>
      </c>
      <c r="P810" t="s">
        <v>185</v>
      </c>
      <c r="Q810" t="s">
        <v>19</v>
      </c>
      <c r="R810" t="s">
        <v>20</v>
      </c>
    </row>
    <row r="811" spans="1:18" x14ac:dyDescent="0.25">
      <c r="A811" t="s">
        <v>183</v>
      </c>
      <c r="B811" t="s">
        <v>184</v>
      </c>
      <c r="C811" t="s">
        <v>12</v>
      </c>
      <c r="D811">
        <v>1</v>
      </c>
      <c r="E811">
        <v>65</v>
      </c>
      <c r="F811">
        <v>0.118366212227469</v>
      </c>
      <c r="G811">
        <v>137</v>
      </c>
      <c r="H811">
        <v>0.350402213625712</v>
      </c>
      <c r="I811">
        <v>60</v>
      </c>
      <c r="L811">
        <v>9.0986953984418303E-3</v>
      </c>
      <c r="M811">
        <v>4.1029580312168098E-3</v>
      </c>
      <c r="N811">
        <v>2017</v>
      </c>
      <c r="O811" t="s">
        <v>13</v>
      </c>
      <c r="P811" t="s">
        <v>185</v>
      </c>
      <c r="Q811" t="s">
        <v>19</v>
      </c>
      <c r="R811" t="s">
        <v>20</v>
      </c>
    </row>
    <row r="812" spans="1:18" x14ac:dyDescent="0.25">
      <c r="A812" t="s">
        <v>183</v>
      </c>
      <c r="B812" t="s">
        <v>1795</v>
      </c>
      <c r="C812" t="s">
        <v>12</v>
      </c>
      <c r="D812">
        <v>2</v>
      </c>
      <c r="E812">
        <v>19</v>
      </c>
      <c r="F812">
        <v>0</v>
      </c>
      <c r="G812">
        <v>36</v>
      </c>
      <c r="H812">
        <v>9.3720131959901906E-2</v>
      </c>
      <c r="I812">
        <v>30</v>
      </c>
      <c r="L812">
        <v>1.33102034199561E-10</v>
      </c>
      <c r="M812">
        <v>0</v>
      </c>
      <c r="N812">
        <v>2023</v>
      </c>
      <c r="O812" t="s">
        <v>13</v>
      </c>
      <c r="P812" t="s">
        <v>185</v>
      </c>
      <c r="Q812" t="s">
        <v>19</v>
      </c>
      <c r="R812" t="s">
        <v>20</v>
      </c>
    </row>
    <row r="813" spans="1:18" x14ac:dyDescent="0.25">
      <c r="A813" t="s">
        <v>183</v>
      </c>
      <c r="B813" t="s">
        <v>1795</v>
      </c>
      <c r="C813" t="s">
        <v>12</v>
      </c>
      <c r="D813">
        <v>2</v>
      </c>
      <c r="E813">
        <v>25</v>
      </c>
      <c r="F813">
        <v>3.1569553215627801E-2</v>
      </c>
      <c r="G813">
        <v>229</v>
      </c>
      <c r="H813">
        <v>4.3385350313268303E-2</v>
      </c>
      <c r="I813">
        <v>202</v>
      </c>
      <c r="L813">
        <v>9.6479542816673293E-7</v>
      </c>
      <c r="M813">
        <v>4.1082982570249604E-6</v>
      </c>
      <c r="N813">
        <v>2023</v>
      </c>
      <c r="O813" t="s">
        <v>13</v>
      </c>
      <c r="P813" t="s">
        <v>185</v>
      </c>
      <c r="Q813" t="s">
        <v>19</v>
      </c>
      <c r="R813" t="s">
        <v>20</v>
      </c>
    </row>
    <row r="814" spans="1:18" x14ac:dyDescent="0.25">
      <c r="A814" t="s">
        <v>183</v>
      </c>
      <c r="B814" t="s">
        <v>1795</v>
      </c>
      <c r="C814" t="s">
        <v>12</v>
      </c>
      <c r="D814">
        <v>2</v>
      </c>
      <c r="E814">
        <v>35</v>
      </c>
      <c r="F814">
        <v>1.8068988848043501E-2</v>
      </c>
      <c r="G814">
        <v>343</v>
      </c>
      <c r="H814">
        <v>7.4724620623845397E-2</v>
      </c>
      <c r="I814">
        <v>306</v>
      </c>
      <c r="L814">
        <v>2.6289914219689399E-7</v>
      </c>
      <c r="M814">
        <v>4.2814507641367698E-7</v>
      </c>
      <c r="N814">
        <v>2023</v>
      </c>
      <c r="O814" t="s">
        <v>13</v>
      </c>
      <c r="P814" t="s">
        <v>185</v>
      </c>
      <c r="Q814" t="s">
        <v>19</v>
      </c>
      <c r="R814" t="s">
        <v>20</v>
      </c>
    </row>
    <row r="815" spans="1:18" x14ac:dyDescent="0.25">
      <c r="A815" t="s">
        <v>183</v>
      </c>
      <c r="B815" t="s">
        <v>1795</v>
      </c>
      <c r="C815" t="s">
        <v>12</v>
      </c>
      <c r="D815">
        <v>2</v>
      </c>
      <c r="E815">
        <v>45</v>
      </c>
      <c r="F815">
        <v>5.80359587168051E-2</v>
      </c>
      <c r="G815">
        <v>346</v>
      </c>
      <c r="H815">
        <v>0.123578436066223</v>
      </c>
      <c r="I815">
        <v>297</v>
      </c>
      <c r="L815">
        <v>6.88350746201332E-7</v>
      </c>
      <c r="M815">
        <v>1.2494982602508599E-6</v>
      </c>
      <c r="N815">
        <v>2023</v>
      </c>
      <c r="O815" t="s">
        <v>13</v>
      </c>
      <c r="P815" t="s">
        <v>185</v>
      </c>
      <c r="Q815" t="s">
        <v>19</v>
      </c>
      <c r="R815" t="s">
        <v>20</v>
      </c>
    </row>
    <row r="816" spans="1:18" x14ac:dyDescent="0.25">
      <c r="A816" t="s">
        <v>183</v>
      </c>
      <c r="B816" t="s">
        <v>1795</v>
      </c>
      <c r="C816" t="s">
        <v>12</v>
      </c>
      <c r="D816">
        <v>2</v>
      </c>
      <c r="E816">
        <v>55</v>
      </c>
      <c r="F816">
        <v>0.19791783190672099</v>
      </c>
      <c r="G816">
        <v>400</v>
      </c>
      <c r="H816">
        <v>0.16004413059869199</v>
      </c>
      <c r="I816">
        <v>306</v>
      </c>
      <c r="L816">
        <v>4.0682905256341997E-6</v>
      </c>
      <c r="M816">
        <v>1.2138250770648001E-5</v>
      </c>
      <c r="N816">
        <v>2023</v>
      </c>
      <c r="O816" t="s">
        <v>13</v>
      </c>
      <c r="P816" t="s">
        <v>185</v>
      </c>
      <c r="Q816" t="s">
        <v>19</v>
      </c>
      <c r="R816" t="s">
        <v>20</v>
      </c>
    </row>
    <row r="817" spans="1:18" x14ac:dyDescent="0.25">
      <c r="A817" t="s">
        <v>183</v>
      </c>
      <c r="B817" t="s">
        <v>1795</v>
      </c>
      <c r="C817" t="s">
        <v>12</v>
      </c>
      <c r="D817">
        <v>2</v>
      </c>
      <c r="E817">
        <v>65</v>
      </c>
      <c r="F817">
        <v>0.22443078757215301</v>
      </c>
      <c r="G817">
        <v>466</v>
      </c>
      <c r="H817">
        <v>0.19338742955563001</v>
      </c>
      <c r="I817">
        <v>327</v>
      </c>
      <c r="L817">
        <v>3.0134763486843999E-6</v>
      </c>
      <c r="M817">
        <v>7.3426342978249796E-6</v>
      </c>
      <c r="N817">
        <v>2023</v>
      </c>
      <c r="O817" t="s">
        <v>13</v>
      </c>
      <c r="P817" t="s">
        <v>185</v>
      </c>
      <c r="Q817" t="s">
        <v>19</v>
      </c>
      <c r="R817" t="s">
        <v>20</v>
      </c>
    </row>
    <row r="818" spans="1:18" x14ac:dyDescent="0.25">
      <c r="A818" t="s">
        <v>183</v>
      </c>
      <c r="B818" t="s">
        <v>1795</v>
      </c>
      <c r="C818" t="s">
        <v>12</v>
      </c>
      <c r="D818">
        <v>1</v>
      </c>
      <c r="E818">
        <v>19</v>
      </c>
      <c r="F818">
        <v>0</v>
      </c>
      <c r="G818">
        <v>29</v>
      </c>
      <c r="H818">
        <v>4.5837204255273101E-2</v>
      </c>
      <c r="I818">
        <v>25</v>
      </c>
      <c r="L818">
        <v>1.0721507790658E-5</v>
      </c>
      <c r="M818">
        <v>0</v>
      </c>
      <c r="N818">
        <v>2023</v>
      </c>
      <c r="O818" t="s">
        <v>13</v>
      </c>
      <c r="P818" t="s">
        <v>185</v>
      </c>
      <c r="Q818" t="s">
        <v>19</v>
      </c>
      <c r="R818" t="s">
        <v>20</v>
      </c>
    </row>
    <row r="819" spans="1:18" x14ac:dyDescent="0.25">
      <c r="A819" t="s">
        <v>183</v>
      </c>
      <c r="B819" t="s">
        <v>1795</v>
      </c>
      <c r="C819" t="s">
        <v>12</v>
      </c>
      <c r="D819">
        <v>1</v>
      </c>
      <c r="E819">
        <v>25</v>
      </c>
      <c r="F819">
        <v>1.5234171039185399E-2</v>
      </c>
      <c r="G819">
        <v>144</v>
      </c>
      <c r="H819">
        <v>0.101763843187375</v>
      </c>
      <c r="I819">
        <v>119</v>
      </c>
      <c r="L819">
        <v>1.1203449781509999E-6</v>
      </c>
      <c r="M819">
        <v>1.2089320111001499E-6</v>
      </c>
      <c r="N819">
        <v>2023</v>
      </c>
      <c r="O819" t="s">
        <v>13</v>
      </c>
      <c r="P819" t="s">
        <v>185</v>
      </c>
      <c r="Q819" t="s">
        <v>19</v>
      </c>
      <c r="R819" t="s">
        <v>20</v>
      </c>
    </row>
    <row r="820" spans="1:18" x14ac:dyDescent="0.25">
      <c r="A820" t="s">
        <v>183</v>
      </c>
      <c r="B820" t="s">
        <v>1795</v>
      </c>
      <c r="C820" t="s">
        <v>12</v>
      </c>
      <c r="D820">
        <v>1</v>
      </c>
      <c r="E820">
        <v>35</v>
      </c>
      <c r="F820">
        <v>2.78091854537851E-2</v>
      </c>
      <c r="G820">
        <v>174</v>
      </c>
      <c r="H820">
        <v>7.7890421938141899E-2</v>
      </c>
      <c r="I820">
        <v>147</v>
      </c>
      <c r="L820">
        <v>2.4674455806924499E-6</v>
      </c>
      <c r="M820">
        <v>4.9017772519430297E-6</v>
      </c>
      <c r="N820">
        <v>2023</v>
      </c>
      <c r="O820" t="s">
        <v>13</v>
      </c>
      <c r="P820" t="s">
        <v>185</v>
      </c>
      <c r="Q820" t="s">
        <v>19</v>
      </c>
      <c r="R820" t="s">
        <v>20</v>
      </c>
    </row>
    <row r="821" spans="1:18" x14ac:dyDescent="0.25">
      <c r="A821" t="s">
        <v>183</v>
      </c>
      <c r="B821" t="s">
        <v>1795</v>
      </c>
      <c r="C821" t="s">
        <v>12</v>
      </c>
      <c r="D821">
        <v>1</v>
      </c>
      <c r="E821">
        <v>45</v>
      </c>
      <c r="F821">
        <v>9.7892115430322904E-2</v>
      </c>
      <c r="G821">
        <v>229</v>
      </c>
      <c r="H821">
        <v>0.165032693272369</v>
      </c>
      <c r="I821">
        <v>183</v>
      </c>
      <c r="L821">
        <v>6.7316171699150802E-6</v>
      </c>
      <c r="M821">
        <v>1.15136134411371E-5</v>
      </c>
      <c r="N821">
        <v>2023</v>
      </c>
      <c r="O821" t="s">
        <v>13</v>
      </c>
      <c r="P821" t="s">
        <v>185</v>
      </c>
      <c r="Q821" t="s">
        <v>19</v>
      </c>
      <c r="R821" t="s">
        <v>20</v>
      </c>
    </row>
    <row r="822" spans="1:18" x14ac:dyDescent="0.25">
      <c r="A822" t="s">
        <v>183</v>
      </c>
      <c r="B822" t="s">
        <v>1795</v>
      </c>
      <c r="C822" t="s">
        <v>12</v>
      </c>
      <c r="D822">
        <v>1</v>
      </c>
      <c r="E822">
        <v>55</v>
      </c>
      <c r="F822">
        <v>0.17980817269591501</v>
      </c>
      <c r="G822">
        <v>245</v>
      </c>
      <c r="H822">
        <v>0.185873630154855</v>
      </c>
      <c r="I822">
        <v>188</v>
      </c>
      <c r="L822">
        <v>1.8334391268984302E-5</v>
      </c>
      <c r="M822">
        <v>3.9863155541387097E-5</v>
      </c>
      <c r="N822">
        <v>2023</v>
      </c>
      <c r="O822" t="s">
        <v>13</v>
      </c>
      <c r="P822" t="s">
        <v>185</v>
      </c>
      <c r="Q822" t="s">
        <v>19</v>
      </c>
      <c r="R822" t="s">
        <v>20</v>
      </c>
    </row>
    <row r="823" spans="1:18" x14ac:dyDescent="0.25">
      <c r="A823" t="s">
        <v>183</v>
      </c>
      <c r="B823" t="s">
        <v>1795</v>
      </c>
      <c r="C823" t="s">
        <v>12</v>
      </c>
      <c r="D823">
        <v>1</v>
      </c>
      <c r="E823">
        <v>65</v>
      </c>
      <c r="F823">
        <v>0.31256790685018998</v>
      </c>
      <c r="G823">
        <v>232</v>
      </c>
      <c r="H823">
        <v>0.237881745535199</v>
      </c>
      <c r="I823">
        <v>153</v>
      </c>
      <c r="L823">
        <v>8.5062220659481406E-6</v>
      </c>
      <c r="M823">
        <v>1.8661902017703799E-5</v>
      </c>
      <c r="N823">
        <v>2023</v>
      </c>
      <c r="O823" t="s">
        <v>13</v>
      </c>
      <c r="P823" t="s">
        <v>185</v>
      </c>
      <c r="Q823" t="s">
        <v>19</v>
      </c>
      <c r="R823" t="s">
        <v>20</v>
      </c>
    </row>
    <row r="824" spans="1:18" x14ac:dyDescent="0.25">
      <c r="A824" t="s">
        <v>186</v>
      </c>
      <c r="B824" t="s">
        <v>187</v>
      </c>
      <c r="C824" t="s">
        <v>12</v>
      </c>
      <c r="D824">
        <v>2</v>
      </c>
      <c r="E824">
        <v>27.5</v>
      </c>
      <c r="F824">
        <v>0</v>
      </c>
      <c r="G824">
        <v>316</v>
      </c>
      <c r="H824">
        <v>9.2380465019032798E-2</v>
      </c>
      <c r="I824">
        <v>284</v>
      </c>
      <c r="L824">
        <v>6.5637314098766594E-2</v>
      </c>
      <c r="M824">
        <v>0</v>
      </c>
      <c r="N824">
        <v>2011</v>
      </c>
      <c r="O824" t="s">
        <v>53</v>
      </c>
      <c r="P824" t="s">
        <v>188</v>
      </c>
      <c r="Q824" t="s">
        <v>43</v>
      </c>
      <c r="R824" t="s">
        <v>44</v>
      </c>
    </row>
    <row r="825" spans="1:18" x14ac:dyDescent="0.25">
      <c r="A825" t="s">
        <v>186</v>
      </c>
      <c r="B825" t="s">
        <v>187</v>
      </c>
      <c r="C825" t="s">
        <v>12</v>
      </c>
      <c r="D825">
        <v>2</v>
      </c>
      <c r="E825">
        <v>35</v>
      </c>
      <c r="F825">
        <v>4.0322580645161298E-3</v>
      </c>
      <c r="G825">
        <v>496</v>
      </c>
      <c r="H825">
        <v>0.16446581849898601</v>
      </c>
      <c r="I825">
        <v>445</v>
      </c>
      <c r="L825">
        <v>4.7997464508784303E-2</v>
      </c>
      <c r="M825">
        <v>1.5022755286872899E-2</v>
      </c>
      <c r="N825">
        <v>2011</v>
      </c>
      <c r="O825" t="s">
        <v>53</v>
      </c>
      <c r="P825" t="s">
        <v>188</v>
      </c>
      <c r="Q825" t="s">
        <v>43</v>
      </c>
      <c r="R825" t="s">
        <v>44</v>
      </c>
    </row>
    <row r="826" spans="1:18" x14ac:dyDescent="0.25">
      <c r="A826" t="s">
        <v>186</v>
      </c>
      <c r="B826" t="s">
        <v>187</v>
      </c>
      <c r="C826" t="s">
        <v>12</v>
      </c>
      <c r="D826">
        <v>2</v>
      </c>
      <c r="E826">
        <v>45</v>
      </c>
      <c r="F826">
        <v>7.6045627376425898E-3</v>
      </c>
      <c r="G826">
        <v>263</v>
      </c>
      <c r="H826">
        <v>0.21431710151185099</v>
      </c>
      <c r="I826">
        <v>242</v>
      </c>
      <c r="L826">
        <v>6.3390081104078705E-2</v>
      </c>
      <c r="M826">
        <v>1.8284989468967401E-2</v>
      </c>
      <c r="N826">
        <v>2011</v>
      </c>
      <c r="O826" t="s">
        <v>53</v>
      </c>
      <c r="P826" t="s">
        <v>188</v>
      </c>
      <c r="Q826" t="s">
        <v>43</v>
      </c>
      <c r="R826" t="s">
        <v>44</v>
      </c>
    </row>
    <row r="827" spans="1:18" x14ac:dyDescent="0.25">
      <c r="A827" t="s">
        <v>186</v>
      </c>
      <c r="B827" t="s">
        <v>187</v>
      </c>
      <c r="C827" t="s">
        <v>12</v>
      </c>
      <c r="D827">
        <v>2</v>
      </c>
      <c r="E827">
        <v>55</v>
      </c>
      <c r="F827">
        <v>5.40540540540541E-3</v>
      </c>
      <c r="G827">
        <v>185</v>
      </c>
      <c r="H827">
        <v>0.25046757880943499</v>
      </c>
      <c r="I827">
        <v>170</v>
      </c>
      <c r="L827">
        <v>7.9903013052022603E-2</v>
      </c>
      <c r="M827">
        <v>1.7611702652676201E-2</v>
      </c>
      <c r="N827">
        <v>2011</v>
      </c>
      <c r="O827" t="s">
        <v>53</v>
      </c>
      <c r="P827" t="s">
        <v>188</v>
      </c>
      <c r="Q827" t="s">
        <v>43</v>
      </c>
      <c r="R827" t="s">
        <v>44</v>
      </c>
    </row>
    <row r="828" spans="1:18" x14ac:dyDescent="0.25">
      <c r="A828" t="s">
        <v>186</v>
      </c>
      <c r="B828" t="s">
        <v>187</v>
      </c>
      <c r="C828" t="s">
        <v>12</v>
      </c>
      <c r="D828">
        <v>2</v>
      </c>
      <c r="E828">
        <v>62.5</v>
      </c>
      <c r="F828">
        <v>3.5714285714285698E-2</v>
      </c>
      <c r="G828">
        <v>56</v>
      </c>
      <c r="H828">
        <v>0.32271532628621702</v>
      </c>
      <c r="I828">
        <v>52</v>
      </c>
      <c r="L828">
        <v>5.1583830365797098E-2</v>
      </c>
      <c r="M828">
        <v>1.4583674122757901E-2</v>
      </c>
      <c r="N828">
        <v>2011</v>
      </c>
      <c r="O828" t="s">
        <v>53</v>
      </c>
      <c r="P828" t="s">
        <v>188</v>
      </c>
      <c r="Q828" t="s">
        <v>43</v>
      </c>
      <c r="R828" t="s">
        <v>44</v>
      </c>
    </row>
    <row r="829" spans="1:18" x14ac:dyDescent="0.25">
      <c r="A829" t="s">
        <v>186</v>
      </c>
      <c r="B829" t="s">
        <v>187</v>
      </c>
      <c r="C829" t="s">
        <v>12</v>
      </c>
      <c r="D829">
        <v>1</v>
      </c>
      <c r="E829">
        <v>27.5</v>
      </c>
      <c r="F829">
        <v>0</v>
      </c>
      <c r="G829">
        <v>240</v>
      </c>
      <c r="H829">
        <v>0.126172754975862</v>
      </c>
      <c r="I829">
        <v>200</v>
      </c>
      <c r="L829">
        <v>3.5126388455476699E-2</v>
      </c>
      <c r="M829">
        <v>0</v>
      </c>
      <c r="N829">
        <v>2011</v>
      </c>
      <c r="O829" t="s">
        <v>53</v>
      </c>
      <c r="P829" t="s">
        <v>188</v>
      </c>
      <c r="Q829" t="s">
        <v>43</v>
      </c>
      <c r="R829" t="s">
        <v>44</v>
      </c>
    </row>
    <row r="830" spans="1:18" x14ac:dyDescent="0.25">
      <c r="A830" t="s">
        <v>186</v>
      </c>
      <c r="B830" t="s">
        <v>187</v>
      </c>
      <c r="C830" t="s">
        <v>12</v>
      </c>
      <c r="D830">
        <v>1</v>
      </c>
      <c r="E830">
        <v>35</v>
      </c>
      <c r="F830">
        <v>5.3475935828877002E-3</v>
      </c>
      <c r="G830">
        <v>374</v>
      </c>
      <c r="H830">
        <v>0.13331704219344101</v>
      </c>
      <c r="I830">
        <v>324</v>
      </c>
      <c r="L830">
        <v>4.7102455180294801E-2</v>
      </c>
      <c r="M830">
        <v>1.9588709015776602E-2</v>
      </c>
      <c r="N830">
        <v>2011</v>
      </c>
      <c r="O830" t="s">
        <v>53</v>
      </c>
      <c r="P830" t="s">
        <v>188</v>
      </c>
      <c r="Q830" t="s">
        <v>43</v>
      </c>
      <c r="R830" t="s">
        <v>44</v>
      </c>
    </row>
    <row r="831" spans="1:18" x14ac:dyDescent="0.25">
      <c r="A831" t="s">
        <v>186</v>
      </c>
      <c r="B831" t="s">
        <v>187</v>
      </c>
      <c r="C831" t="s">
        <v>12</v>
      </c>
      <c r="D831">
        <v>1</v>
      </c>
      <c r="E831">
        <v>45</v>
      </c>
      <c r="F831">
        <v>4.0983606557377103E-3</v>
      </c>
      <c r="G831">
        <v>244</v>
      </c>
      <c r="H831">
        <v>0.19851293131276401</v>
      </c>
      <c r="I831">
        <v>212</v>
      </c>
      <c r="L831">
        <v>4.4304132982815297E-2</v>
      </c>
      <c r="M831">
        <v>1.1149163743023299E-2</v>
      </c>
      <c r="N831">
        <v>2011</v>
      </c>
      <c r="O831" t="s">
        <v>53</v>
      </c>
      <c r="P831" t="s">
        <v>188</v>
      </c>
      <c r="Q831" t="s">
        <v>43</v>
      </c>
      <c r="R831" t="s">
        <v>44</v>
      </c>
    </row>
    <row r="832" spans="1:18" x14ac:dyDescent="0.25">
      <c r="A832" t="s">
        <v>186</v>
      </c>
      <c r="B832" t="s">
        <v>187</v>
      </c>
      <c r="C832" t="s">
        <v>12</v>
      </c>
      <c r="D832">
        <v>1</v>
      </c>
      <c r="E832">
        <v>55</v>
      </c>
      <c r="F832">
        <v>2.1739130434782601E-2</v>
      </c>
      <c r="G832">
        <v>138</v>
      </c>
      <c r="H832">
        <v>0.239227157934184</v>
      </c>
      <c r="I832">
        <v>122</v>
      </c>
      <c r="L832">
        <v>4.5251542131317803E-2</v>
      </c>
      <c r="M832">
        <v>1.5998766354971002E-2</v>
      </c>
      <c r="N832">
        <v>2011</v>
      </c>
      <c r="O832" t="s">
        <v>53</v>
      </c>
      <c r="P832" t="s">
        <v>188</v>
      </c>
      <c r="Q832" t="s">
        <v>43</v>
      </c>
      <c r="R832" t="s">
        <v>44</v>
      </c>
    </row>
    <row r="833" spans="1:18" x14ac:dyDescent="0.25">
      <c r="A833" t="s">
        <v>186</v>
      </c>
      <c r="B833" t="s">
        <v>187</v>
      </c>
      <c r="C833" t="s">
        <v>12</v>
      </c>
      <c r="D833">
        <v>1</v>
      </c>
      <c r="E833">
        <v>62.5</v>
      </c>
      <c r="F833">
        <v>3.125E-2</v>
      </c>
      <c r="G833">
        <v>64</v>
      </c>
      <c r="H833">
        <v>0.250931093121952</v>
      </c>
      <c r="I833">
        <v>60</v>
      </c>
      <c r="L833">
        <v>4.9438041186768998E-2</v>
      </c>
      <c r="M833">
        <v>1.8980143301820799E-2</v>
      </c>
      <c r="N833">
        <v>2011</v>
      </c>
      <c r="O833" t="s">
        <v>53</v>
      </c>
      <c r="P833" t="s">
        <v>188</v>
      </c>
      <c r="Q833" t="s">
        <v>43</v>
      </c>
      <c r="R833" t="s">
        <v>44</v>
      </c>
    </row>
    <row r="834" spans="1:18" x14ac:dyDescent="0.25">
      <c r="A834" t="s">
        <v>186</v>
      </c>
      <c r="B834" t="s">
        <v>189</v>
      </c>
      <c r="C834" t="s">
        <v>12</v>
      </c>
      <c r="D834">
        <v>2</v>
      </c>
      <c r="E834">
        <v>19</v>
      </c>
      <c r="F834">
        <v>0</v>
      </c>
      <c r="G834">
        <v>164</v>
      </c>
      <c r="H834">
        <v>4.5383930835244897E-2</v>
      </c>
      <c r="I834">
        <v>148</v>
      </c>
      <c r="L834">
        <v>2.1613349427088199E-2</v>
      </c>
      <c r="M834">
        <v>0</v>
      </c>
      <c r="N834">
        <v>2022</v>
      </c>
      <c r="O834" t="s">
        <v>13</v>
      </c>
      <c r="P834" t="s">
        <v>188</v>
      </c>
      <c r="Q834" t="s">
        <v>43</v>
      </c>
      <c r="R834" t="s">
        <v>44</v>
      </c>
    </row>
    <row r="835" spans="1:18" x14ac:dyDescent="0.25">
      <c r="A835" t="s">
        <v>186</v>
      </c>
      <c r="B835" t="s">
        <v>189</v>
      </c>
      <c r="C835" t="s">
        <v>12</v>
      </c>
      <c r="D835">
        <v>2</v>
      </c>
      <c r="E835">
        <v>25</v>
      </c>
      <c r="F835">
        <v>9.5628283386203501E-4</v>
      </c>
      <c r="G835">
        <v>633</v>
      </c>
      <c r="H835">
        <v>3.51355443881421E-2</v>
      </c>
      <c r="I835">
        <v>538</v>
      </c>
      <c r="L835">
        <v>3.5056815158752801E-2</v>
      </c>
      <c r="M835">
        <v>2.4777939031847902E-2</v>
      </c>
      <c r="N835">
        <v>2022</v>
      </c>
      <c r="O835" t="s">
        <v>13</v>
      </c>
      <c r="P835" t="s">
        <v>188</v>
      </c>
      <c r="Q835" t="s">
        <v>43</v>
      </c>
      <c r="R835" t="s">
        <v>44</v>
      </c>
    </row>
    <row r="836" spans="1:18" x14ac:dyDescent="0.25">
      <c r="A836" t="s">
        <v>186</v>
      </c>
      <c r="B836" t="s">
        <v>189</v>
      </c>
      <c r="C836" t="s">
        <v>12</v>
      </c>
      <c r="D836">
        <v>2</v>
      </c>
      <c r="E836">
        <v>35</v>
      </c>
      <c r="F836">
        <v>2.6587922502550299E-3</v>
      </c>
      <c r="G836">
        <v>538</v>
      </c>
      <c r="H836">
        <v>5.36032023932657E-2</v>
      </c>
      <c r="I836">
        <v>473</v>
      </c>
      <c r="L836">
        <v>5.0913565713022399E-2</v>
      </c>
      <c r="M836">
        <v>3.6488009814585103E-2</v>
      </c>
      <c r="N836">
        <v>2022</v>
      </c>
      <c r="O836" t="s">
        <v>13</v>
      </c>
      <c r="P836" t="s">
        <v>188</v>
      </c>
      <c r="Q836" t="s">
        <v>43</v>
      </c>
      <c r="R836" t="s">
        <v>44</v>
      </c>
    </row>
    <row r="837" spans="1:18" x14ac:dyDescent="0.25">
      <c r="A837" t="s">
        <v>186</v>
      </c>
      <c r="B837" t="s">
        <v>189</v>
      </c>
      <c r="C837" t="s">
        <v>12</v>
      </c>
      <c r="D837">
        <v>2</v>
      </c>
      <c r="E837">
        <v>45</v>
      </c>
      <c r="F837">
        <v>4.3034559435825397E-3</v>
      </c>
      <c r="G837">
        <v>483</v>
      </c>
      <c r="H837">
        <v>6.5999015835524505E-2</v>
      </c>
      <c r="I837">
        <v>426</v>
      </c>
      <c r="L837">
        <v>4.2544998089445001E-2</v>
      </c>
      <c r="M837">
        <v>3.1407510953526098E-2</v>
      </c>
      <c r="N837">
        <v>2022</v>
      </c>
      <c r="O837" t="s">
        <v>13</v>
      </c>
      <c r="P837" t="s">
        <v>188</v>
      </c>
      <c r="Q837" t="s">
        <v>43</v>
      </c>
      <c r="R837" t="s">
        <v>44</v>
      </c>
    </row>
    <row r="838" spans="1:18" x14ac:dyDescent="0.25">
      <c r="A838" t="s">
        <v>186</v>
      </c>
      <c r="B838" t="s">
        <v>189</v>
      </c>
      <c r="C838" t="s">
        <v>12</v>
      </c>
      <c r="D838">
        <v>2</v>
      </c>
      <c r="E838">
        <v>55</v>
      </c>
      <c r="F838">
        <v>3.4473127998839698E-2</v>
      </c>
      <c r="G838">
        <v>332</v>
      </c>
      <c r="H838">
        <v>8.0964032585229995E-2</v>
      </c>
      <c r="I838">
        <v>278</v>
      </c>
      <c r="L838">
        <v>5.1640651610556199E-2</v>
      </c>
      <c r="M838">
        <v>7.8620260104783998E-2</v>
      </c>
      <c r="N838">
        <v>2022</v>
      </c>
      <c r="O838" t="s">
        <v>13</v>
      </c>
      <c r="P838" t="s">
        <v>188</v>
      </c>
      <c r="Q838" t="s">
        <v>43</v>
      </c>
      <c r="R838" t="s">
        <v>44</v>
      </c>
    </row>
    <row r="839" spans="1:18" x14ac:dyDescent="0.25">
      <c r="A839" t="s">
        <v>186</v>
      </c>
      <c r="B839" t="s">
        <v>189</v>
      </c>
      <c r="C839" t="s">
        <v>12</v>
      </c>
      <c r="D839">
        <v>2</v>
      </c>
      <c r="E839">
        <v>65</v>
      </c>
      <c r="F839">
        <v>5.2233844941709101E-3</v>
      </c>
      <c r="G839">
        <v>217</v>
      </c>
      <c r="H839">
        <v>0.162841772097296</v>
      </c>
      <c r="I839">
        <v>192</v>
      </c>
      <c r="L839">
        <v>2.7627074331580501E-2</v>
      </c>
      <c r="M839">
        <v>9.4207659064588101E-3</v>
      </c>
      <c r="N839">
        <v>2022</v>
      </c>
      <c r="O839" t="s">
        <v>13</v>
      </c>
      <c r="P839" t="s">
        <v>188</v>
      </c>
      <c r="Q839" t="s">
        <v>43</v>
      </c>
      <c r="R839" t="s">
        <v>44</v>
      </c>
    </row>
    <row r="840" spans="1:18" x14ac:dyDescent="0.25">
      <c r="A840" t="s">
        <v>186</v>
      </c>
      <c r="B840" t="s">
        <v>189</v>
      </c>
      <c r="C840" t="s">
        <v>12</v>
      </c>
      <c r="D840">
        <v>1</v>
      </c>
      <c r="E840">
        <v>19</v>
      </c>
      <c r="F840">
        <v>0</v>
      </c>
      <c r="G840">
        <v>98</v>
      </c>
      <c r="H840">
        <v>1.7301925625750801E-2</v>
      </c>
      <c r="I840">
        <v>83</v>
      </c>
      <c r="L840">
        <v>1.64616708441351E-2</v>
      </c>
      <c r="M840">
        <v>0</v>
      </c>
      <c r="N840">
        <v>2022</v>
      </c>
      <c r="O840" t="s">
        <v>13</v>
      </c>
      <c r="P840" t="s">
        <v>188</v>
      </c>
      <c r="Q840" t="s">
        <v>43</v>
      </c>
      <c r="R840" t="s">
        <v>44</v>
      </c>
    </row>
    <row r="841" spans="1:18" x14ac:dyDescent="0.25">
      <c r="A841" t="s">
        <v>186</v>
      </c>
      <c r="B841" t="s">
        <v>189</v>
      </c>
      <c r="C841" t="s">
        <v>12</v>
      </c>
      <c r="D841">
        <v>1</v>
      </c>
      <c r="E841">
        <v>25</v>
      </c>
      <c r="F841">
        <v>0</v>
      </c>
      <c r="G841">
        <v>346</v>
      </c>
      <c r="H841">
        <v>1.5922923885211701E-2</v>
      </c>
      <c r="I841">
        <v>296</v>
      </c>
      <c r="L841">
        <v>4.3315476713351501E-2</v>
      </c>
      <c r="M841">
        <v>0</v>
      </c>
      <c r="N841">
        <v>2022</v>
      </c>
      <c r="O841" t="s">
        <v>13</v>
      </c>
      <c r="P841" t="s">
        <v>188</v>
      </c>
      <c r="Q841" t="s">
        <v>43</v>
      </c>
      <c r="R841" t="s">
        <v>44</v>
      </c>
    </row>
    <row r="842" spans="1:18" x14ac:dyDescent="0.25">
      <c r="A842" t="s">
        <v>186</v>
      </c>
      <c r="B842" t="s">
        <v>189</v>
      </c>
      <c r="C842" t="s">
        <v>12</v>
      </c>
      <c r="D842">
        <v>1</v>
      </c>
      <c r="E842">
        <v>35</v>
      </c>
      <c r="F842">
        <v>6.1381446664730095E-4</v>
      </c>
      <c r="G842">
        <v>319</v>
      </c>
      <c r="H842">
        <v>4.9046299065409797E-2</v>
      </c>
      <c r="I842">
        <v>265</v>
      </c>
      <c r="L842">
        <v>1.79629727177281E-2</v>
      </c>
      <c r="M842">
        <v>9.0281242003882392E-3</v>
      </c>
      <c r="N842">
        <v>2022</v>
      </c>
      <c r="O842" t="s">
        <v>13</v>
      </c>
      <c r="P842" t="s">
        <v>188</v>
      </c>
      <c r="Q842" t="s">
        <v>43</v>
      </c>
      <c r="R842" t="s">
        <v>44</v>
      </c>
    </row>
    <row r="843" spans="1:18" x14ac:dyDescent="0.25">
      <c r="A843" t="s">
        <v>186</v>
      </c>
      <c r="B843" t="s">
        <v>189</v>
      </c>
      <c r="C843" t="s">
        <v>12</v>
      </c>
      <c r="D843">
        <v>1</v>
      </c>
      <c r="E843">
        <v>45</v>
      </c>
      <c r="F843">
        <v>1.57532981162775E-2</v>
      </c>
      <c r="G843">
        <v>333</v>
      </c>
      <c r="H843">
        <v>7.0950274051577403E-2</v>
      </c>
      <c r="I843">
        <v>295</v>
      </c>
      <c r="L843">
        <v>3.08081942503108E-2</v>
      </c>
      <c r="M843">
        <v>3.5509294089135397E-2</v>
      </c>
      <c r="N843">
        <v>2022</v>
      </c>
      <c r="O843" t="s">
        <v>13</v>
      </c>
      <c r="P843" t="s">
        <v>188</v>
      </c>
      <c r="Q843" t="s">
        <v>43</v>
      </c>
      <c r="R843" t="s">
        <v>44</v>
      </c>
    </row>
    <row r="844" spans="1:18" x14ac:dyDescent="0.25">
      <c r="A844" t="s">
        <v>186</v>
      </c>
      <c r="B844" t="s">
        <v>189</v>
      </c>
      <c r="C844" t="s">
        <v>12</v>
      </c>
      <c r="D844">
        <v>1</v>
      </c>
      <c r="E844">
        <v>55</v>
      </c>
      <c r="F844">
        <v>1.1145302801989901E-2</v>
      </c>
      <c r="G844">
        <v>243</v>
      </c>
      <c r="H844">
        <v>5.0585233296065103E-2</v>
      </c>
      <c r="I844">
        <v>216</v>
      </c>
      <c r="L844">
        <v>6.76563651597403E-2</v>
      </c>
      <c r="M844">
        <v>8.9402566903098904E-2</v>
      </c>
      <c r="N844">
        <v>2022</v>
      </c>
      <c r="O844" t="s">
        <v>13</v>
      </c>
      <c r="P844" t="s">
        <v>188</v>
      </c>
      <c r="Q844" t="s">
        <v>43</v>
      </c>
      <c r="R844" t="s">
        <v>44</v>
      </c>
    </row>
    <row r="845" spans="1:18" x14ac:dyDescent="0.25">
      <c r="A845" t="s">
        <v>186</v>
      </c>
      <c r="B845" t="s">
        <v>189</v>
      </c>
      <c r="C845" t="s">
        <v>12</v>
      </c>
      <c r="D845">
        <v>1</v>
      </c>
      <c r="E845">
        <v>65</v>
      </c>
      <c r="F845">
        <v>5.1578270442082498E-2</v>
      </c>
      <c r="G845">
        <v>193</v>
      </c>
      <c r="H845">
        <v>9.4363320604226197E-2</v>
      </c>
      <c r="I845">
        <v>170</v>
      </c>
      <c r="L845">
        <v>2.4661158261724998E-2</v>
      </c>
      <c r="M845">
        <v>3.8188364167336897E-2</v>
      </c>
      <c r="N845">
        <v>2022</v>
      </c>
      <c r="O845" t="s">
        <v>13</v>
      </c>
      <c r="P845" t="s">
        <v>188</v>
      </c>
      <c r="Q845" t="s">
        <v>43</v>
      </c>
      <c r="R845" t="s">
        <v>44</v>
      </c>
    </row>
    <row r="846" spans="1:18" x14ac:dyDescent="0.25">
      <c r="A846" t="s">
        <v>190</v>
      </c>
      <c r="B846" t="s">
        <v>191</v>
      </c>
      <c r="C846" t="s">
        <v>12</v>
      </c>
      <c r="D846">
        <v>2</v>
      </c>
      <c r="E846">
        <v>27.5</v>
      </c>
      <c r="F846">
        <v>1.9317032704133E-2</v>
      </c>
      <c r="G846">
        <v>256</v>
      </c>
      <c r="H846">
        <v>0.148809246446576</v>
      </c>
      <c r="I846">
        <v>119</v>
      </c>
      <c r="L846">
        <v>1.22136183438586E-2</v>
      </c>
      <c r="M846">
        <v>7.7058222818140497E-3</v>
      </c>
      <c r="N846">
        <v>2009</v>
      </c>
      <c r="O846" t="s">
        <v>13</v>
      </c>
      <c r="P846" t="s">
        <v>192</v>
      </c>
      <c r="Q846" t="s">
        <v>19</v>
      </c>
      <c r="R846" t="s">
        <v>20</v>
      </c>
    </row>
    <row r="847" spans="1:18" x14ac:dyDescent="0.25">
      <c r="A847" t="s">
        <v>190</v>
      </c>
      <c r="B847" t="s">
        <v>191</v>
      </c>
      <c r="C847" t="s">
        <v>12</v>
      </c>
      <c r="D847">
        <v>2</v>
      </c>
      <c r="E847">
        <v>35</v>
      </c>
      <c r="F847">
        <v>1.3855530706768799E-2</v>
      </c>
      <c r="G847">
        <v>532</v>
      </c>
      <c r="H847">
        <v>0.102524505585047</v>
      </c>
      <c r="I847">
        <v>237</v>
      </c>
      <c r="L847">
        <v>3.70133501990337E-2</v>
      </c>
      <c r="M847">
        <v>3.0028553025898502E-2</v>
      </c>
      <c r="N847">
        <v>2009</v>
      </c>
      <c r="O847" t="s">
        <v>13</v>
      </c>
      <c r="P847" t="s">
        <v>192</v>
      </c>
      <c r="Q847" t="s">
        <v>19</v>
      </c>
      <c r="R847" t="s">
        <v>20</v>
      </c>
    </row>
    <row r="848" spans="1:18" x14ac:dyDescent="0.25">
      <c r="A848" t="s">
        <v>190</v>
      </c>
      <c r="B848" t="s">
        <v>191</v>
      </c>
      <c r="C848" t="s">
        <v>12</v>
      </c>
      <c r="D848">
        <v>2</v>
      </c>
      <c r="E848">
        <v>45</v>
      </c>
      <c r="F848">
        <v>8.1829761470340795E-2</v>
      </c>
      <c r="G848">
        <v>496</v>
      </c>
      <c r="H848">
        <v>0.14290224333816001</v>
      </c>
      <c r="I848">
        <v>247</v>
      </c>
      <c r="L848">
        <v>3.4338284825616398E-2</v>
      </c>
      <c r="M848">
        <v>4.8286568166582902E-2</v>
      </c>
      <c r="N848">
        <v>2009</v>
      </c>
      <c r="O848" t="s">
        <v>13</v>
      </c>
      <c r="P848" t="s">
        <v>192</v>
      </c>
      <c r="Q848" t="s">
        <v>19</v>
      </c>
      <c r="R848" t="s">
        <v>20</v>
      </c>
    </row>
    <row r="849" spans="1:18" x14ac:dyDescent="0.25">
      <c r="A849" t="s">
        <v>190</v>
      </c>
      <c r="B849" t="s">
        <v>191</v>
      </c>
      <c r="C849" t="s">
        <v>12</v>
      </c>
      <c r="D849">
        <v>2</v>
      </c>
      <c r="E849">
        <v>55</v>
      </c>
      <c r="F849">
        <v>0.203204184137669</v>
      </c>
      <c r="G849">
        <v>225</v>
      </c>
      <c r="H849">
        <v>0.31963088784190902</v>
      </c>
      <c r="I849">
        <v>90</v>
      </c>
      <c r="L849">
        <v>1.83973358557681E-2</v>
      </c>
      <c r="M849">
        <v>1.3208081902195501E-2</v>
      </c>
      <c r="N849">
        <v>2009</v>
      </c>
      <c r="O849" t="s">
        <v>13</v>
      </c>
      <c r="P849" t="s">
        <v>192</v>
      </c>
      <c r="Q849" t="s">
        <v>19</v>
      </c>
      <c r="R849" t="s">
        <v>20</v>
      </c>
    </row>
    <row r="850" spans="1:18" x14ac:dyDescent="0.25">
      <c r="A850" t="s">
        <v>190</v>
      </c>
      <c r="B850" t="s">
        <v>191</v>
      </c>
      <c r="C850" t="s">
        <v>12</v>
      </c>
      <c r="D850">
        <v>2</v>
      </c>
      <c r="E850">
        <v>62.5</v>
      </c>
      <c r="F850">
        <v>0.27457294505398799</v>
      </c>
      <c r="G850">
        <v>113</v>
      </c>
      <c r="H850">
        <v>0.40758371113615199</v>
      </c>
      <c r="I850">
        <v>42</v>
      </c>
      <c r="L850">
        <v>1.9944646672834299E-2</v>
      </c>
      <c r="M850">
        <v>1.10634314453339E-2</v>
      </c>
      <c r="N850">
        <v>2009</v>
      </c>
      <c r="O850" t="s">
        <v>13</v>
      </c>
      <c r="P850" t="s">
        <v>192</v>
      </c>
      <c r="Q850" t="s">
        <v>19</v>
      </c>
      <c r="R850" t="s">
        <v>20</v>
      </c>
    </row>
    <row r="851" spans="1:18" x14ac:dyDescent="0.25">
      <c r="A851" t="s">
        <v>190</v>
      </c>
      <c r="B851" t="s">
        <v>191</v>
      </c>
      <c r="C851" t="s">
        <v>12</v>
      </c>
      <c r="D851">
        <v>1</v>
      </c>
      <c r="E851">
        <v>27.5</v>
      </c>
      <c r="F851">
        <v>8.4820955064019397E-3</v>
      </c>
      <c r="G851">
        <v>259</v>
      </c>
      <c r="H851">
        <v>9.1816813226258301E-2</v>
      </c>
      <c r="I851">
        <v>142</v>
      </c>
      <c r="L851">
        <v>3.2437418062108099E-2</v>
      </c>
      <c r="M851">
        <v>2.3158394120545E-2</v>
      </c>
      <c r="N851">
        <v>2009</v>
      </c>
      <c r="O851" t="s">
        <v>13</v>
      </c>
      <c r="P851" t="s">
        <v>192</v>
      </c>
      <c r="Q851" t="s">
        <v>19</v>
      </c>
      <c r="R851" t="s">
        <v>20</v>
      </c>
    </row>
    <row r="852" spans="1:18" x14ac:dyDescent="0.25">
      <c r="A852" t="s">
        <v>190</v>
      </c>
      <c r="B852" t="s">
        <v>191</v>
      </c>
      <c r="C852" t="s">
        <v>12</v>
      </c>
      <c r="D852">
        <v>1</v>
      </c>
      <c r="E852">
        <v>35</v>
      </c>
      <c r="F852">
        <v>1.8373752140996701E-2</v>
      </c>
      <c r="G852">
        <v>510</v>
      </c>
      <c r="H852">
        <v>0.10976059960203099</v>
      </c>
      <c r="I852">
        <v>265</v>
      </c>
      <c r="L852">
        <v>2.7532706995635599E-2</v>
      </c>
      <c r="M852">
        <v>2.3134702084719599E-2</v>
      </c>
      <c r="N852">
        <v>2009</v>
      </c>
      <c r="O852" t="s">
        <v>13</v>
      </c>
      <c r="P852" t="s">
        <v>192</v>
      </c>
      <c r="Q852" t="s">
        <v>19</v>
      </c>
      <c r="R852" t="s">
        <v>20</v>
      </c>
    </row>
    <row r="853" spans="1:18" x14ac:dyDescent="0.25">
      <c r="A853" t="s">
        <v>190</v>
      </c>
      <c r="B853" t="s">
        <v>191</v>
      </c>
      <c r="C853" t="s">
        <v>12</v>
      </c>
      <c r="D853">
        <v>1</v>
      </c>
      <c r="E853">
        <v>45</v>
      </c>
      <c r="F853">
        <v>5.6708141235243599E-2</v>
      </c>
      <c r="G853">
        <v>577</v>
      </c>
      <c r="H853">
        <v>0.20979951981727199</v>
      </c>
      <c r="I853">
        <v>319</v>
      </c>
      <c r="L853">
        <v>2.4741268333815802E-2</v>
      </c>
      <c r="M853">
        <v>1.7201611230173702E-2</v>
      </c>
      <c r="N853">
        <v>2009</v>
      </c>
      <c r="O853" t="s">
        <v>13</v>
      </c>
      <c r="P853" t="s">
        <v>192</v>
      </c>
      <c r="Q853" t="s">
        <v>19</v>
      </c>
      <c r="R853" t="s">
        <v>20</v>
      </c>
    </row>
    <row r="854" spans="1:18" x14ac:dyDescent="0.25">
      <c r="A854" t="s">
        <v>190</v>
      </c>
      <c r="B854" t="s">
        <v>191</v>
      </c>
      <c r="C854" t="s">
        <v>12</v>
      </c>
      <c r="D854">
        <v>1</v>
      </c>
      <c r="E854">
        <v>55</v>
      </c>
      <c r="F854">
        <v>0.149729324215788</v>
      </c>
      <c r="G854">
        <v>254</v>
      </c>
      <c r="H854">
        <v>0.28962893666879702</v>
      </c>
      <c r="I854">
        <v>143</v>
      </c>
      <c r="L854">
        <v>1.5520198753137799E-2</v>
      </c>
      <c r="M854">
        <v>1.1075263383388901E-2</v>
      </c>
      <c r="N854">
        <v>2009</v>
      </c>
      <c r="O854" t="s">
        <v>13</v>
      </c>
      <c r="P854" t="s">
        <v>192</v>
      </c>
      <c r="Q854" t="s">
        <v>19</v>
      </c>
      <c r="R854" t="s">
        <v>20</v>
      </c>
    </row>
    <row r="855" spans="1:18" x14ac:dyDescent="0.25">
      <c r="A855" t="s">
        <v>190</v>
      </c>
      <c r="B855" t="s">
        <v>191</v>
      </c>
      <c r="C855" t="s">
        <v>12</v>
      </c>
      <c r="D855">
        <v>1</v>
      </c>
      <c r="E855">
        <v>62.5</v>
      </c>
      <c r="F855">
        <v>0.32092985804429602</v>
      </c>
      <c r="G855">
        <v>112</v>
      </c>
      <c r="H855">
        <v>0.31483963163038797</v>
      </c>
      <c r="I855">
        <v>44</v>
      </c>
      <c r="L855">
        <v>1.51112524584329E-2</v>
      </c>
      <c r="M855">
        <v>1.63429339058653E-2</v>
      </c>
      <c r="N855">
        <v>2009</v>
      </c>
      <c r="O855" t="s">
        <v>13</v>
      </c>
      <c r="P855" t="s">
        <v>192</v>
      </c>
      <c r="Q855" t="s">
        <v>19</v>
      </c>
      <c r="R855" t="s">
        <v>20</v>
      </c>
    </row>
    <row r="856" spans="1:18" x14ac:dyDescent="0.25">
      <c r="A856" t="s">
        <v>190</v>
      </c>
      <c r="B856" t="s">
        <v>1800</v>
      </c>
      <c r="C856" t="s">
        <v>12</v>
      </c>
      <c r="D856">
        <v>2</v>
      </c>
      <c r="E856">
        <v>19</v>
      </c>
      <c r="F856">
        <v>1.2147886923072801E-2</v>
      </c>
      <c r="G856">
        <v>88</v>
      </c>
      <c r="H856">
        <v>9.13627662951388E-2</v>
      </c>
      <c r="I856">
        <v>61</v>
      </c>
      <c r="L856">
        <v>4.0306393594613304E-3</v>
      </c>
      <c r="M856">
        <v>3.54192090804564E-3</v>
      </c>
      <c r="N856">
        <v>2023</v>
      </c>
      <c r="O856" t="s">
        <v>13</v>
      </c>
      <c r="P856" t="s">
        <v>192</v>
      </c>
      <c r="Q856" t="s">
        <v>19</v>
      </c>
      <c r="R856" t="s">
        <v>20</v>
      </c>
    </row>
    <row r="857" spans="1:18" x14ac:dyDescent="0.25">
      <c r="A857" t="s">
        <v>190</v>
      </c>
      <c r="B857" t="s">
        <v>1800</v>
      </c>
      <c r="C857" t="s">
        <v>12</v>
      </c>
      <c r="D857">
        <v>2</v>
      </c>
      <c r="E857">
        <v>25</v>
      </c>
      <c r="F857">
        <v>5.6873045507607996E-3</v>
      </c>
      <c r="G857">
        <v>345</v>
      </c>
      <c r="H857">
        <v>0.128587998781237</v>
      </c>
      <c r="I857">
        <v>251</v>
      </c>
      <c r="L857">
        <v>3.3226928899042101E-3</v>
      </c>
      <c r="M857">
        <v>1.64317835533963E-3</v>
      </c>
      <c r="N857">
        <v>2023</v>
      </c>
      <c r="O857" t="s">
        <v>13</v>
      </c>
      <c r="P857" t="s">
        <v>192</v>
      </c>
      <c r="Q857" t="s">
        <v>19</v>
      </c>
      <c r="R857" t="s">
        <v>20</v>
      </c>
    </row>
    <row r="858" spans="1:18" x14ac:dyDescent="0.25">
      <c r="A858" t="s">
        <v>190</v>
      </c>
      <c r="B858" t="s">
        <v>1800</v>
      </c>
      <c r="C858" t="s">
        <v>12</v>
      </c>
      <c r="D858">
        <v>2</v>
      </c>
      <c r="E858">
        <v>35</v>
      </c>
      <c r="F858">
        <v>2.91640881050645E-2</v>
      </c>
      <c r="G858">
        <v>508</v>
      </c>
      <c r="H858">
        <v>0.147947586499281</v>
      </c>
      <c r="I858">
        <v>353</v>
      </c>
      <c r="L858">
        <v>7.2711480198131501E-3</v>
      </c>
      <c r="M858">
        <v>5.7209893622845896E-3</v>
      </c>
      <c r="N858">
        <v>2023</v>
      </c>
      <c r="O858" t="s">
        <v>13</v>
      </c>
      <c r="P858" t="s">
        <v>192</v>
      </c>
      <c r="Q858" t="s">
        <v>19</v>
      </c>
      <c r="R858" t="s">
        <v>20</v>
      </c>
    </row>
    <row r="859" spans="1:18" x14ac:dyDescent="0.25">
      <c r="A859" t="s">
        <v>190</v>
      </c>
      <c r="B859" t="s">
        <v>1800</v>
      </c>
      <c r="C859" t="s">
        <v>12</v>
      </c>
      <c r="D859">
        <v>2</v>
      </c>
      <c r="E859">
        <v>45</v>
      </c>
      <c r="F859">
        <v>5.5793935452325701E-2</v>
      </c>
      <c r="G859">
        <v>727</v>
      </c>
      <c r="H859">
        <v>0.18459342921355201</v>
      </c>
      <c r="I859">
        <v>521</v>
      </c>
      <c r="L859">
        <v>9.6073356571952304E-3</v>
      </c>
      <c r="M859">
        <v>7.8579709594827993E-3</v>
      </c>
      <c r="N859">
        <v>2023</v>
      </c>
      <c r="O859" t="s">
        <v>13</v>
      </c>
      <c r="P859" t="s">
        <v>192</v>
      </c>
      <c r="Q859" t="s">
        <v>19</v>
      </c>
      <c r="R859" t="s">
        <v>20</v>
      </c>
    </row>
    <row r="860" spans="1:18" x14ac:dyDescent="0.25">
      <c r="A860" t="s">
        <v>190</v>
      </c>
      <c r="B860" t="s">
        <v>1800</v>
      </c>
      <c r="C860" t="s">
        <v>12</v>
      </c>
      <c r="D860">
        <v>2</v>
      </c>
      <c r="E860">
        <v>55</v>
      </c>
      <c r="F860">
        <v>0.17990918395844099</v>
      </c>
      <c r="G860">
        <v>547</v>
      </c>
      <c r="H860">
        <v>0.23686593053531199</v>
      </c>
      <c r="I860">
        <v>340</v>
      </c>
      <c r="L860">
        <v>1.0110789417161399E-2</v>
      </c>
      <c r="M860">
        <v>1.12722642363015E-2</v>
      </c>
      <c r="N860">
        <v>2023</v>
      </c>
      <c r="O860" t="s">
        <v>13</v>
      </c>
      <c r="P860" t="s">
        <v>192</v>
      </c>
      <c r="Q860" t="s">
        <v>19</v>
      </c>
      <c r="R860" t="s">
        <v>20</v>
      </c>
    </row>
    <row r="861" spans="1:18" x14ac:dyDescent="0.25">
      <c r="A861" t="s">
        <v>190</v>
      </c>
      <c r="B861" t="s">
        <v>1800</v>
      </c>
      <c r="C861" t="s">
        <v>12</v>
      </c>
      <c r="D861">
        <v>2</v>
      </c>
      <c r="E861">
        <v>65</v>
      </c>
      <c r="F861">
        <v>0.36612185548271098</v>
      </c>
      <c r="G861">
        <v>384</v>
      </c>
      <c r="H861">
        <v>0.37773355653950202</v>
      </c>
      <c r="I861">
        <v>181</v>
      </c>
      <c r="L861">
        <v>7.8574767350944805E-3</v>
      </c>
      <c r="M861">
        <v>6.2996020679419503E-3</v>
      </c>
      <c r="N861">
        <v>2023</v>
      </c>
      <c r="O861" t="s">
        <v>13</v>
      </c>
      <c r="P861" t="s">
        <v>192</v>
      </c>
      <c r="Q861" t="s">
        <v>19</v>
      </c>
      <c r="R861" t="s">
        <v>20</v>
      </c>
    </row>
    <row r="862" spans="1:18" x14ac:dyDescent="0.25">
      <c r="A862" t="s">
        <v>190</v>
      </c>
      <c r="B862" t="s">
        <v>1800</v>
      </c>
      <c r="C862" t="s">
        <v>12</v>
      </c>
      <c r="D862">
        <v>1</v>
      </c>
      <c r="E862">
        <v>19</v>
      </c>
      <c r="F862">
        <v>1.3719138427126E-2</v>
      </c>
      <c r="G862">
        <v>82</v>
      </c>
      <c r="H862">
        <v>0.14845092162222101</v>
      </c>
      <c r="I862">
        <v>59</v>
      </c>
      <c r="L862">
        <v>1.0756608966053299E-3</v>
      </c>
      <c r="M862">
        <v>6.6009562163501904E-4</v>
      </c>
      <c r="N862">
        <v>2023</v>
      </c>
      <c r="O862" t="s">
        <v>13</v>
      </c>
      <c r="P862" t="s">
        <v>192</v>
      </c>
      <c r="Q862" t="s">
        <v>19</v>
      </c>
      <c r="R862" t="s">
        <v>20</v>
      </c>
    </row>
    <row r="863" spans="1:18" x14ac:dyDescent="0.25">
      <c r="A863" t="s">
        <v>190</v>
      </c>
      <c r="B863" t="s">
        <v>1800</v>
      </c>
      <c r="C863" t="s">
        <v>12</v>
      </c>
      <c r="D863">
        <v>1</v>
      </c>
      <c r="E863">
        <v>25</v>
      </c>
      <c r="F863">
        <v>8.74642523702732E-3</v>
      </c>
      <c r="G863">
        <v>391</v>
      </c>
      <c r="H863">
        <v>5.7384472749467799E-2</v>
      </c>
      <c r="I863">
        <v>275</v>
      </c>
      <c r="L863">
        <v>9.9056127944879904E-3</v>
      </c>
      <c r="M863">
        <v>1.1075008194950201E-2</v>
      </c>
      <c r="N863">
        <v>2023</v>
      </c>
      <c r="O863" t="s">
        <v>13</v>
      </c>
      <c r="P863" t="s">
        <v>192</v>
      </c>
      <c r="Q863" t="s">
        <v>19</v>
      </c>
      <c r="R863" t="s">
        <v>20</v>
      </c>
    </row>
    <row r="864" spans="1:18" x14ac:dyDescent="0.25">
      <c r="A864" t="s">
        <v>190</v>
      </c>
      <c r="B864" t="s">
        <v>1800</v>
      </c>
      <c r="C864" t="s">
        <v>12</v>
      </c>
      <c r="D864">
        <v>1</v>
      </c>
      <c r="E864">
        <v>35</v>
      </c>
      <c r="F864">
        <v>1.74109368621693E-2</v>
      </c>
      <c r="G864">
        <v>393</v>
      </c>
      <c r="H864">
        <v>0.22050073398938499</v>
      </c>
      <c r="I864">
        <v>263</v>
      </c>
      <c r="L864">
        <v>3.4843302543931401E-3</v>
      </c>
      <c r="M864">
        <v>1.43680267746462E-3</v>
      </c>
      <c r="N864">
        <v>2023</v>
      </c>
      <c r="O864" t="s">
        <v>13</v>
      </c>
      <c r="P864" t="s">
        <v>192</v>
      </c>
      <c r="Q864" t="s">
        <v>19</v>
      </c>
      <c r="R864" t="s">
        <v>20</v>
      </c>
    </row>
    <row r="865" spans="1:18" x14ac:dyDescent="0.25">
      <c r="A865" t="s">
        <v>190</v>
      </c>
      <c r="B865" t="s">
        <v>1800</v>
      </c>
      <c r="C865" t="s">
        <v>12</v>
      </c>
      <c r="D865">
        <v>1</v>
      </c>
      <c r="E865">
        <v>45</v>
      </c>
      <c r="F865">
        <v>0.11284889400897</v>
      </c>
      <c r="G865">
        <v>606</v>
      </c>
      <c r="H865">
        <v>0.18764694569385501</v>
      </c>
      <c r="I865">
        <v>413</v>
      </c>
      <c r="L865">
        <v>6.7837547263989604E-3</v>
      </c>
      <c r="M865">
        <v>7.9711987216658595E-3</v>
      </c>
      <c r="N865">
        <v>2023</v>
      </c>
      <c r="O865" t="s">
        <v>13</v>
      </c>
      <c r="P865" t="s">
        <v>192</v>
      </c>
      <c r="Q865" t="s">
        <v>19</v>
      </c>
      <c r="R865" t="s">
        <v>20</v>
      </c>
    </row>
    <row r="866" spans="1:18" x14ac:dyDescent="0.25">
      <c r="A866" t="s">
        <v>190</v>
      </c>
      <c r="B866" t="s">
        <v>1800</v>
      </c>
      <c r="C866" t="s">
        <v>12</v>
      </c>
      <c r="D866">
        <v>1</v>
      </c>
      <c r="E866">
        <v>55</v>
      </c>
      <c r="F866">
        <v>0.16535549478244899</v>
      </c>
      <c r="G866">
        <v>482</v>
      </c>
      <c r="H866">
        <v>0.30217246944743797</v>
      </c>
      <c r="I866">
        <v>288</v>
      </c>
      <c r="L866">
        <v>5.6051628922491898E-3</v>
      </c>
      <c r="M866">
        <v>4.0832430582385002E-3</v>
      </c>
      <c r="N866">
        <v>2023</v>
      </c>
      <c r="O866" t="s">
        <v>13</v>
      </c>
      <c r="P866" t="s">
        <v>192</v>
      </c>
      <c r="Q866" t="s">
        <v>19</v>
      </c>
      <c r="R866" t="s">
        <v>20</v>
      </c>
    </row>
    <row r="867" spans="1:18" x14ac:dyDescent="0.25">
      <c r="A867" t="s">
        <v>190</v>
      </c>
      <c r="B867" t="s">
        <v>1800</v>
      </c>
      <c r="C867" t="s">
        <v>12</v>
      </c>
      <c r="D867">
        <v>1</v>
      </c>
      <c r="E867">
        <v>65</v>
      </c>
      <c r="F867">
        <v>0.29457047648368001</v>
      </c>
      <c r="G867">
        <v>317</v>
      </c>
      <c r="H867">
        <v>0.34718155505917397</v>
      </c>
      <c r="I867">
        <v>175</v>
      </c>
      <c r="L867">
        <v>6.9754592184249698E-3</v>
      </c>
      <c r="M867">
        <v>5.4829337026614201E-3</v>
      </c>
      <c r="N867">
        <v>2023</v>
      </c>
      <c r="O867" t="s">
        <v>13</v>
      </c>
      <c r="P867" t="s">
        <v>192</v>
      </c>
      <c r="Q867" t="s">
        <v>19</v>
      </c>
      <c r="R867" t="s">
        <v>20</v>
      </c>
    </row>
    <row r="868" spans="1:18" x14ac:dyDescent="0.25">
      <c r="A868" t="s">
        <v>193</v>
      </c>
      <c r="B868" t="s">
        <v>194</v>
      </c>
      <c r="C868" t="s">
        <v>12</v>
      </c>
      <c r="D868">
        <v>2</v>
      </c>
      <c r="E868">
        <v>27.5</v>
      </c>
      <c r="F868">
        <v>0</v>
      </c>
      <c r="G868">
        <v>129</v>
      </c>
      <c r="H868">
        <v>4.6062023799341503E-2</v>
      </c>
      <c r="I868">
        <v>35</v>
      </c>
      <c r="L868">
        <v>3.5485142217682598E-2</v>
      </c>
      <c r="M868">
        <v>0</v>
      </c>
      <c r="N868">
        <v>2012</v>
      </c>
      <c r="O868" t="s">
        <v>13</v>
      </c>
      <c r="P868" t="s">
        <v>195</v>
      </c>
      <c r="Q868" t="s">
        <v>61</v>
      </c>
      <c r="R868" t="s">
        <v>25</v>
      </c>
    </row>
    <row r="869" spans="1:18" x14ac:dyDescent="0.25">
      <c r="A869" t="s">
        <v>193</v>
      </c>
      <c r="B869" t="s">
        <v>194</v>
      </c>
      <c r="C869" t="s">
        <v>12</v>
      </c>
      <c r="D869">
        <v>2</v>
      </c>
      <c r="E869">
        <v>35</v>
      </c>
      <c r="F869">
        <v>1.41342756183746E-2</v>
      </c>
      <c r="G869">
        <v>283</v>
      </c>
      <c r="H869">
        <v>9.1238871098039298E-2</v>
      </c>
      <c r="I869">
        <v>81</v>
      </c>
      <c r="L869">
        <v>1.3356139280273601E-2</v>
      </c>
      <c r="M869">
        <v>1.2126513376847401E-2</v>
      </c>
      <c r="N869">
        <v>2012</v>
      </c>
      <c r="O869" t="s">
        <v>13</v>
      </c>
      <c r="P869" t="s">
        <v>195</v>
      </c>
      <c r="Q869" t="s">
        <v>61</v>
      </c>
      <c r="R869" t="s">
        <v>25</v>
      </c>
    </row>
    <row r="870" spans="1:18" x14ac:dyDescent="0.25">
      <c r="A870" t="s">
        <v>193</v>
      </c>
      <c r="B870" t="s">
        <v>194</v>
      </c>
      <c r="C870" t="s">
        <v>12</v>
      </c>
      <c r="D870">
        <v>2</v>
      </c>
      <c r="E870">
        <v>45</v>
      </c>
      <c r="F870">
        <v>8.1395348837209294E-2</v>
      </c>
      <c r="G870">
        <v>344</v>
      </c>
      <c r="H870">
        <v>0.13830471131323099</v>
      </c>
      <c r="I870">
        <v>114</v>
      </c>
      <c r="L870">
        <v>1.8451431148767201E-2</v>
      </c>
      <c r="M870">
        <v>2.6028171469542598E-2</v>
      </c>
      <c r="N870">
        <v>2012</v>
      </c>
      <c r="O870" t="s">
        <v>13</v>
      </c>
      <c r="P870" t="s">
        <v>195</v>
      </c>
      <c r="Q870" t="s">
        <v>61</v>
      </c>
      <c r="R870" t="s">
        <v>25</v>
      </c>
    </row>
    <row r="871" spans="1:18" x14ac:dyDescent="0.25">
      <c r="A871" t="s">
        <v>193</v>
      </c>
      <c r="B871" t="s">
        <v>194</v>
      </c>
      <c r="C871" t="s">
        <v>12</v>
      </c>
      <c r="D871">
        <v>2</v>
      </c>
      <c r="E871">
        <v>55</v>
      </c>
      <c r="F871">
        <v>0.17670682730923701</v>
      </c>
      <c r="G871">
        <v>249</v>
      </c>
      <c r="H871">
        <v>0.18897512464288699</v>
      </c>
      <c r="I871">
        <v>77</v>
      </c>
      <c r="L871">
        <v>1.29618239738712E-2</v>
      </c>
      <c r="M871">
        <v>1.9254488718202199E-2</v>
      </c>
      <c r="N871">
        <v>2012</v>
      </c>
      <c r="O871" t="s">
        <v>13</v>
      </c>
      <c r="P871" t="s">
        <v>195</v>
      </c>
      <c r="Q871" t="s">
        <v>61</v>
      </c>
      <c r="R871" t="s">
        <v>25</v>
      </c>
    </row>
    <row r="872" spans="1:18" x14ac:dyDescent="0.25">
      <c r="A872" t="s">
        <v>193</v>
      </c>
      <c r="B872" t="s">
        <v>194</v>
      </c>
      <c r="C872" t="s">
        <v>12</v>
      </c>
      <c r="D872">
        <v>2</v>
      </c>
      <c r="E872">
        <v>62.5</v>
      </c>
      <c r="F872">
        <v>0.26446280991735499</v>
      </c>
      <c r="G872">
        <v>121</v>
      </c>
      <c r="H872">
        <v>0.15931739598238401</v>
      </c>
      <c r="I872">
        <v>39</v>
      </c>
      <c r="L872">
        <v>1.3322866862511501E-2</v>
      </c>
      <c r="M872">
        <v>3.3329446024118199E-2</v>
      </c>
      <c r="N872">
        <v>2012</v>
      </c>
      <c r="O872" t="s">
        <v>13</v>
      </c>
      <c r="P872" t="s">
        <v>195</v>
      </c>
      <c r="Q872" t="s">
        <v>61</v>
      </c>
      <c r="R872" t="s">
        <v>25</v>
      </c>
    </row>
    <row r="873" spans="1:18" x14ac:dyDescent="0.25">
      <c r="A873" t="s">
        <v>193</v>
      </c>
      <c r="B873" t="s">
        <v>194</v>
      </c>
      <c r="C873" t="s">
        <v>12</v>
      </c>
      <c r="D873">
        <v>1</v>
      </c>
      <c r="E873">
        <v>27.5</v>
      </c>
      <c r="F873">
        <v>0</v>
      </c>
      <c r="G873">
        <v>84</v>
      </c>
      <c r="H873">
        <v>7.1734796988073297E-3</v>
      </c>
      <c r="I873">
        <v>19</v>
      </c>
      <c r="L873">
        <v>0.123438505905761</v>
      </c>
      <c r="M873">
        <v>0</v>
      </c>
      <c r="N873">
        <v>2012</v>
      </c>
      <c r="O873" t="s">
        <v>13</v>
      </c>
      <c r="P873" t="s">
        <v>195</v>
      </c>
      <c r="Q873" t="s">
        <v>61</v>
      </c>
      <c r="R873" t="s">
        <v>25</v>
      </c>
    </row>
    <row r="874" spans="1:18" x14ac:dyDescent="0.25">
      <c r="A874" t="s">
        <v>193</v>
      </c>
      <c r="B874" t="s">
        <v>194</v>
      </c>
      <c r="C874" t="s">
        <v>12</v>
      </c>
      <c r="D874">
        <v>1</v>
      </c>
      <c r="E874">
        <v>35</v>
      </c>
      <c r="F874">
        <v>0</v>
      </c>
      <c r="G874">
        <v>177</v>
      </c>
      <c r="H874">
        <v>5.0683986845614301E-2</v>
      </c>
      <c r="I874">
        <v>50</v>
      </c>
      <c r="L874">
        <v>1.6124718089826701E-2</v>
      </c>
      <c r="M874">
        <v>0</v>
      </c>
      <c r="N874">
        <v>2012</v>
      </c>
      <c r="O874" t="s">
        <v>13</v>
      </c>
      <c r="P874" t="s">
        <v>195</v>
      </c>
      <c r="Q874" t="s">
        <v>61</v>
      </c>
      <c r="R874" t="s">
        <v>25</v>
      </c>
    </row>
    <row r="875" spans="1:18" x14ac:dyDescent="0.25">
      <c r="A875" t="s">
        <v>193</v>
      </c>
      <c r="B875" t="s">
        <v>194</v>
      </c>
      <c r="C875" t="s">
        <v>12</v>
      </c>
      <c r="D875">
        <v>1</v>
      </c>
      <c r="E875">
        <v>45</v>
      </c>
      <c r="F875">
        <v>4.2424242424242399E-2</v>
      </c>
      <c r="G875">
        <v>165</v>
      </c>
      <c r="H875">
        <v>4.8805768185990799E-2</v>
      </c>
      <c r="I875">
        <v>45</v>
      </c>
      <c r="L875">
        <v>2.8424834959851999E-2</v>
      </c>
      <c r="M875">
        <v>8.7318226905718999E-2</v>
      </c>
      <c r="N875">
        <v>2012</v>
      </c>
      <c r="O875" t="s">
        <v>13</v>
      </c>
      <c r="P875" t="s">
        <v>195</v>
      </c>
      <c r="Q875" t="s">
        <v>61</v>
      </c>
      <c r="R875" t="s">
        <v>25</v>
      </c>
    </row>
    <row r="876" spans="1:18" x14ac:dyDescent="0.25">
      <c r="A876" t="s">
        <v>193</v>
      </c>
      <c r="B876" t="s">
        <v>194</v>
      </c>
      <c r="C876" t="s">
        <v>12</v>
      </c>
      <c r="D876">
        <v>1</v>
      </c>
      <c r="E876">
        <v>55</v>
      </c>
      <c r="F876">
        <v>9.2783505154639206E-2</v>
      </c>
      <c r="G876">
        <v>194</v>
      </c>
      <c r="H876">
        <v>0.14832818649839999</v>
      </c>
      <c r="I876">
        <v>50</v>
      </c>
      <c r="L876">
        <v>1.01505784682269E-2</v>
      </c>
      <c r="M876">
        <v>1.4475003228398901E-2</v>
      </c>
      <c r="N876">
        <v>2012</v>
      </c>
      <c r="O876" t="s">
        <v>13</v>
      </c>
      <c r="P876" t="s">
        <v>195</v>
      </c>
      <c r="Q876" t="s">
        <v>61</v>
      </c>
      <c r="R876" t="s">
        <v>25</v>
      </c>
    </row>
    <row r="877" spans="1:18" x14ac:dyDescent="0.25">
      <c r="A877" t="s">
        <v>193</v>
      </c>
      <c r="B877" t="s">
        <v>194</v>
      </c>
      <c r="C877" t="s">
        <v>12</v>
      </c>
      <c r="D877">
        <v>1</v>
      </c>
      <c r="E877">
        <v>62.5</v>
      </c>
      <c r="F877">
        <v>9.5890410958904104E-2</v>
      </c>
      <c r="G877">
        <v>73</v>
      </c>
      <c r="H877">
        <v>7.6786921169422706E-2</v>
      </c>
      <c r="I877">
        <v>24</v>
      </c>
      <c r="L877">
        <v>2.1681173020556301E-2</v>
      </c>
      <c r="M877">
        <v>6.6083334792085696E-2</v>
      </c>
      <c r="N877">
        <v>2012</v>
      </c>
      <c r="O877" t="s">
        <v>13</v>
      </c>
      <c r="P877" t="s">
        <v>195</v>
      </c>
      <c r="Q877" t="s">
        <v>61</v>
      </c>
      <c r="R877" t="s">
        <v>25</v>
      </c>
    </row>
    <row r="878" spans="1:18" x14ac:dyDescent="0.25">
      <c r="A878" t="s">
        <v>193</v>
      </c>
      <c r="B878" t="s">
        <v>196</v>
      </c>
      <c r="C878" t="s">
        <v>12</v>
      </c>
      <c r="D878">
        <v>2</v>
      </c>
      <c r="E878">
        <v>19</v>
      </c>
      <c r="F878">
        <v>0</v>
      </c>
      <c r="G878">
        <v>37</v>
      </c>
      <c r="H878">
        <v>0.17017777911479201</v>
      </c>
      <c r="I878">
        <v>25</v>
      </c>
      <c r="L878">
        <v>4.44144106787887E-3</v>
      </c>
      <c r="M878">
        <v>0</v>
      </c>
      <c r="N878">
        <v>2020</v>
      </c>
      <c r="O878" t="s">
        <v>13</v>
      </c>
      <c r="P878" t="s">
        <v>195</v>
      </c>
      <c r="Q878" t="s">
        <v>61</v>
      </c>
      <c r="R878" t="s">
        <v>25</v>
      </c>
    </row>
    <row r="879" spans="1:18" x14ac:dyDescent="0.25">
      <c r="A879" t="s">
        <v>193</v>
      </c>
      <c r="B879" t="s">
        <v>196</v>
      </c>
      <c r="C879" t="s">
        <v>12</v>
      </c>
      <c r="D879">
        <v>2</v>
      </c>
      <c r="E879">
        <v>25</v>
      </c>
      <c r="F879">
        <v>6.7511137375133798E-3</v>
      </c>
      <c r="G879">
        <v>251</v>
      </c>
      <c r="H879">
        <v>6.9489515681786199E-2</v>
      </c>
      <c r="I879">
        <v>182</v>
      </c>
      <c r="L879">
        <v>2.5260254435378899E-2</v>
      </c>
      <c r="M879">
        <v>2.07963304965657E-2</v>
      </c>
      <c r="N879">
        <v>2020</v>
      </c>
      <c r="O879" t="s">
        <v>13</v>
      </c>
      <c r="P879" t="s">
        <v>195</v>
      </c>
      <c r="Q879" t="s">
        <v>61</v>
      </c>
      <c r="R879" t="s">
        <v>25</v>
      </c>
    </row>
    <row r="880" spans="1:18" x14ac:dyDescent="0.25">
      <c r="A880" t="s">
        <v>193</v>
      </c>
      <c r="B880" t="s">
        <v>196</v>
      </c>
      <c r="C880" t="s">
        <v>12</v>
      </c>
      <c r="D880">
        <v>2</v>
      </c>
      <c r="E880">
        <v>35</v>
      </c>
      <c r="F880">
        <v>9.1977286782481595E-3</v>
      </c>
      <c r="G880">
        <v>307</v>
      </c>
      <c r="H880">
        <v>0.13077259565358301</v>
      </c>
      <c r="I880">
        <v>206</v>
      </c>
      <c r="L880">
        <v>2.5702701927497702E-2</v>
      </c>
      <c r="M880">
        <v>1.33669550786145E-2</v>
      </c>
      <c r="N880">
        <v>2020</v>
      </c>
      <c r="O880" t="s">
        <v>13</v>
      </c>
      <c r="P880" t="s">
        <v>195</v>
      </c>
      <c r="Q880" t="s">
        <v>61</v>
      </c>
      <c r="R880" t="s">
        <v>25</v>
      </c>
    </row>
    <row r="881" spans="1:18" x14ac:dyDescent="0.25">
      <c r="A881" t="s">
        <v>193</v>
      </c>
      <c r="B881" t="s">
        <v>196</v>
      </c>
      <c r="C881" t="s">
        <v>12</v>
      </c>
      <c r="D881">
        <v>2</v>
      </c>
      <c r="E881">
        <v>45</v>
      </c>
      <c r="F881">
        <v>2.1317313821679E-2</v>
      </c>
      <c r="G881">
        <v>377</v>
      </c>
      <c r="H881">
        <v>0.16451485507870001</v>
      </c>
      <c r="I881">
        <v>226</v>
      </c>
      <c r="L881">
        <v>2.3077804703775101E-2</v>
      </c>
      <c r="M881">
        <v>1.285107335104E-2</v>
      </c>
      <c r="N881">
        <v>2020</v>
      </c>
      <c r="O881" t="s">
        <v>13</v>
      </c>
      <c r="P881" t="s">
        <v>195</v>
      </c>
      <c r="Q881" t="s">
        <v>61</v>
      </c>
      <c r="R881" t="s">
        <v>25</v>
      </c>
    </row>
    <row r="882" spans="1:18" x14ac:dyDescent="0.25">
      <c r="A882" t="s">
        <v>193</v>
      </c>
      <c r="B882" t="s">
        <v>196</v>
      </c>
      <c r="C882" t="s">
        <v>12</v>
      </c>
      <c r="D882">
        <v>2</v>
      </c>
      <c r="E882">
        <v>55</v>
      </c>
      <c r="F882">
        <v>0.13367678343497399</v>
      </c>
      <c r="G882">
        <v>390</v>
      </c>
      <c r="H882">
        <v>0.238067560266575</v>
      </c>
      <c r="I882">
        <v>221</v>
      </c>
      <c r="L882">
        <v>2.2732064314382398E-2</v>
      </c>
      <c r="M882">
        <v>1.9407400908362502E-2</v>
      </c>
      <c r="N882">
        <v>2020</v>
      </c>
      <c r="O882" t="s">
        <v>13</v>
      </c>
      <c r="P882" t="s">
        <v>195</v>
      </c>
      <c r="Q882" t="s">
        <v>61</v>
      </c>
      <c r="R882" t="s">
        <v>25</v>
      </c>
    </row>
    <row r="883" spans="1:18" x14ac:dyDescent="0.25">
      <c r="A883" t="s">
        <v>193</v>
      </c>
      <c r="B883" t="s">
        <v>196</v>
      </c>
      <c r="C883" t="s">
        <v>12</v>
      </c>
      <c r="D883">
        <v>2</v>
      </c>
      <c r="E883">
        <v>65</v>
      </c>
      <c r="F883">
        <v>0.266389089089549</v>
      </c>
      <c r="G883">
        <v>289</v>
      </c>
      <c r="H883">
        <v>0.22802865008001799</v>
      </c>
      <c r="I883">
        <v>143</v>
      </c>
      <c r="L883">
        <v>1.6149451714996901E-2</v>
      </c>
      <c r="M883">
        <v>2.2661089083118199E-2</v>
      </c>
      <c r="N883">
        <v>2020</v>
      </c>
      <c r="O883" t="s">
        <v>13</v>
      </c>
      <c r="P883" t="s">
        <v>195</v>
      </c>
      <c r="Q883" t="s">
        <v>61</v>
      </c>
      <c r="R883" t="s">
        <v>25</v>
      </c>
    </row>
    <row r="884" spans="1:18" x14ac:dyDescent="0.25">
      <c r="A884" t="s">
        <v>193</v>
      </c>
      <c r="B884" t="s">
        <v>196</v>
      </c>
      <c r="C884" t="s">
        <v>12</v>
      </c>
      <c r="D884">
        <v>1</v>
      </c>
      <c r="E884">
        <v>19</v>
      </c>
      <c r="F884">
        <v>0</v>
      </c>
      <c r="G884">
        <v>32</v>
      </c>
      <c r="H884">
        <v>9.7963547839567296E-3</v>
      </c>
      <c r="I884">
        <v>20</v>
      </c>
      <c r="L884">
        <v>0.135740951588495</v>
      </c>
      <c r="M884">
        <v>0</v>
      </c>
      <c r="N884">
        <v>2020</v>
      </c>
      <c r="O884" t="s">
        <v>13</v>
      </c>
      <c r="P884" t="s">
        <v>195</v>
      </c>
      <c r="Q884" t="s">
        <v>61</v>
      </c>
      <c r="R884" t="s">
        <v>25</v>
      </c>
    </row>
    <row r="885" spans="1:18" x14ac:dyDescent="0.25">
      <c r="A885" t="s">
        <v>193</v>
      </c>
      <c r="B885" t="s">
        <v>196</v>
      </c>
      <c r="C885" t="s">
        <v>12</v>
      </c>
      <c r="D885">
        <v>1</v>
      </c>
      <c r="E885">
        <v>25</v>
      </c>
      <c r="F885">
        <v>0</v>
      </c>
      <c r="G885">
        <v>189</v>
      </c>
      <c r="H885">
        <v>5.4243965695193401E-2</v>
      </c>
      <c r="I885">
        <v>121</v>
      </c>
      <c r="L885">
        <v>2.0836971483732501E-2</v>
      </c>
      <c r="M885">
        <v>0</v>
      </c>
      <c r="N885">
        <v>2020</v>
      </c>
      <c r="O885" t="s">
        <v>13</v>
      </c>
      <c r="P885" t="s">
        <v>195</v>
      </c>
      <c r="Q885" t="s">
        <v>61</v>
      </c>
      <c r="R885" t="s">
        <v>25</v>
      </c>
    </row>
    <row r="886" spans="1:18" x14ac:dyDescent="0.25">
      <c r="A886" t="s">
        <v>193</v>
      </c>
      <c r="B886" t="s">
        <v>196</v>
      </c>
      <c r="C886" t="s">
        <v>12</v>
      </c>
      <c r="D886">
        <v>1</v>
      </c>
      <c r="E886">
        <v>35</v>
      </c>
      <c r="F886">
        <v>6.0595300993869202E-3</v>
      </c>
      <c r="G886">
        <v>254</v>
      </c>
      <c r="H886">
        <v>0.112037889539382</v>
      </c>
      <c r="I886">
        <v>169</v>
      </c>
      <c r="L886">
        <v>1.9105116238764399E-2</v>
      </c>
      <c r="M886">
        <v>9.9867671720228895E-3</v>
      </c>
      <c r="N886">
        <v>2020</v>
      </c>
      <c r="O886" t="s">
        <v>13</v>
      </c>
      <c r="P886" t="s">
        <v>195</v>
      </c>
      <c r="Q886" t="s">
        <v>61</v>
      </c>
      <c r="R886" t="s">
        <v>25</v>
      </c>
    </row>
    <row r="887" spans="1:18" x14ac:dyDescent="0.25">
      <c r="A887" t="s">
        <v>193</v>
      </c>
      <c r="B887" t="s">
        <v>196</v>
      </c>
      <c r="C887" t="s">
        <v>12</v>
      </c>
      <c r="D887">
        <v>1</v>
      </c>
      <c r="E887">
        <v>45</v>
      </c>
      <c r="F887">
        <v>3.7315609153297E-2</v>
      </c>
      <c r="G887">
        <v>251</v>
      </c>
      <c r="H887">
        <v>0.119823599625083</v>
      </c>
      <c r="I887">
        <v>157</v>
      </c>
      <c r="L887">
        <v>2.0649749987715401E-2</v>
      </c>
      <c r="M887">
        <v>2.1538660965797402E-2</v>
      </c>
      <c r="N887">
        <v>2020</v>
      </c>
      <c r="O887" t="s">
        <v>13</v>
      </c>
      <c r="P887" t="s">
        <v>195</v>
      </c>
      <c r="Q887" t="s">
        <v>61</v>
      </c>
      <c r="R887" t="s">
        <v>25</v>
      </c>
    </row>
    <row r="888" spans="1:18" x14ac:dyDescent="0.25">
      <c r="A888" t="s">
        <v>193</v>
      </c>
      <c r="B888" t="s">
        <v>196</v>
      </c>
      <c r="C888" t="s">
        <v>12</v>
      </c>
      <c r="D888">
        <v>1</v>
      </c>
      <c r="E888">
        <v>55</v>
      </c>
      <c r="F888">
        <v>4.5881051894881703E-2</v>
      </c>
      <c r="G888">
        <v>307</v>
      </c>
      <c r="H888">
        <v>0.20566053842175699</v>
      </c>
      <c r="I888">
        <v>198</v>
      </c>
      <c r="L888">
        <v>1.90240830196566E-2</v>
      </c>
      <c r="M888">
        <v>1.16692791019198E-2</v>
      </c>
      <c r="N888">
        <v>2020</v>
      </c>
      <c r="O888" t="s">
        <v>13</v>
      </c>
      <c r="P888" t="s">
        <v>195</v>
      </c>
      <c r="Q888" t="s">
        <v>61</v>
      </c>
      <c r="R888" t="s">
        <v>25</v>
      </c>
    </row>
    <row r="889" spans="1:18" x14ac:dyDescent="0.25">
      <c r="A889" t="s">
        <v>193</v>
      </c>
      <c r="B889" t="s">
        <v>196</v>
      </c>
      <c r="C889" t="s">
        <v>12</v>
      </c>
      <c r="D889">
        <v>1</v>
      </c>
      <c r="E889">
        <v>65</v>
      </c>
      <c r="F889">
        <v>0.124956262537645</v>
      </c>
      <c r="G889">
        <v>263</v>
      </c>
      <c r="H889">
        <v>0.25665669197589103</v>
      </c>
      <c r="I889">
        <v>154</v>
      </c>
      <c r="L889">
        <v>1.5864435435577699E-2</v>
      </c>
      <c r="M889">
        <v>1.1777774487266199E-2</v>
      </c>
      <c r="N889">
        <v>2020</v>
      </c>
      <c r="O889" t="s">
        <v>13</v>
      </c>
      <c r="P889" t="s">
        <v>195</v>
      </c>
      <c r="Q889" t="s">
        <v>61</v>
      </c>
      <c r="R889" t="s">
        <v>25</v>
      </c>
    </row>
    <row r="890" spans="1:18" x14ac:dyDescent="0.25">
      <c r="A890" t="s">
        <v>197</v>
      </c>
      <c r="B890" t="s">
        <v>198</v>
      </c>
      <c r="C890" t="s">
        <v>12</v>
      </c>
      <c r="D890">
        <v>2</v>
      </c>
      <c r="E890">
        <v>19</v>
      </c>
      <c r="F890">
        <v>0</v>
      </c>
      <c r="G890">
        <v>74</v>
      </c>
      <c r="H890">
        <v>2.5820375507848901E-2</v>
      </c>
      <c r="I890">
        <v>55</v>
      </c>
      <c r="L890">
        <v>0.108664055959237</v>
      </c>
      <c r="M890">
        <v>0</v>
      </c>
      <c r="N890">
        <v>2014</v>
      </c>
      <c r="O890" t="s">
        <v>13</v>
      </c>
      <c r="P890" t="s">
        <v>199</v>
      </c>
      <c r="Q890" t="s">
        <v>15</v>
      </c>
      <c r="R890" t="s">
        <v>15</v>
      </c>
    </row>
    <row r="891" spans="1:18" x14ac:dyDescent="0.25">
      <c r="A891" t="s">
        <v>197</v>
      </c>
      <c r="B891" t="s">
        <v>198</v>
      </c>
      <c r="C891" t="s">
        <v>12</v>
      </c>
      <c r="D891">
        <v>2</v>
      </c>
      <c r="E891">
        <v>25</v>
      </c>
      <c r="F891">
        <v>0</v>
      </c>
      <c r="G891">
        <v>404</v>
      </c>
      <c r="H891">
        <v>4.9908425307739E-2</v>
      </c>
      <c r="I891">
        <v>320</v>
      </c>
      <c r="L891">
        <v>8.4148075364270297E-2</v>
      </c>
      <c r="M891">
        <v>0</v>
      </c>
      <c r="N891">
        <v>2014</v>
      </c>
      <c r="O891" t="s">
        <v>13</v>
      </c>
      <c r="P891" t="s">
        <v>199</v>
      </c>
      <c r="Q891" t="s">
        <v>15</v>
      </c>
      <c r="R891" t="s">
        <v>15</v>
      </c>
    </row>
    <row r="892" spans="1:18" x14ac:dyDescent="0.25">
      <c r="A892" t="s">
        <v>197</v>
      </c>
      <c r="B892" t="s">
        <v>198</v>
      </c>
      <c r="C892" t="s">
        <v>12</v>
      </c>
      <c r="D892">
        <v>2</v>
      </c>
      <c r="E892">
        <v>35</v>
      </c>
      <c r="F892">
        <v>2.5592544254419699E-2</v>
      </c>
      <c r="G892">
        <v>754</v>
      </c>
      <c r="H892">
        <v>9.1141825063488099E-2</v>
      </c>
      <c r="I892">
        <v>611</v>
      </c>
      <c r="L892">
        <v>6.6782149364308499E-2</v>
      </c>
      <c r="M892">
        <v>7.3141165384510598E-2</v>
      </c>
      <c r="N892">
        <v>2014</v>
      </c>
      <c r="O892" t="s">
        <v>13</v>
      </c>
      <c r="P892" t="s">
        <v>199</v>
      </c>
      <c r="Q892" t="s">
        <v>15</v>
      </c>
      <c r="R892" t="s">
        <v>15</v>
      </c>
    </row>
    <row r="893" spans="1:18" x14ac:dyDescent="0.25">
      <c r="A893" t="s">
        <v>197</v>
      </c>
      <c r="B893" t="s">
        <v>198</v>
      </c>
      <c r="C893" t="s">
        <v>12</v>
      </c>
      <c r="D893">
        <v>2</v>
      </c>
      <c r="E893">
        <v>45</v>
      </c>
      <c r="F893">
        <v>5.6504081130447602E-2</v>
      </c>
      <c r="G893">
        <v>716</v>
      </c>
      <c r="H893">
        <v>0.10867162243435199</v>
      </c>
      <c r="I893">
        <v>565</v>
      </c>
      <c r="L893">
        <v>7.8782175167147306E-2</v>
      </c>
      <c r="M893">
        <v>0.111162455996469</v>
      </c>
      <c r="N893">
        <v>2014</v>
      </c>
      <c r="O893" t="s">
        <v>13</v>
      </c>
      <c r="P893" t="s">
        <v>199</v>
      </c>
      <c r="Q893" t="s">
        <v>15</v>
      </c>
      <c r="R893" t="s">
        <v>15</v>
      </c>
    </row>
    <row r="894" spans="1:18" x14ac:dyDescent="0.25">
      <c r="A894" t="s">
        <v>197</v>
      </c>
      <c r="B894" t="s">
        <v>198</v>
      </c>
      <c r="C894" t="s">
        <v>12</v>
      </c>
      <c r="D894">
        <v>2</v>
      </c>
      <c r="E894">
        <v>55</v>
      </c>
      <c r="F894">
        <v>0.162181689263799</v>
      </c>
      <c r="G894">
        <v>632</v>
      </c>
      <c r="H894">
        <v>0.177143372066421</v>
      </c>
      <c r="I894">
        <v>447</v>
      </c>
      <c r="L894">
        <v>6.3204395551422293E-2</v>
      </c>
      <c r="M894">
        <v>9.0658728450193599E-2</v>
      </c>
      <c r="N894">
        <v>2014</v>
      </c>
      <c r="O894" t="s">
        <v>13</v>
      </c>
      <c r="P894" t="s">
        <v>199</v>
      </c>
      <c r="Q894" t="s">
        <v>15</v>
      </c>
      <c r="R894" t="s">
        <v>15</v>
      </c>
    </row>
    <row r="895" spans="1:18" x14ac:dyDescent="0.25">
      <c r="A895" t="s">
        <v>197</v>
      </c>
      <c r="B895" t="s">
        <v>198</v>
      </c>
      <c r="C895" t="s">
        <v>12</v>
      </c>
      <c r="D895">
        <v>2</v>
      </c>
      <c r="E895">
        <v>65</v>
      </c>
      <c r="F895">
        <v>0.22932071621139599</v>
      </c>
      <c r="G895">
        <v>502</v>
      </c>
      <c r="H895">
        <v>0.21505676170961599</v>
      </c>
      <c r="I895">
        <v>322</v>
      </c>
      <c r="L895">
        <v>6.5185438175882807E-2</v>
      </c>
      <c r="M895">
        <v>8.9061232512086405E-2</v>
      </c>
      <c r="N895">
        <v>2014</v>
      </c>
      <c r="O895" t="s">
        <v>13</v>
      </c>
      <c r="P895" t="s">
        <v>199</v>
      </c>
      <c r="Q895" t="s">
        <v>15</v>
      </c>
      <c r="R895" t="s">
        <v>15</v>
      </c>
    </row>
    <row r="896" spans="1:18" x14ac:dyDescent="0.25">
      <c r="A896" t="s">
        <v>197</v>
      </c>
      <c r="B896" t="s">
        <v>198</v>
      </c>
      <c r="C896" t="s">
        <v>12</v>
      </c>
      <c r="D896">
        <v>1</v>
      </c>
      <c r="E896">
        <v>19</v>
      </c>
      <c r="F896">
        <v>2.2335213825354201E-2</v>
      </c>
      <c r="G896">
        <v>62</v>
      </c>
      <c r="H896">
        <v>3.83557836451335E-2</v>
      </c>
      <c r="I896">
        <v>46</v>
      </c>
      <c r="L896">
        <v>4.7395309699565999E-2</v>
      </c>
      <c r="M896">
        <v>0.116798994327187</v>
      </c>
      <c r="N896">
        <v>2014</v>
      </c>
      <c r="O896" t="s">
        <v>13</v>
      </c>
      <c r="P896" t="s">
        <v>199</v>
      </c>
      <c r="Q896" t="s">
        <v>15</v>
      </c>
      <c r="R896" t="s">
        <v>15</v>
      </c>
    </row>
    <row r="897" spans="1:18" x14ac:dyDescent="0.25">
      <c r="A897" t="s">
        <v>197</v>
      </c>
      <c r="B897" t="s">
        <v>198</v>
      </c>
      <c r="C897" t="s">
        <v>12</v>
      </c>
      <c r="D897">
        <v>1</v>
      </c>
      <c r="E897">
        <v>25</v>
      </c>
      <c r="F897">
        <v>0</v>
      </c>
      <c r="G897">
        <v>231</v>
      </c>
      <c r="H897">
        <v>5.2022471786762198E-2</v>
      </c>
      <c r="I897">
        <v>172</v>
      </c>
      <c r="L897">
        <v>8.0150970325761101E-2</v>
      </c>
      <c r="M897">
        <v>0</v>
      </c>
      <c r="N897">
        <v>2014</v>
      </c>
      <c r="O897" t="s">
        <v>13</v>
      </c>
      <c r="P897" t="s">
        <v>199</v>
      </c>
      <c r="Q897" t="s">
        <v>15</v>
      </c>
      <c r="R897" t="s">
        <v>15</v>
      </c>
    </row>
    <row r="898" spans="1:18" x14ac:dyDescent="0.25">
      <c r="A898" t="s">
        <v>197</v>
      </c>
      <c r="B898" t="s">
        <v>198</v>
      </c>
      <c r="C898" t="s">
        <v>12</v>
      </c>
      <c r="D898">
        <v>1</v>
      </c>
      <c r="E898">
        <v>35</v>
      </c>
      <c r="F898">
        <v>2.6356810268111E-2</v>
      </c>
      <c r="G898">
        <v>437</v>
      </c>
      <c r="H898">
        <v>7.5712634156639105E-2</v>
      </c>
      <c r="I898">
        <v>342</v>
      </c>
      <c r="L898">
        <v>7.5798109507536696E-2</v>
      </c>
      <c r="M898">
        <v>0.103435513380632</v>
      </c>
      <c r="N898">
        <v>2014</v>
      </c>
      <c r="O898" t="s">
        <v>13</v>
      </c>
      <c r="P898" t="s">
        <v>199</v>
      </c>
      <c r="Q898" t="s">
        <v>15</v>
      </c>
      <c r="R898" t="s">
        <v>15</v>
      </c>
    </row>
    <row r="899" spans="1:18" x14ac:dyDescent="0.25">
      <c r="A899" t="s">
        <v>197</v>
      </c>
      <c r="B899" t="s">
        <v>198</v>
      </c>
      <c r="C899" t="s">
        <v>12</v>
      </c>
      <c r="D899">
        <v>1</v>
      </c>
      <c r="E899">
        <v>45</v>
      </c>
      <c r="F899">
        <v>9.31839228710587E-2</v>
      </c>
      <c r="G899">
        <v>497</v>
      </c>
      <c r="H899">
        <v>0.130033924710587</v>
      </c>
      <c r="I899">
        <v>365</v>
      </c>
      <c r="L899">
        <v>4.9527802590572399E-2</v>
      </c>
      <c r="M899">
        <v>7.2699495890081497E-2</v>
      </c>
      <c r="N899">
        <v>2014</v>
      </c>
      <c r="O899" t="s">
        <v>13</v>
      </c>
      <c r="P899" t="s">
        <v>199</v>
      </c>
      <c r="Q899" t="s">
        <v>15</v>
      </c>
      <c r="R899" t="s">
        <v>15</v>
      </c>
    </row>
    <row r="900" spans="1:18" x14ac:dyDescent="0.25">
      <c r="A900" t="s">
        <v>197</v>
      </c>
      <c r="B900" t="s">
        <v>198</v>
      </c>
      <c r="C900" t="s">
        <v>12</v>
      </c>
      <c r="D900">
        <v>1</v>
      </c>
      <c r="E900">
        <v>55</v>
      </c>
      <c r="F900">
        <v>0.118866595572101</v>
      </c>
      <c r="G900">
        <v>426</v>
      </c>
      <c r="H900">
        <v>0.178504127273724</v>
      </c>
      <c r="I900">
        <v>309</v>
      </c>
      <c r="L900">
        <v>6.1035277378620599E-2</v>
      </c>
      <c r="M900">
        <v>7.1257744079584406E-2</v>
      </c>
      <c r="N900">
        <v>2014</v>
      </c>
      <c r="O900" t="s">
        <v>13</v>
      </c>
      <c r="P900" t="s">
        <v>199</v>
      </c>
      <c r="Q900" t="s">
        <v>15</v>
      </c>
      <c r="R900" t="s">
        <v>15</v>
      </c>
    </row>
    <row r="901" spans="1:18" x14ac:dyDescent="0.25">
      <c r="A901" t="s">
        <v>197</v>
      </c>
      <c r="B901" t="s">
        <v>198</v>
      </c>
      <c r="C901" t="s">
        <v>12</v>
      </c>
      <c r="D901">
        <v>1</v>
      </c>
      <c r="E901">
        <v>65</v>
      </c>
      <c r="F901">
        <v>0.13123976823598901</v>
      </c>
      <c r="G901">
        <v>364</v>
      </c>
      <c r="H901">
        <v>0.180147213026493</v>
      </c>
      <c r="I901">
        <v>260</v>
      </c>
      <c r="L901">
        <v>7.5847859498422696E-2</v>
      </c>
      <c r="M901">
        <v>9.7263638452197501E-2</v>
      </c>
      <c r="N901">
        <v>2014</v>
      </c>
      <c r="O901" t="s">
        <v>13</v>
      </c>
      <c r="P901" t="s">
        <v>199</v>
      </c>
      <c r="Q901" t="s">
        <v>15</v>
      </c>
      <c r="R901" t="s">
        <v>15</v>
      </c>
    </row>
    <row r="902" spans="1:18" x14ac:dyDescent="0.25">
      <c r="A902" t="s">
        <v>197</v>
      </c>
      <c r="B902" t="s">
        <v>200</v>
      </c>
      <c r="C902" t="s">
        <v>12</v>
      </c>
      <c r="D902">
        <v>2</v>
      </c>
      <c r="E902">
        <v>19</v>
      </c>
      <c r="F902">
        <v>0</v>
      </c>
      <c r="G902">
        <v>32</v>
      </c>
      <c r="H902">
        <v>6.7973954577910195E-2</v>
      </c>
      <c r="I902">
        <v>19</v>
      </c>
      <c r="L902">
        <v>8.7510749591455703E-2</v>
      </c>
      <c r="M902">
        <v>0</v>
      </c>
      <c r="N902">
        <v>2021</v>
      </c>
      <c r="O902" t="s">
        <v>13</v>
      </c>
      <c r="P902" t="s">
        <v>199</v>
      </c>
      <c r="Q902" t="s">
        <v>15</v>
      </c>
      <c r="R902" t="s">
        <v>15</v>
      </c>
    </row>
    <row r="903" spans="1:18" x14ac:dyDescent="0.25">
      <c r="A903" t="s">
        <v>197</v>
      </c>
      <c r="B903" t="s">
        <v>200</v>
      </c>
      <c r="C903" t="s">
        <v>12</v>
      </c>
      <c r="D903">
        <v>2</v>
      </c>
      <c r="E903">
        <v>25</v>
      </c>
      <c r="F903">
        <v>2.1314416246149201E-3</v>
      </c>
      <c r="G903">
        <v>537</v>
      </c>
      <c r="H903">
        <v>7.1407328342917603E-2</v>
      </c>
      <c r="I903">
        <v>389</v>
      </c>
      <c r="L903">
        <v>0.13807769927321301</v>
      </c>
      <c r="M903">
        <v>8.0338943337470603E-2</v>
      </c>
      <c r="N903">
        <v>2021</v>
      </c>
      <c r="O903" t="s">
        <v>13</v>
      </c>
      <c r="P903" t="s">
        <v>199</v>
      </c>
      <c r="Q903" t="s">
        <v>15</v>
      </c>
      <c r="R903" t="s">
        <v>15</v>
      </c>
    </row>
    <row r="904" spans="1:18" x14ac:dyDescent="0.25">
      <c r="A904" t="s">
        <v>197</v>
      </c>
      <c r="B904" t="s">
        <v>200</v>
      </c>
      <c r="C904" t="s">
        <v>12</v>
      </c>
      <c r="D904">
        <v>2</v>
      </c>
      <c r="E904">
        <v>35</v>
      </c>
      <c r="F904">
        <v>3.4895826148560898E-2</v>
      </c>
      <c r="G904">
        <v>790</v>
      </c>
      <c r="H904">
        <v>0.13749833298744801</v>
      </c>
      <c r="I904">
        <v>595</v>
      </c>
      <c r="L904">
        <v>9.7627528117103901E-2</v>
      </c>
      <c r="M904">
        <v>8.4416911507523298E-2</v>
      </c>
      <c r="N904">
        <v>2021</v>
      </c>
      <c r="O904" t="s">
        <v>13</v>
      </c>
      <c r="P904" t="s">
        <v>199</v>
      </c>
      <c r="Q904" t="s">
        <v>15</v>
      </c>
      <c r="R904" t="s">
        <v>15</v>
      </c>
    </row>
    <row r="905" spans="1:18" x14ac:dyDescent="0.25">
      <c r="A905" t="s">
        <v>197</v>
      </c>
      <c r="B905" t="s">
        <v>200</v>
      </c>
      <c r="C905" t="s">
        <v>12</v>
      </c>
      <c r="D905">
        <v>2</v>
      </c>
      <c r="E905">
        <v>45</v>
      </c>
      <c r="F905">
        <v>9.3400609374872101E-2</v>
      </c>
      <c r="G905">
        <v>907</v>
      </c>
      <c r="H905">
        <v>0.244916481062354</v>
      </c>
      <c r="I905">
        <v>638</v>
      </c>
      <c r="L905">
        <v>7.2912230943573894E-2</v>
      </c>
      <c r="M905">
        <v>4.8191458774942297E-2</v>
      </c>
      <c r="N905">
        <v>2021</v>
      </c>
      <c r="O905" t="s">
        <v>13</v>
      </c>
      <c r="P905" t="s">
        <v>199</v>
      </c>
      <c r="Q905" t="s">
        <v>15</v>
      </c>
      <c r="R905" t="s">
        <v>15</v>
      </c>
    </row>
    <row r="906" spans="1:18" x14ac:dyDescent="0.25">
      <c r="A906" t="s">
        <v>197</v>
      </c>
      <c r="B906" t="s">
        <v>200</v>
      </c>
      <c r="C906" t="s">
        <v>12</v>
      </c>
      <c r="D906">
        <v>2</v>
      </c>
      <c r="E906">
        <v>55</v>
      </c>
      <c r="F906">
        <v>0.19079865705754401</v>
      </c>
      <c r="G906">
        <v>781</v>
      </c>
      <c r="H906">
        <v>0.30121183408656999</v>
      </c>
      <c r="I906">
        <v>505</v>
      </c>
      <c r="L906">
        <v>7.3196923272389899E-2</v>
      </c>
      <c r="M906">
        <v>5.2790235353487799E-2</v>
      </c>
      <c r="N906">
        <v>2021</v>
      </c>
      <c r="O906" t="s">
        <v>13</v>
      </c>
      <c r="P906" t="s">
        <v>199</v>
      </c>
      <c r="Q906" t="s">
        <v>15</v>
      </c>
      <c r="R906" t="s">
        <v>15</v>
      </c>
    </row>
    <row r="907" spans="1:18" x14ac:dyDescent="0.25">
      <c r="A907" t="s">
        <v>197</v>
      </c>
      <c r="B907" t="s">
        <v>200</v>
      </c>
      <c r="C907" t="s">
        <v>12</v>
      </c>
      <c r="D907">
        <v>2</v>
      </c>
      <c r="E907">
        <v>65</v>
      </c>
      <c r="F907">
        <v>0.22951923647688099</v>
      </c>
      <c r="G907">
        <v>720</v>
      </c>
      <c r="H907">
        <v>0.35303707665414402</v>
      </c>
      <c r="I907">
        <v>472</v>
      </c>
      <c r="L907">
        <v>8.0754703800221497E-2</v>
      </c>
      <c r="M907">
        <v>4.9784797446217499E-2</v>
      </c>
      <c r="N907">
        <v>2021</v>
      </c>
      <c r="O907" t="s">
        <v>13</v>
      </c>
      <c r="P907" t="s">
        <v>199</v>
      </c>
      <c r="Q907" t="s">
        <v>15</v>
      </c>
      <c r="R907" t="s">
        <v>15</v>
      </c>
    </row>
    <row r="908" spans="1:18" x14ac:dyDescent="0.25">
      <c r="A908" t="s">
        <v>197</v>
      </c>
      <c r="B908" t="s">
        <v>200</v>
      </c>
      <c r="C908" t="s">
        <v>12</v>
      </c>
      <c r="D908">
        <v>1</v>
      </c>
      <c r="E908">
        <v>19</v>
      </c>
      <c r="F908">
        <v>0</v>
      </c>
      <c r="G908">
        <v>34</v>
      </c>
      <c r="H908">
        <v>3.1046114332867698E-2</v>
      </c>
      <c r="I908">
        <v>17</v>
      </c>
      <c r="L908">
        <v>0.18380326357465299</v>
      </c>
      <c r="M908">
        <v>0</v>
      </c>
      <c r="N908">
        <v>2021</v>
      </c>
      <c r="O908" t="s">
        <v>13</v>
      </c>
      <c r="P908" t="s">
        <v>199</v>
      </c>
      <c r="Q908" t="s">
        <v>15</v>
      </c>
      <c r="R908" t="s">
        <v>15</v>
      </c>
    </row>
    <row r="909" spans="1:18" x14ac:dyDescent="0.25">
      <c r="A909" t="s">
        <v>197</v>
      </c>
      <c r="B909" t="s">
        <v>200</v>
      </c>
      <c r="C909" t="s">
        <v>12</v>
      </c>
      <c r="D909">
        <v>1</v>
      </c>
      <c r="E909">
        <v>25</v>
      </c>
      <c r="F909">
        <v>3.5658483693517401E-3</v>
      </c>
      <c r="G909">
        <v>381</v>
      </c>
      <c r="H909">
        <v>6.5492666331335506E-2</v>
      </c>
      <c r="I909">
        <v>234</v>
      </c>
      <c r="L909">
        <v>0.101995468346949</v>
      </c>
      <c r="M909">
        <v>6.9627244555985707E-2</v>
      </c>
      <c r="N909">
        <v>2021</v>
      </c>
      <c r="O909" t="s">
        <v>13</v>
      </c>
      <c r="P909" t="s">
        <v>199</v>
      </c>
      <c r="Q909" t="s">
        <v>15</v>
      </c>
      <c r="R909" t="s">
        <v>15</v>
      </c>
    </row>
    <row r="910" spans="1:18" x14ac:dyDescent="0.25">
      <c r="A910" t="s">
        <v>197</v>
      </c>
      <c r="B910" t="s">
        <v>200</v>
      </c>
      <c r="C910" t="s">
        <v>12</v>
      </c>
      <c r="D910">
        <v>1</v>
      </c>
      <c r="E910">
        <v>35</v>
      </c>
      <c r="F910">
        <v>4.1232083847088798E-2</v>
      </c>
      <c r="G910">
        <v>434</v>
      </c>
      <c r="H910">
        <v>0.16976148235330299</v>
      </c>
      <c r="I910">
        <v>280</v>
      </c>
      <c r="L910">
        <v>5.8606206084536802E-2</v>
      </c>
      <c r="M910">
        <v>4.0997133086392502E-2</v>
      </c>
      <c r="N910">
        <v>2021</v>
      </c>
      <c r="O910" t="s">
        <v>13</v>
      </c>
      <c r="P910" t="s">
        <v>199</v>
      </c>
      <c r="Q910" t="s">
        <v>15</v>
      </c>
      <c r="R910" t="s">
        <v>15</v>
      </c>
    </row>
    <row r="911" spans="1:18" x14ac:dyDescent="0.25">
      <c r="A911" t="s">
        <v>197</v>
      </c>
      <c r="B911" t="s">
        <v>200</v>
      </c>
      <c r="C911" t="s">
        <v>12</v>
      </c>
      <c r="D911">
        <v>1</v>
      </c>
      <c r="E911">
        <v>45</v>
      </c>
      <c r="F911">
        <v>9.6358042797528604E-2</v>
      </c>
      <c r="G911">
        <v>622</v>
      </c>
      <c r="H911">
        <v>0.19587377114523999</v>
      </c>
      <c r="I911">
        <v>393</v>
      </c>
      <c r="L911">
        <v>7.23675369453117E-2</v>
      </c>
      <c r="M911">
        <v>6.6148393557846394E-2</v>
      </c>
      <c r="N911">
        <v>2021</v>
      </c>
      <c r="O911" t="s">
        <v>13</v>
      </c>
      <c r="P911" t="s">
        <v>199</v>
      </c>
      <c r="Q911" t="s">
        <v>15</v>
      </c>
      <c r="R911" t="s">
        <v>15</v>
      </c>
    </row>
    <row r="912" spans="1:18" x14ac:dyDescent="0.25">
      <c r="A912" t="s">
        <v>197</v>
      </c>
      <c r="B912" t="s">
        <v>200</v>
      </c>
      <c r="C912" t="s">
        <v>12</v>
      </c>
      <c r="D912">
        <v>1</v>
      </c>
      <c r="E912">
        <v>55</v>
      </c>
      <c r="F912">
        <v>0.18225078692687699</v>
      </c>
      <c r="G912">
        <v>507</v>
      </c>
      <c r="H912">
        <v>0.29033084749108801</v>
      </c>
      <c r="I912">
        <v>324</v>
      </c>
      <c r="L912">
        <v>5.3571024196042198E-2</v>
      </c>
      <c r="M912">
        <v>3.8041766268120399E-2</v>
      </c>
      <c r="N912">
        <v>2021</v>
      </c>
      <c r="O912" t="s">
        <v>13</v>
      </c>
      <c r="P912" t="s">
        <v>199</v>
      </c>
      <c r="Q912" t="s">
        <v>15</v>
      </c>
      <c r="R912" t="s">
        <v>15</v>
      </c>
    </row>
    <row r="913" spans="1:18" x14ac:dyDescent="0.25">
      <c r="A913" t="s">
        <v>197</v>
      </c>
      <c r="B913" t="s">
        <v>200</v>
      </c>
      <c r="C913" t="s">
        <v>12</v>
      </c>
      <c r="D913">
        <v>1</v>
      </c>
      <c r="E913">
        <v>65</v>
      </c>
      <c r="F913">
        <v>0.17695964384401799</v>
      </c>
      <c r="G913">
        <v>469</v>
      </c>
      <c r="H913">
        <v>0.31710038266405599</v>
      </c>
      <c r="I913">
        <v>320</v>
      </c>
      <c r="L913">
        <v>7.9302910580314107E-2</v>
      </c>
      <c r="M913">
        <v>5.0798475689580798E-2</v>
      </c>
      <c r="N913">
        <v>2021</v>
      </c>
      <c r="O913" t="s">
        <v>13</v>
      </c>
      <c r="P913" t="s">
        <v>199</v>
      </c>
      <c r="Q913" t="s">
        <v>15</v>
      </c>
      <c r="R913" t="s">
        <v>15</v>
      </c>
    </row>
    <row r="914" spans="1:18" x14ac:dyDescent="0.25">
      <c r="A914" t="s">
        <v>201</v>
      </c>
      <c r="B914" t="s">
        <v>202</v>
      </c>
      <c r="C914" t="s">
        <v>12</v>
      </c>
      <c r="D914">
        <v>2</v>
      </c>
      <c r="E914">
        <v>27.5</v>
      </c>
      <c r="F914">
        <v>0</v>
      </c>
      <c r="G914">
        <v>268</v>
      </c>
      <c r="H914">
        <v>2.53259116060967E-2</v>
      </c>
      <c r="I914">
        <v>224</v>
      </c>
      <c r="L914">
        <v>3.8976054555917801E-2</v>
      </c>
      <c r="M914">
        <v>0</v>
      </c>
      <c r="N914">
        <v>2012</v>
      </c>
      <c r="O914" t="s">
        <v>13</v>
      </c>
      <c r="P914" t="s">
        <v>203</v>
      </c>
      <c r="Q914" t="s">
        <v>94</v>
      </c>
      <c r="R914" t="s">
        <v>44</v>
      </c>
    </row>
    <row r="915" spans="1:18" x14ac:dyDescent="0.25">
      <c r="A915" t="s">
        <v>201</v>
      </c>
      <c r="B915" t="s">
        <v>202</v>
      </c>
      <c r="C915" t="s">
        <v>12</v>
      </c>
      <c r="D915">
        <v>2</v>
      </c>
      <c r="E915">
        <v>35</v>
      </c>
      <c r="F915">
        <v>1.1671990520825E-3</v>
      </c>
      <c r="G915">
        <v>347</v>
      </c>
      <c r="H915">
        <v>2.69235997807185E-2</v>
      </c>
      <c r="I915">
        <v>305</v>
      </c>
      <c r="L915">
        <v>6.3270942350782705E-2</v>
      </c>
      <c r="M915">
        <v>6.03096720221682E-2</v>
      </c>
      <c r="N915">
        <v>2012</v>
      </c>
      <c r="O915" t="s">
        <v>13</v>
      </c>
      <c r="P915" t="s">
        <v>203</v>
      </c>
      <c r="Q915" t="s">
        <v>94</v>
      </c>
      <c r="R915" t="s">
        <v>44</v>
      </c>
    </row>
    <row r="916" spans="1:18" x14ac:dyDescent="0.25">
      <c r="A916" t="s">
        <v>201</v>
      </c>
      <c r="B916" t="s">
        <v>202</v>
      </c>
      <c r="C916" t="s">
        <v>12</v>
      </c>
      <c r="D916">
        <v>2</v>
      </c>
      <c r="E916">
        <v>45</v>
      </c>
      <c r="F916">
        <v>3.8027539832840698E-2</v>
      </c>
      <c r="G916">
        <v>344</v>
      </c>
      <c r="H916">
        <v>6.0227116049221201E-2</v>
      </c>
      <c r="I916">
        <v>292</v>
      </c>
      <c r="L916">
        <v>3.44897719183173E-2</v>
      </c>
      <c r="M916">
        <v>8.4056408975499805E-2</v>
      </c>
      <c r="N916">
        <v>2012</v>
      </c>
      <c r="O916" t="s">
        <v>13</v>
      </c>
      <c r="P916" t="s">
        <v>203</v>
      </c>
      <c r="Q916" t="s">
        <v>94</v>
      </c>
      <c r="R916" t="s">
        <v>44</v>
      </c>
    </row>
    <row r="917" spans="1:18" x14ac:dyDescent="0.25">
      <c r="A917" t="s">
        <v>201</v>
      </c>
      <c r="B917" t="s">
        <v>202</v>
      </c>
      <c r="C917" t="s">
        <v>12</v>
      </c>
      <c r="D917">
        <v>2</v>
      </c>
      <c r="E917">
        <v>55</v>
      </c>
      <c r="F917">
        <v>5.3722171874494698E-2</v>
      </c>
      <c r="G917">
        <v>365</v>
      </c>
      <c r="H917">
        <v>9.3334670080403706E-2</v>
      </c>
      <c r="I917">
        <v>298</v>
      </c>
      <c r="L917">
        <v>3.8815239328001003E-2</v>
      </c>
      <c r="M917">
        <v>6.8070768886190999E-2</v>
      </c>
      <c r="N917">
        <v>2012</v>
      </c>
      <c r="O917" t="s">
        <v>13</v>
      </c>
      <c r="P917" t="s">
        <v>203</v>
      </c>
      <c r="Q917" t="s">
        <v>94</v>
      </c>
      <c r="R917" t="s">
        <v>44</v>
      </c>
    </row>
    <row r="918" spans="1:18" x14ac:dyDescent="0.25">
      <c r="A918" t="s">
        <v>201</v>
      </c>
      <c r="B918" t="s">
        <v>202</v>
      </c>
      <c r="C918" t="s">
        <v>12</v>
      </c>
      <c r="D918">
        <v>2</v>
      </c>
      <c r="E918">
        <v>62.5</v>
      </c>
      <c r="F918">
        <v>5.4230846937540003E-2</v>
      </c>
      <c r="G918">
        <v>168</v>
      </c>
      <c r="H918">
        <v>9.6667604222841902E-2</v>
      </c>
      <c r="I918">
        <v>142</v>
      </c>
      <c r="L918">
        <v>4.28682902107781E-2</v>
      </c>
      <c r="M918">
        <v>7.8133163063350497E-2</v>
      </c>
      <c r="N918">
        <v>2012</v>
      </c>
      <c r="O918" t="s">
        <v>13</v>
      </c>
      <c r="P918" t="s">
        <v>203</v>
      </c>
      <c r="Q918" t="s">
        <v>94</v>
      </c>
      <c r="R918" t="s">
        <v>44</v>
      </c>
    </row>
    <row r="919" spans="1:18" x14ac:dyDescent="0.25">
      <c r="A919" t="s">
        <v>201</v>
      </c>
      <c r="B919" t="s">
        <v>202</v>
      </c>
      <c r="C919" t="s">
        <v>12</v>
      </c>
      <c r="D919">
        <v>1</v>
      </c>
      <c r="E919">
        <v>27.5</v>
      </c>
      <c r="F919">
        <v>0</v>
      </c>
      <c r="G919">
        <v>126</v>
      </c>
      <c r="H919">
        <v>1.9682130551102101E-2</v>
      </c>
      <c r="I919">
        <v>108</v>
      </c>
      <c r="L919">
        <v>3.4584927165831301E-2</v>
      </c>
      <c r="M919">
        <v>0</v>
      </c>
      <c r="N919">
        <v>2012</v>
      </c>
      <c r="O919" t="s">
        <v>13</v>
      </c>
      <c r="P919" t="s">
        <v>203</v>
      </c>
      <c r="Q919" t="s">
        <v>94</v>
      </c>
      <c r="R919" t="s">
        <v>44</v>
      </c>
    </row>
    <row r="920" spans="1:18" x14ac:dyDescent="0.25">
      <c r="A920" t="s">
        <v>201</v>
      </c>
      <c r="B920" t="s">
        <v>202</v>
      </c>
      <c r="C920" t="s">
        <v>12</v>
      </c>
      <c r="D920">
        <v>1</v>
      </c>
      <c r="E920">
        <v>35</v>
      </c>
      <c r="F920">
        <v>0</v>
      </c>
      <c r="G920">
        <v>229</v>
      </c>
      <c r="H920">
        <v>2.3201205417548498E-2</v>
      </c>
      <c r="I920">
        <v>202</v>
      </c>
      <c r="L920">
        <v>3.6363827241326203E-2</v>
      </c>
      <c r="M920">
        <v>0</v>
      </c>
      <c r="N920">
        <v>2012</v>
      </c>
      <c r="O920" t="s">
        <v>13</v>
      </c>
      <c r="P920" t="s">
        <v>203</v>
      </c>
      <c r="Q920" t="s">
        <v>94</v>
      </c>
      <c r="R920" t="s">
        <v>44</v>
      </c>
    </row>
    <row r="921" spans="1:18" x14ac:dyDescent="0.25">
      <c r="A921" t="s">
        <v>201</v>
      </c>
      <c r="B921" t="s">
        <v>202</v>
      </c>
      <c r="C921" t="s">
        <v>12</v>
      </c>
      <c r="D921">
        <v>1</v>
      </c>
      <c r="E921">
        <v>45</v>
      </c>
      <c r="F921">
        <v>6.1210305820056697E-3</v>
      </c>
      <c r="G921">
        <v>168</v>
      </c>
      <c r="H921">
        <v>2.0667996907503199E-2</v>
      </c>
      <c r="I921">
        <v>140</v>
      </c>
      <c r="L921">
        <v>5.3169924944749897E-2</v>
      </c>
      <c r="M921">
        <v>0.123503601055183</v>
      </c>
      <c r="N921">
        <v>2012</v>
      </c>
      <c r="O921" t="s">
        <v>13</v>
      </c>
      <c r="P921" t="s">
        <v>203</v>
      </c>
      <c r="Q921" t="s">
        <v>94</v>
      </c>
      <c r="R921" t="s">
        <v>44</v>
      </c>
    </row>
    <row r="922" spans="1:18" x14ac:dyDescent="0.25">
      <c r="A922" t="s">
        <v>201</v>
      </c>
      <c r="B922" t="s">
        <v>202</v>
      </c>
      <c r="C922" t="s">
        <v>12</v>
      </c>
      <c r="D922">
        <v>1</v>
      </c>
      <c r="E922">
        <v>55</v>
      </c>
      <c r="F922">
        <v>1.8976252360831999E-2</v>
      </c>
      <c r="G922">
        <v>152</v>
      </c>
      <c r="H922">
        <v>6.1837671976604398E-2</v>
      </c>
      <c r="I922">
        <v>136</v>
      </c>
      <c r="L922">
        <v>2.77263204447794E-2</v>
      </c>
      <c r="M922">
        <v>4.1252191455076803E-2</v>
      </c>
      <c r="N922">
        <v>2012</v>
      </c>
      <c r="O922" t="s">
        <v>13</v>
      </c>
      <c r="P922" t="s">
        <v>203</v>
      </c>
      <c r="Q922" t="s">
        <v>94</v>
      </c>
      <c r="R922" t="s">
        <v>44</v>
      </c>
    </row>
    <row r="923" spans="1:18" x14ac:dyDescent="0.25">
      <c r="A923" t="s">
        <v>201</v>
      </c>
      <c r="B923" t="s">
        <v>202</v>
      </c>
      <c r="C923" t="s">
        <v>12</v>
      </c>
      <c r="D923">
        <v>1</v>
      </c>
      <c r="E923">
        <v>62.5</v>
      </c>
      <c r="F923">
        <v>1.50646993334332E-2</v>
      </c>
      <c r="G923">
        <v>99</v>
      </c>
      <c r="H923">
        <v>9.1569577029472202E-2</v>
      </c>
      <c r="I923">
        <v>87</v>
      </c>
      <c r="L923">
        <v>2.3305348769369499E-2</v>
      </c>
      <c r="M923">
        <v>2.15319351372989E-2</v>
      </c>
      <c r="N923">
        <v>2012</v>
      </c>
      <c r="O923" t="s">
        <v>13</v>
      </c>
      <c r="P923" t="s">
        <v>203</v>
      </c>
      <c r="Q923" t="s">
        <v>94</v>
      </c>
      <c r="R923" t="s">
        <v>44</v>
      </c>
    </row>
    <row r="924" spans="1:18" x14ac:dyDescent="0.25">
      <c r="A924" t="s">
        <v>204</v>
      </c>
      <c r="B924" t="s">
        <v>205</v>
      </c>
      <c r="C924" t="s">
        <v>12</v>
      </c>
      <c r="D924">
        <v>2</v>
      </c>
      <c r="E924">
        <v>19</v>
      </c>
      <c r="F924">
        <v>0</v>
      </c>
      <c r="G924">
        <v>89</v>
      </c>
      <c r="H924">
        <v>7.0236012720183996E-2</v>
      </c>
      <c r="I924">
        <v>80</v>
      </c>
      <c r="L924">
        <v>1.55919937823396E-2</v>
      </c>
      <c r="M924">
        <v>0</v>
      </c>
      <c r="N924">
        <v>2017</v>
      </c>
      <c r="O924" t="s">
        <v>13</v>
      </c>
      <c r="P924" t="s">
        <v>206</v>
      </c>
      <c r="Q924" t="s">
        <v>19</v>
      </c>
      <c r="R924" t="s">
        <v>20</v>
      </c>
    </row>
    <row r="925" spans="1:18" x14ac:dyDescent="0.25">
      <c r="A925" t="s">
        <v>204</v>
      </c>
      <c r="B925" t="s">
        <v>205</v>
      </c>
      <c r="C925" t="s">
        <v>12</v>
      </c>
      <c r="D925">
        <v>2</v>
      </c>
      <c r="E925">
        <v>25</v>
      </c>
      <c r="F925">
        <v>6.4812919568639502E-3</v>
      </c>
      <c r="G925">
        <v>568</v>
      </c>
      <c r="H925">
        <v>5.3968364026317099E-2</v>
      </c>
      <c r="I925">
        <v>477</v>
      </c>
      <c r="L925">
        <v>3.3381939793505899E-2</v>
      </c>
      <c r="M925">
        <v>3.3094199078033397E-2</v>
      </c>
      <c r="N925">
        <v>2017</v>
      </c>
      <c r="O925" t="s">
        <v>13</v>
      </c>
      <c r="P925" t="s">
        <v>206</v>
      </c>
      <c r="Q925" t="s">
        <v>19</v>
      </c>
      <c r="R925" t="s">
        <v>20</v>
      </c>
    </row>
    <row r="926" spans="1:18" x14ac:dyDescent="0.25">
      <c r="A926" t="s">
        <v>204</v>
      </c>
      <c r="B926" t="s">
        <v>205</v>
      </c>
      <c r="C926" t="s">
        <v>12</v>
      </c>
      <c r="D926">
        <v>2</v>
      </c>
      <c r="E926">
        <v>35</v>
      </c>
      <c r="F926">
        <v>1.59595920670654E-2</v>
      </c>
      <c r="G926">
        <v>763</v>
      </c>
      <c r="H926">
        <v>9.5324250089360796E-2</v>
      </c>
      <c r="I926">
        <v>672</v>
      </c>
      <c r="L926">
        <v>4.1191707838752499E-2</v>
      </c>
      <c r="M926">
        <v>3.6249240923713302E-2</v>
      </c>
      <c r="N926">
        <v>2017</v>
      </c>
      <c r="O926" t="s">
        <v>13</v>
      </c>
      <c r="P926" t="s">
        <v>206</v>
      </c>
      <c r="Q926" t="s">
        <v>19</v>
      </c>
      <c r="R926" t="s">
        <v>20</v>
      </c>
    </row>
    <row r="927" spans="1:18" x14ac:dyDescent="0.25">
      <c r="A927" t="s">
        <v>204</v>
      </c>
      <c r="B927" t="s">
        <v>205</v>
      </c>
      <c r="C927" t="s">
        <v>12</v>
      </c>
      <c r="D927">
        <v>2</v>
      </c>
      <c r="E927">
        <v>45</v>
      </c>
      <c r="F927">
        <v>5.5067667208110703E-2</v>
      </c>
      <c r="G927">
        <v>765</v>
      </c>
      <c r="H927">
        <v>0.14087788601709</v>
      </c>
      <c r="I927">
        <v>637</v>
      </c>
      <c r="L927">
        <v>3.8747436093966602E-2</v>
      </c>
      <c r="M927">
        <v>4.1056009830609599E-2</v>
      </c>
      <c r="N927">
        <v>2017</v>
      </c>
      <c r="O927" t="s">
        <v>13</v>
      </c>
      <c r="P927" t="s">
        <v>206</v>
      </c>
      <c r="Q927" t="s">
        <v>19</v>
      </c>
      <c r="R927" t="s">
        <v>20</v>
      </c>
    </row>
    <row r="928" spans="1:18" x14ac:dyDescent="0.25">
      <c r="A928" t="s">
        <v>204</v>
      </c>
      <c r="B928" t="s">
        <v>205</v>
      </c>
      <c r="C928" t="s">
        <v>12</v>
      </c>
      <c r="D928">
        <v>2</v>
      </c>
      <c r="E928">
        <v>55</v>
      </c>
      <c r="F928">
        <v>0.12639470046111001</v>
      </c>
      <c r="G928">
        <v>605</v>
      </c>
      <c r="H928">
        <v>0.24037323915931799</v>
      </c>
      <c r="I928">
        <v>486</v>
      </c>
      <c r="L928">
        <v>3.6515564464484201E-2</v>
      </c>
      <c r="M928">
        <v>3.0072390949686299E-2</v>
      </c>
      <c r="N928">
        <v>2017</v>
      </c>
      <c r="O928" t="s">
        <v>13</v>
      </c>
      <c r="P928" t="s">
        <v>206</v>
      </c>
      <c r="Q928" t="s">
        <v>19</v>
      </c>
      <c r="R928" t="s">
        <v>20</v>
      </c>
    </row>
    <row r="929" spans="1:18" x14ac:dyDescent="0.25">
      <c r="A929" t="s">
        <v>204</v>
      </c>
      <c r="B929" t="s">
        <v>205</v>
      </c>
      <c r="C929" t="s">
        <v>12</v>
      </c>
      <c r="D929">
        <v>2</v>
      </c>
      <c r="E929">
        <v>65</v>
      </c>
      <c r="F929">
        <v>0.17490152910436599</v>
      </c>
      <c r="G929">
        <v>372</v>
      </c>
      <c r="H929">
        <v>0.313905097518828</v>
      </c>
      <c r="I929">
        <v>280</v>
      </c>
      <c r="L929">
        <v>4.0377638438827898E-2</v>
      </c>
      <c r="M929">
        <v>2.6874708401461701E-2</v>
      </c>
      <c r="N929">
        <v>2017</v>
      </c>
      <c r="O929" t="s">
        <v>13</v>
      </c>
      <c r="P929" t="s">
        <v>206</v>
      </c>
      <c r="Q929" t="s">
        <v>19</v>
      </c>
      <c r="R929" t="s">
        <v>20</v>
      </c>
    </row>
    <row r="930" spans="1:18" x14ac:dyDescent="0.25">
      <c r="A930" t="s">
        <v>204</v>
      </c>
      <c r="B930" t="s">
        <v>205</v>
      </c>
      <c r="C930" t="s">
        <v>12</v>
      </c>
      <c r="D930">
        <v>2</v>
      </c>
      <c r="E930">
        <v>75</v>
      </c>
      <c r="F930">
        <v>0.14184683624502001</v>
      </c>
      <c r="G930">
        <v>191</v>
      </c>
      <c r="H930">
        <v>0.25933185808796</v>
      </c>
      <c r="I930">
        <v>148</v>
      </c>
      <c r="L930">
        <v>4.2412154056029501E-2</v>
      </c>
      <c r="M930">
        <v>3.3868572463046101E-2</v>
      </c>
      <c r="N930">
        <v>2017</v>
      </c>
      <c r="O930" t="s">
        <v>13</v>
      </c>
      <c r="P930" t="s">
        <v>206</v>
      </c>
      <c r="Q930" t="s">
        <v>19</v>
      </c>
      <c r="R930" t="s">
        <v>20</v>
      </c>
    </row>
    <row r="931" spans="1:18" x14ac:dyDescent="0.25">
      <c r="A931" t="s">
        <v>204</v>
      </c>
      <c r="B931" t="s">
        <v>205</v>
      </c>
      <c r="C931" t="s">
        <v>12</v>
      </c>
      <c r="D931">
        <v>2</v>
      </c>
      <c r="E931">
        <v>84.91</v>
      </c>
      <c r="F931">
        <v>7.1907672244096693E-2</v>
      </c>
      <c r="G931">
        <v>64</v>
      </c>
      <c r="H931">
        <v>0.33202906116355801</v>
      </c>
      <c r="I931">
        <v>49</v>
      </c>
      <c r="L931">
        <v>7.7629464078420196E-2</v>
      </c>
      <c r="M931">
        <v>3.2500768302548E-2</v>
      </c>
      <c r="N931">
        <v>2017</v>
      </c>
      <c r="O931" t="s">
        <v>13</v>
      </c>
      <c r="P931" t="s">
        <v>206</v>
      </c>
      <c r="Q931" t="s">
        <v>19</v>
      </c>
      <c r="R931" t="s">
        <v>20</v>
      </c>
    </row>
    <row r="932" spans="1:18" x14ac:dyDescent="0.25">
      <c r="A932" t="s">
        <v>204</v>
      </c>
      <c r="B932" t="s">
        <v>205</v>
      </c>
      <c r="C932" t="s">
        <v>12</v>
      </c>
      <c r="D932">
        <v>1</v>
      </c>
      <c r="E932">
        <v>19</v>
      </c>
      <c r="F932">
        <v>0</v>
      </c>
      <c r="G932">
        <v>63</v>
      </c>
      <c r="H932">
        <v>5.91595926486463E-2</v>
      </c>
      <c r="I932">
        <v>44</v>
      </c>
      <c r="L932">
        <v>1.50733994003795E-2</v>
      </c>
      <c r="M932">
        <v>0</v>
      </c>
      <c r="N932">
        <v>2017</v>
      </c>
      <c r="O932" t="s">
        <v>13</v>
      </c>
      <c r="P932" t="s">
        <v>206</v>
      </c>
      <c r="Q932" t="s">
        <v>19</v>
      </c>
      <c r="R932" t="s">
        <v>20</v>
      </c>
    </row>
    <row r="933" spans="1:18" x14ac:dyDescent="0.25">
      <c r="A933" t="s">
        <v>204</v>
      </c>
      <c r="B933" t="s">
        <v>205</v>
      </c>
      <c r="C933" t="s">
        <v>12</v>
      </c>
      <c r="D933">
        <v>1</v>
      </c>
      <c r="E933">
        <v>25</v>
      </c>
      <c r="F933">
        <v>6.1714334401282798E-3</v>
      </c>
      <c r="G933">
        <v>276</v>
      </c>
      <c r="H933">
        <v>4.1137595749747603E-2</v>
      </c>
      <c r="I933">
        <v>227</v>
      </c>
      <c r="L933">
        <v>2.3955848505483102E-2</v>
      </c>
      <c r="M933">
        <v>2.9151466682450101E-2</v>
      </c>
      <c r="N933">
        <v>2017</v>
      </c>
      <c r="O933" t="s">
        <v>13</v>
      </c>
      <c r="P933" t="s">
        <v>206</v>
      </c>
      <c r="Q933" t="s">
        <v>19</v>
      </c>
      <c r="R933" t="s">
        <v>20</v>
      </c>
    </row>
    <row r="934" spans="1:18" x14ac:dyDescent="0.25">
      <c r="A934" t="s">
        <v>204</v>
      </c>
      <c r="B934" t="s">
        <v>205</v>
      </c>
      <c r="C934" t="s">
        <v>12</v>
      </c>
      <c r="D934">
        <v>1</v>
      </c>
      <c r="E934">
        <v>35</v>
      </c>
      <c r="F934">
        <v>1.1553696737996E-2</v>
      </c>
      <c r="G934">
        <v>328</v>
      </c>
      <c r="H934">
        <v>6.0987629985882703E-2</v>
      </c>
      <c r="I934">
        <v>272</v>
      </c>
      <c r="L934">
        <v>4.4652343919248001E-2</v>
      </c>
      <c r="M934">
        <v>5.1361320417798999E-2</v>
      </c>
      <c r="N934">
        <v>2017</v>
      </c>
      <c r="O934" t="s">
        <v>13</v>
      </c>
      <c r="P934" t="s">
        <v>206</v>
      </c>
      <c r="Q934" t="s">
        <v>19</v>
      </c>
      <c r="R934" t="s">
        <v>20</v>
      </c>
    </row>
    <row r="935" spans="1:18" x14ac:dyDescent="0.25">
      <c r="A935" t="s">
        <v>204</v>
      </c>
      <c r="B935" t="s">
        <v>205</v>
      </c>
      <c r="C935" t="s">
        <v>12</v>
      </c>
      <c r="D935">
        <v>1</v>
      </c>
      <c r="E935">
        <v>45</v>
      </c>
      <c r="F935">
        <v>3.6119762575928999E-2</v>
      </c>
      <c r="G935">
        <v>378</v>
      </c>
      <c r="H935">
        <v>9.8628980244090406E-2</v>
      </c>
      <c r="I935">
        <v>312</v>
      </c>
      <c r="L935">
        <v>2.97293480059166E-2</v>
      </c>
      <c r="M935">
        <v>3.7312750725705397E-2</v>
      </c>
      <c r="N935">
        <v>2017</v>
      </c>
      <c r="O935" t="s">
        <v>13</v>
      </c>
      <c r="P935" t="s">
        <v>206</v>
      </c>
      <c r="Q935" t="s">
        <v>19</v>
      </c>
      <c r="R935" t="s">
        <v>20</v>
      </c>
    </row>
    <row r="936" spans="1:18" x14ac:dyDescent="0.25">
      <c r="A936" t="s">
        <v>204</v>
      </c>
      <c r="B936" t="s">
        <v>205</v>
      </c>
      <c r="C936" t="s">
        <v>12</v>
      </c>
      <c r="D936">
        <v>1</v>
      </c>
      <c r="E936">
        <v>55</v>
      </c>
      <c r="F936">
        <v>6.6610377972366103E-2</v>
      </c>
      <c r="G936">
        <v>347</v>
      </c>
      <c r="H936">
        <v>0.13582095484374801</v>
      </c>
      <c r="I936">
        <v>289</v>
      </c>
      <c r="L936">
        <v>3.63616239653375E-2</v>
      </c>
      <c r="M936">
        <v>4.4629653475759701E-2</v>
      </c>
      <c r="N936">
        <v>2017</v>
      </c>
      <c r="O936" t="s">
        <v>13</v>
      </c>
      <c r="P936" t="s">
        <v>206</v>
      </c>
      <c r="Q936" t="s">
        <v>19</v>
      </c>
      <c r="R936" t="s">
        <v>20</v>
      </c>
    </row>
    <row r="937" spans="1:18" x14ac:dyDescent="0.25">
      <c r="A937" t="s">
        <v>204</v>
      </c>
      <c r="B937" t="s">
        <v>205</v>
      </c>
      <c r="C937" t="s">
        <v>12</v>
      </c>
      <c r="D937">
        <v>1</v>
      </c>
      <c r="E937">
        <v>65</v>
      </c>
      <c r="F937">
        <v>0.14401123310494299</v>
      </c>
      <c r="G937">
        <v>316</v>
      </c>
      <c r="H937">
        <v>0.199541132753144</v>
      </c>
      <c r="I937">
        <v>244</v>
      </c>
      <c r="L937">
        <v>3.12715151524081E-2</v>
      </c>
      <c r="M937">
        <v>3.7076159651486203E-2</v>
      </c>
      <c r="N937">
        <v>2017</v>
      </c>
      <c r="O937" t="s">
        <v>13</v>
      </c>
      <c r="P937" t="s">
        <v>206</v>
      </c>
      <c r="Q937" t="s">
        <v>19</v>
      </c>
      <c r="R937" t="s">
        <v>20</v>
      </c>
    </row>
    <row r="938" spans="1:18" x14ac:dyDescent="0.25">
      <c r="A938" t="s">
        <v>204</v>
      </c>
      <c r="B938" t="s">
        <v>205</v>
      </c>
      <c r="C938" t="s">
        <v>12</v>
      </c>
      <c r="D938">
        <v>1</v>
      </c>
      <c r="E938">
        <v>75</v>
      </c>
      <c r="F938">
        <v>0.16664766767925501</v>
      </c>
      <c r="G938">
        <v>122</v>
      </c>
      <c r="H938">
        <v>0.26514147101954</v>
      </c>
      <c r="I938">
        <v>95</v>
      </c>
      <c r="L938">
        <v>4.2731218404165501E-2</v>
      </c>
      <c r="M938">
        <v>3.7120259787242899E-2</v>
      </c>
      <c r="N938">
        <v>2017</v>
      </c>
      <c r="O938" t="s">
        <v>13</v>
      </c>
      <c r="P938" t="s">
        <v>206</v>
      </c>
      <c r="Q938" t="s">
        <v>19</v>
      </c>
      <c r="R938" t="s">
        <v>20</v>
      </c>
    </row>
    <row r="939" spans="1:18" x14ac:dyDescent="0.25">
      <c r="A939" t="s">
        <v>204</v>
      </c>
      <c r="B939" t="s">
        <v>205</v>
      </c>
      <c r="C939" t="s">
        <v>12</v>
      </c>
      <c r="D939">
        <v>1</v>
      </c>
      <c r="E939">
        <v>84.91</v>
      </c>
      <c r="F939">
        <v>0.12177299926055001</v>
      </c>
      <c r="G939">
        <v>61</v>
      </c>
      <c r="H939">
        <v>0.26992459648759998</v>
      </c>
      <c r="I939">
        <v>52</v>
      </c>
      <c r="L939">
        <v>5.0946106267359001E-2</v>
      </c>
      <c r="M939">
        <v>3.7473716194857697E-2</v>
      </c>
      <c r="N939">
        <v>2017</v>
      </c>
      <c r="O939" t="s">
        <v>13</v>
      </c>
      <c r="P939" t="s">
        <v>206</v>
      </c>
      <c r="Q939" t="s">
        <v>19</v>
      </c>
      <c r="R939" t="s">
        <v>20</v>
      </c>
    </row>
    <row r="940" spans="1:18" x14ac:dyDescent="0.25">
      <c r="A940" t="s">
        <v>207</v>
      </c>
      <c r="B940" t="s">
        <v>208</v>
      </c>
      <c r="C940" t="s">
        <v>12</v>
      </c>
      <c r="D940">
        <v>2</v>
      </c>
      <c r="E940">
        <v>19</v>
      </c>
      <c r="F940">
        <v>0</v>
      </c>
      <c r="G940">
        <v>69</v>
      </c>
      <c r="H940">
        <v>5.8312762241303497E-4</v>
      </c>
      <c r="I940">
        <v>50</v>
      </c>
      <c r="L940">
        <v>9.1012032693267797E-2</v>
      </c>
      <c r="M940">
        <v>0</v>
      </c>
      <c r="N940">
        <v>2013</v>
      </c>
      <c r="O940" t="s">
        <v>13</v>
      </c>
      <c r="P940" t="s">
        <v>209</v>
      </c>
      <c r="Q940" t="s">
        <v>65</v>
      </c>
      <c r="R940" t="s">
        <v>66</v>
      </c>
    </row>
    <row r="941" spans="1:18" x14ac:dyDescent="0.25">
      <c r="A941" t="s">
        <v>207</v>
      </c>
      <c r="B941" t="s">
        <v>208</v>
      </c>
      <c r="C941" t="s">
        <v>12</v>
      </c>
      <c r="D941">
        <v>2</v>
      </c>
      <c r="E941">
        <v>25</v>
      </c>
      <c r="F941">
        <v>0</v>
      </c>
      <c r="G941">
        <v>413</v>
      </c>
      <c r="H941">
        <v>1.01878204078895E-2</v>
      </c>
      <c r="I941">
        <v>319</v>
      </c>
      <c r="L941">
        <v>5.2850550586430404E-3</v>
      </c>
      <c r="M941">
        <v>0</v>
      </c>
      <c r="N941">
        <v>2013</v>
      </c>
      <c r="O941" t="s">
        <v>13</v>
      </c>
      <c r="P941" t="s">
        <v>209</v>
      </c>
      <c r="Q941" t="s">
        <v>65</v>
      </c>
      <c r="R941" t="s">
        <v>66</v>
      </c>
    </row>
    <row r="942" spans="1:18" x14ac:dyDescent="0.25">
      <c r="A942" t="s">
        <v>207</v>
      </c>
      <c r="B942" t="s">
        <v>208</v>
      </c>
      <c r="C942" t="s">
        <v>12</v>
      </c>
      <c r="D942">
        <v>2</v>
      </c>
      <c r="E942">
        <v>35</v>
      </c>
      <c r="F942">
        <v>9.4867334318237597E-3</v>
      </c>
      <c r="G942">
        <v>493</v>
      </c>
      <c r="H942">
        <v>3.39690597752711E-2</v>
      </c>
      <c r="I942">
        <v>386</v>
      </c>
      <c r="L942">
        <v>2.5756373403480301E-3</v>
      </c>
      <c r="M942">
        <v>5.1878882857375698E-3</v>
      </c>
      <c r="N942">
        <v>2013</v>
      </c>
      <c r="O942" t="s">
        <v>13</v>
      </c>
      <c r="P942" t="s">
        <v>209</v>
      </c>
      <c r="Q942" t="s">
        <v>65</v>
      </c>
      <c r="R942" t="s">
        <v>66</v>
      </c>
    </row>
    <row r="943" spans="1:18" x14ac:dyDescent="0.25">
      <c r="A943" t="s">
        <v>207</v>
      </c>
      <c r="B943" t="s">
        <v>208</v>
      </c>
      <c r="C943" t="s">
        <v>12</v>
      </c>
      <c r="D943">
        <v>2</v>
      </c>
      <c r="E943">
        <v>45</v>
      </c>
      <c r="F943">
        <v>1.02636670007054E-2</v>
      </c>
      <c r="G943">
        <v>517</v>
      </c>
      <c r="H943">
        <v>4.1736377424368497E-2</v>
      </c>
      <c r="I943">
        <v>412</v>
      </c>
      <c r="L943">
        <v>6.6932022795619999E-3</v>
      </c>
      <c r="M943">
        <v>1.10231608559146E-2</v>
      </c>
      <c r="N943">
        <v>2013</v>
      </c>
      <c r="O943" t="s">
        <v>13</v>
      </c>
      <c r="P943" t="s">
        <v>209</v>
      </c>
      <c r="Q943" t="s">
        <v>65</v>
      </c>
      <c r="R943" t="s">
        <v>66</v>
      </c>
    </row>
    <row r="944" spans="1:18" x14ac:dyDescent="0.25">
      <c r="A944" t="s">
        <v>207</v>
      </c>
      <c r="B944" t="s">
        <v>208</v>
      </c>
      <c r="C944" t="s">
        <v>12</v>
      </c>
      <c r="D944">
        <v>2</v>
      </c>
      <c r="E944">
        <v>55</v>
      </c>
      <c r="F944">
        <v>5.2061381576478903E-2</v>
      </c>
      <c r="G944">
        <v>719</v>
      </c>
      <c r="H944">
        <v>7.70147400310566E-2</v>
      </c>
      <c r="I944">
        <v>556</v>
      </c>
      <c r="L944">
        <v>5.38579486372777E-3</v>
      </c>
      <c r="M944">
        <v>1.20407508583853E-2</v>
      </c>
      <c r="N944">
        <v>2013</v>
      </c>
      <c r="O944" t="s">
        <v>13</v>
      </c>
      <c r="P944" t="s">
        <v>209</v>
      </c>
      <c r="Q944" t="s">
        <v>65</v>
      </c>
      <c r="R944" t="s">
        <v>66</v>
      </c>
    </row>
    <row r="945" spans="1:18" x14ac:dyDescent="0.25">
      <c r="A945" t="s">
        <v>207</v>
      </c>
      <c r="B945" t="s">
        <v>208</v>
      </c>
      <c r="C945" t="s">
        <v>12</v>
      </c>
      <c r="D945">
        <v>2</v>
      </c>
      <c r="E945">
        <v>65</v>
      </c>
      <c r="F945">
        <v>9.49856215532663E-2</v>
      </c>
      <c r="G945">
        <v>682</v>
      </c>
      <c r="H945">
        <v>9.8880680019310205E-2</v>
      </c>
      <c r="I945">
        <v>491</v>
      </c>
      <c r="L945">
        <v>5.3407400478725801E-3</v>
      </c>
      <c r="M945">
        <v>1.3024739284689999E-2</v>
      </c>
      <c r="N945">
        <v>2013</v>
      </c>
      <c r="O945" t="s">
        <v>13</v>
      </c>
      <c r="P945" t="s">
        <v>209</v>
      </c>
      <c r="Q945" t="s">
        <v>65</v>
      </c>
      <c r="R945" t="s">
        <v>66</v>
      </c>
    </row>
    <row r="946" spans="1:18" x14ac:dyDescent="0.25">
      <c r="A946" t="s">
        <v>207</v>
      </c>
      <c r="B946" t="s">
        <v>208</v>
      </c>
      <c r="C946" t="s">
        <v>12</v>
      </c>
      <c r="D946">
        <v>1</v>
      </c>
      <c r="E946">
        <v>19</v>
      </c>
      <c r="F946">
        <v>0</v>
      </c>
      <c r="G946">
        <v>60</v>
      </c>
      <c r="H946">
        <v>2.4483574872663599E-2</v>
      </c>
      <c r="I946">
        <v>30</v>
      </c>
      <c r="L946">
        <v>2.0415443634604399E-3</v>
      </c>
      <c r="M946">
        <v>0</v>
      </c>
      <c r="N946">
        <v>2013</v>
      </c>
      <c r="O946" t="s">
        <v>13</v>
      </c>
      <c r="P946" t="s">
        <v>209</v>
      </c>
      <c r="Q946" t="s">
        <v>65</v>
      </c>
      <c r="R946" t="s">
        <v>66</v>
      </c>
    </row>
    <row r="947" spans="1:18" x14ac:dyDescent="0.25">
      <c r="A947" t="s">
        <v>207</v>
      </c>
      <c r="B947" t="s">
        <v>208</v>
      </c>
      <c r="C947" t="s">
        <v>12</v>
      </c>
      <c r="D947">
        <v>1</v>
      </c>
      <c r="E947">
        <v>25</v>
      </c>
      <c r="F947">
        <v>0</v>
      </c>
      <c r="G947">
        <v>265</v>
      </c>
      <c r="H947">
        <v>1.16669103767864E-2</v>
      </c>
      <c r="I947">
        <v>177</v>
      </c>
      <c r="L947">
        <v>4.05896854964247E-3</v>
      </c>
      <c r="M947">
        <v>0</v>
      </c>
      <c r="N947">
        <v>2013</v>
      </c>
      <c r="O947" t="s">
        <v>13</v>
      </c>
      <c r="P947" t="s">
        <v>209</v>
      </c>
      <c r="Q947" t="s">
        <v>65</v>
      </c>
      <c r="R947" t="s">
        <v>66</v>
      </c>
    </row>
    <row r="948" spans="1:18" x14ac:dyDescent="0.25">
      <c r="A948" t="s">
        <v>207</v>
      </c>
      <c r="B948" t="s">
        <v>208</v>
      </c>
      <c r="C948" t="s">
        <v>12</v>
      </c>
      <c r="D948">
        <v>1</v>
      </c>
      <c r="E948">
        <v>35</v>
      </c>
      <c r="F948">
        <v>7.3240071035413296E-3</v>
      </c>
      <c r="G948">
        <v>300</v>
      </c>
      <c r="H948">
        <v>5.2303170181762101E-2</v>
      </c>
      <c r="I948">
        <v>222</v>
      </c>
      <c r="L948">
        <v>9.5766583504057696E-4</v>
      </c>
      <c r="M948">
        <v>1.23030677162405E-3</v>
      </c>
      <c r="N948">
        <v>2013</v>
      </c>
      <c r="O948" t="s">
        <v>13</v>
      </c>
      <c r="P948" t="s">
        <v>209</v>
      </c>
      <c r="Q948" t="s">
        <v>65</v>
      </c>
      <c r="R948" t="s">
        <v>66</v>
      </c>
    </row>
    <row r="949" spans="1:18" x14ac:dyDescent="0.25">
      <c r="A949" t="s">
        <v>207</v>
      </c>
      <c r="B949" t="s">
        <v>208</v>
      </c>
      <c r="C949" t="s">
        <v>12</v>
      </c>
      <c r="D949">
        <v>1</v>
      </c>
      <c r="E949">
        <v>45</v>
      </c>
      <c r="F949">
        <v>1.63602813664817E-2</v>
      </c>
      <c r="G949">
        <v>347</v>
      </c>
      <c r="H949">
        <v>3.41076417402928E-2</v>
      </c>
      <c r="I949">
        <v>248</v>
      </c>
      <c r="L949">
        <v>3.6319882087801898E-3</v>
      </c>
      <c r="M949">
        <v>9.5964430304622001E-3</v>
      </c>
      <c r="N949">
        <v>2013</v>
      </c>
      <c r="O949" t="s">
        <v>13</v>
      </c>
      <c r="P949" t="s">
        <v>209</v>
      </c>
      <c r="Q949" t="s">
        <v>65</v>
      </c>
      <c r="R949" t="s">
        <v>66</v>
      </c>
    </row>
    <row r="950" spans="1:18" x14ac:dyDescent="0.25">
      <c r="A950" t="s">
        <v>207</v>
      </c>
      <c r="B950" t="s">
        <v>208</v>
      </c>
      <c r="C950" t="s">
        <v>12</v>
      </c>
      <c r="D950">
        <v>1</v>
      </c>
      <c r="E950">
        <v>55</v>
      </c>
      <c r="F950">
        <v>3.3034323503133803E-2</v>
      </c>
      <c r="G950">
        <v>490</v>
      </c>
      <c r="H950">
        <v>8.9218823212449505E-2</v>
      </c>
      <c r="I950">
        <v>355</v>
      </c>
      <c r="L950">
        <v>2.3588612807374301E-3</v>
      </c>
      <c r="M950">
        <v>3.6446249304458301E-3</v>
      </c>
      <c r="N950">
        <v>2013</v>
      </c>
      <c r="O950" t="s">
        <v>13</v>
      </c>
      <c r="P950" t="s">
        <v>209</v>
      </c>
      <c r="Q950" t="s">
        <v>65</v>
      </c>
      <c r="R950" t="s">
        <v>66</v>
      </c>
    </row>
    <row r="951" spans="1:18" x14ac:dyDescent="0.25">
      <c r="A951" t="s">
        <v>207</v>
      </c>
      <c r="B951" t="s">
        <v>208</v>
      </c>
      <c r="C951" t="s">
        <v>12</v>
      </c>
      <c r="D951">
        <v>1</v>
      </c>
      <c r="E951">
        <v>65</v>
      </c>
      <c r="F951">
        <v>7.4236657489506697E-2</v>
      </c>
      <c r="G951">
        <v>344</v>
      </c>
      <c r="H951">
        <v>7.9784598960248795E-2</v>
      </c>
      <c r="I951">
        <v>255</v>
      </c>
      <c r="L951">
        <v>3.54040060957012E-3</v>
      </c>
      <c r="M951">
        <v>9.8412895321435892E-3</v>
      </c>
      <c r="N951">
        <v>2013</v>
      </c>
      <c r="O951" t="s">
        <v>13</v>
      </c>
      <c r="P951" t="s">
        <v>209</v>
      </c>
      <c r="Q951" t="s">
        <v>65</v>
      </c>
      <c r="R951" t="s">
        <v>66</v>
      </c>
    </row>
    <row r="952" spans="1:18" x14ac:dyDescent="0.25">
      <c r="A952" t="s">
        <v>207</v>
      </c>
      <c r="B952" t="s">
        <v>210</v>
      </c>
      <c r="C952" t="s">
        <v>12</v>
      </c>
      <c r="D952">
        <v>2</v>
      </c>
      <c r="E952">
        <v>19</v>
      </c>
      <c r="F952">
        <v>0</v>
      </c>
      <c r="G952">
        <v>19</v>
      </c>
      <c r="H952">
        <v>8.3812293719741403E-4</v>
      </c>
      <c r="I952">
        <v>11</v>
      </c>
      <c r="L952">
        <v>0.10212193211859399</v>
      </c>
      <c r="M952">
        <v>0</v>
      </c>
      <c r="N952">
        <v>2021</v>
      </c>
      <c r="O952" t="s">
        <v>13</v>
      </c>
      <c r="P952" t="s">
        <v>209</v>
      </c>
      <c r="Q952" t="s">
        <v>65</v>
      </c>
      <c r="R952" t="s">
        <v>66</v>
      </c>
    </row>
    <row r="953" spans="1:18" x14ac:dyDescent="0.25">
      <c r="A953" t="s">
        <v>207</v>
      </c>
      <c r="B953" t="s">
        <v>210</v>
      </c>
      <c r="C953" t="s">
        <v>12</v>
      </c>
      <c r="D953">
        <v>2</v>
      </c>
      <c r="E953">
        <v>25</v>
      </c>
      <c r="F953">
        <v>5.19781707686245E-3</v>
      </c>
      <c r="G953">
        <v>165</v>
      </c>
      <c r="H953">
        <v>1.8170677936067501E-3</v>
      </c>
      <c r="I953">
        <v>130</v>
      </c>
      <c r="L953">
        <v>1.54040707345012E-2</v>
      </c>
      <c r="M953">
        <v>0.34583012537204699</v>
      </c>
      <c r="N953">
        <v>2021</v>
      </c>
      <c r="O953" t="s">
        <v>13</v>
      </c>
      <c r="P953" t="s">
        <v>209</v>
      </c>
      <c r="Q953" t="s">
        <v>65</v>
      </c>
      <c r="R953" t="s">
        <v>66</v>
      </c>
    </row>
    <row r="954" spans="1:18" x14ac:dyDescent="0.25">
      <c r="A954" t="s">
        <v>207</v>
      </c>
      <c r="B954" t="s">
        <v>210</v>
      </c>
      <c r="C954" t="s">
        <v>12</v>
      </c>
      <c r="D954">
        <v>2</v>
      </c>
      <c r="E954">
        <v>35</v>
      </c>
      <c r="F954">
        <v>4.8292373085563499E-3</v>
      </c>
      <c r="G954">
        <v>419</v>
      </c>
      <c r="H954">
        <v>4.1350361096880402E-2</v>
      </c>
      <c r="I954">
        <v>337</v>
      </c>
      <c r="L954">
        <v>1.9530412218580801E-3</v>
      </c>
      <c r="M954">
        <v>2.4179301473341102E-3</v>
      </c>
      <c r="N954">
        <v>2021</v>
      </c>
      <c r="O954" t="s">
        <v>13</v>
      </c>
      <c r="P954" t="s">
        <v>209</v>
      </c>
      <c r="Q954" t="s">
        <v>65</v>
      </c>
      <c r="R954" t="s">
        <v>66</v>
      </c>
    </row>
    <row r="955" spans="1:18" x14ac:dyDescent="0.25">
      <c r="A955" t="s">
        <v>207</v>
      </c>
      <c r="B955" t="s">
        <v>210</v>
      </c>
      <c r="C955" t="s">
        <v>12</v>
      </c>
      <c r="D955">
        <v>2</v>
      </c>
      <c r="E955">
        <v>45</v>
      </c>
      <c r="F955">
        <v>9.2264789198275594E-3</v>
      </c>
      <c r="G955">
        <v>427</v>
      </c>
      <c r="H955">
        <v>2.9219329778067099E-2</v>
      </c>
      <c r="I955">
        <v>330</v>
      </c>
      <c r="L955">
        <v>7.6588596808602897E-3</v>
      </c>
      <c r="M955">
        <v>1.5745392846613401E-2</v>
      </c>
      <c r="N955">
        <v>2021</v>
      </c>
      <c r="O955" t="s">
        <v>13</v>
      </c>
      <c r="P955" t="s">
        <v>209</v>
      </c>
      <c r="Q955" t="s">
        <v>65</v>
      </c>
      <c r="R955" t="s">
        <v>66</v>
      </c>
    </row>
    <row r="956" spans="1:18" x14ac:dyDescent="0.25">
      <c r="A956" t="s">
        <v>207</v>
      </c>
      <c r="B956" t="s">
        <v>210</v>
      </c>
      <c r="C956" t="s">
        <v>12</v>
      </c>
      <c r="D956">
        <v>2</v>
      </c>
      <c r="E956">
        <v>55</v>
      </c>
      <c r="F956">
        <v>7.4216955238112697E-2</v>
      </c>
      <c r="G956">
        <v>515</v>
      </c>
      <c r="H956">
        <v>6.7659607391111404E-2</v>
      </c>
      <c r="I956">
        <v>384</v>
      </c>
      <c r="L956">
        <v>5.1598758559571597E-3</v>
      </c>
      <c r="M956">
        <v>1.6229022150617299E-2</v>
      </c>
      <c r="N956">
        <v>2021</v>
      </c>
      <c r="O956" t="s">
        <v>13</v>
      </c>
      <c r="P956" t="s">
        <v>209</v>
      </c>
      <c r="Q956" t="s">
        <v>65</v>
      </c>
      <c r="R956" t="s">
        <v>66</v>
      </c>
    </row>
    <row r="957" spans="1:18" x14ac:dyDescent="0.25">
      <c r="A957" t="s">
        <v>207</v>
      </c>
      <c r="B957" t="s">
        <v>210</v>
      </c>
      <c r="C957" t="s">
        <v>12</v>
      </c>
      <c r="D957">
        <v>2</v>
      </c>
      <c r="E957">
        <v>65</v>
      </c>
      <c r="F957">
        <v>0.17468157128036199</v>
      </c>
      <c r="G957">
        <v>744</v>
      </c>
      <c r="H957">
        <v>0.10129462086975401</v>
      </c>
      <c r="I957">
        <v>508</v>
      </c>
      <c r="L957">
        <v>4.5048496714983604E-3</v>
      </c>
      <c r="M957">
        <v>1.5823777337818999E-2</v>
      </c>
      <c r="N957">
        <v>2021</v>
      </c>
      <c r="O957" t="s">
        <v>13</v>
      </c>
      <c r="P957" t="s">
        <v>209</v>
      </c>
      <c r="Q957" t="s">
        <v>65</v>
      </c>
      <c r="R957" t="s">
        <v>66</v>
      </c>
    </row>
    <row r="958" spans="1:18" x14ac:dyDescent="0.25">
      <c r="A958" t="s">
        <v>207</v>
      </c>
      <c r="B958" t="s">
        <v>210</v>
      </c>
      <c r="C958" t="s">
        <v>12</v>
      </c>
      <c r="D958">
        <v>1</v>
      </c>
      <c r="E958">
        <v>19</v>
      </c>
      <c r="F958">
        <v>0</v>
      </c>
      <c r="G958">
        <v>18</v>
      </c>
      <c r="H958">
        <v>7.9033322478061205E-2</v>
      </c>
      <c r="I958">
        <v>15</v>
      </c>
      <c r="L958">
        <v>3.3693163058580298E-4</v>
      </c>
      <c r="M958">
        <v>0</v>
      </c>
      <c r="N958">
        <v>2021</v>
      </c>
      <c r="O958" t="s">
        <v>13</v>
      </c>
      <c r="P958" t="s">
        <v>209</v>
      </c>
      <c r="Q958" t="s">
        <v>65</v>
      </c>
      <c r="R958" t="s">
        <v>66</v>
      </c>
    </row>
    <row r="959" spans="1:18" x14ac:dyDescent="0.25">
      <c r="A959" t="s">
        <v>207</v>
      </c>
      <c r="B959" t="s">
        <v>210</v>
      </c>
      <c r="C959" t="s">
        <v>12</v>
      </c>
      <c r="D959">
        <v>1</v>
      </c>
      <c r="E959">
        <v>25</v>
      </c>
      <c r="F959">
        <v>0</v>
      </c>
      <c r="G959">
        <v>128</v>
      </c>
      <c r="H959">
        <v>4.1203028124452201E-2</v>
      </c>
      <c r="I959">
        <v>87</v>
      </c>
      <c r="L959">
        <v>1.14077163968043E-3</v>
      </c>
      <c r="M959">
        <v>0</v>
      </c>
      <c r="N959">
        <v>2021</v>
      </c>
      <c r="O959" t="s">
        <v>13</v>
      </c>
      <c r="P959" t="s">
        <v>209</v>
      </c>
      <c r="Q959" t="s">
        <v>65</v>
      </c>
      <c r="R959" t="s">
        <v>66</v>
      </c>
    </row>
    <row r="960" spans="1:18" x14ac:dyDescent="0.25">
      <c r="A960" t="s">
        <v>207</v>
      </c>
      <c r="B960" t="s">
        <v>210</v>
      </c>
      <c r="C960" t="s">
        <v>12</v>
      </c>
      <c r="D960">
        <v>1</v>
      </c>
      <c r="E960">
        <v>35</v>
      </c>
      <c r="F960">
        <v>8.4648064152710607E-3</v>
      </c>
      <c r="G960">
        <v>301</v>
      </c>
      <c r="H960">
        <v>3.2439142217025603E-2</v>
      </c>
      <c r="I960">
        <v>215</v>
      </c>
      <c r="L960">
        <v>3.9020367774861499E-3</v>
      </c>
      <c r="M960">
        <v>7.37651534447615E-3</v>
      </c>
      <c r="N960">
        <v>2021</v>
      </c>
      <c r="O960" t="s">
        <v>13</v>
      </c>
      <c r="P960" t="s">
        <v>209</v>
      </c>
      <c r="Q960" t="s">
        <v>65</v>
      </c>
      <c r="R960" t="s">
        <v>66</v>
      </c>
    </row>
    <row r="961" spans="1:18" x14ac:dyDescent="0.25">
      <c r="A961" t="s">
        <v>207</v>
      </c>
      <c r="B961" t="s">
        <v>210</v>
      </c>
      <c r="C961" t="s">
        <v>12</v>
      </c>
      <c r="D961">
        <v>1</v>
      </c>
      <c r="E961">
        <v>45</v>
      </c>
      <c r="F961">
        <v>8.99339047016867E-3</v>
      </c>
      <c r="G961">
        <v>377</v>
      </c>
      <c r="H961">
        <v>4.2006541095677002E-2</v>
      </c>
      <c r="I961">
        <v>272</v>
      </c>
      <c r="L961">
        <v>6.42047268288956E-3</v>
      </c>
      <c r="M961">
        <v>9.6581872676704192E-3</v>
      </c>
      <c r="N961">
        <v>2021</v>
      </c>
      <c r="O961" t="s">
        <v>13</v>
      </c>
      <c r="P961" t="s">
        <v>209</v>
      </c>
      <c r="Q961" t="s">
        <v>65</v>
      </c>
      <c r="R961" t="s">
        <v>66</v>
      </c>
    </row>
    <row r="962" spans="1:18" x14ac:dyDescent="0.25">
      <c r="A962" t="s">
        <v>207</v>
      </c>
      <c r="B962" t="s">
        <v>210</v>
      </c>
      <c r="C962" t="s">
        <v>12</v>
      </c>
      <c r="D962">
        <v>1</v>
      </c>
      <c r="E962">
        <v>55</v>
      </c>
      <c r="F962">
        <v>7.1391366409400095E-2</v>
      </c>
      <c r="G962">
        <v>444</v>
      </c>
      <c r="H962">
        <v>6.0507791647450099E-2</v>
      </c>
      <c r="I962">
        <v>338</v>
      </c>
      <c r="L962">
        <v>4.61508805497589E-3</v>
      </c>
      <c r="M962">
        <v>1.6206421624100999E-2</v>
      </c>
      <c r="N962">
        <v>2021</v>
      </c>
      <c r="O962" t="s">
        <v>13</v>
      </c>
      <c r="P962" t="s">
        <v>209</v>
      </c>
      <c r="Q962" t="s">
        <v>65</v>
      </c>
      <c r="R962" t="s">
        <v>66</v>
      </c>
    </row>
    <row r="963" spans="1:18" x14ac:dyDescent="0.25">
      <c r="A963" t="s">
        <v>207</v>
      </c>
      <c r="B963" t="s">
        <v>210</v>
      </c>
      <c r="C963" t="s">
        <v>12</v>
      </c>
      <c r="D963">
        <v>1</v>
      </c>
      <c r="E963">
        <v>65</v>
      </c>
      <c r="F963">
        <v>0.13791456738079999</v>
      </c>
      <c r="G963">
        <v>506</v>
      </c>
      <c r="H963">
        <v>0.11193405293410399</v>
      </c>
      <c r="I963">
        <v>355</v>
      </c>
      <c r="L963">
        <v>3.9372659758506699E-3</v>
      </c>
      <c r="M963">
        <v>1.04244964564193E-2</v>
      </c>
      <c r="N963">
        <v>2021</v>
      </c>
      <c r="O963" t="s">
        <v>13</v>
      </c>
      <c r="P963" t="s">
        <v>209</v>
      </c>
      <c r="Q963" t="s">
        <v>65</v>
      </c>
      <c r="R963" t="s">
        <v>66</v>
      </c>
    </row>
    <row r="964" spans="1:18" x14ac:dyDescent="0.25">
      <c r="A964" t="s">
        <v>211</v>
      </c>
      <c r="B964" t="s">
        <v>212</v>
      </c>
      <c r="C964" t="s">
        <v>12</v>
      </c>
      <c r="D964">
        <v>2</v>
      </c>
      <c r="E964">
        <v>19</v>
      </c>
      <c r="F964">
        <v>0</v>
      </c>
      <c r="G964">
        <v>40</v>
      </c>
      <c r="H964">
        <v>6.9654538304320997E-3</v>
      </c>
      <c r="I964">
        <v>24</v>
      </c>
      <c r="L964">
        <v>8.2179703548456995E-2</v>
      </c>
      <c r="M964">
        <v>0</v>
      </c>
      <c r="N964">
        <v>2021</v>
      </c>
      <c r="O964" t="s">
        <v>13</v>
      </c>
      <c r="P964" t="s">
        <v>213</v>
      </c>
      <c r="Q964" t="s">
        <v>169</v>
      </c>
      <c r="R964" t="s">
        <v>170</v>
      </c>
    </row>
    <row r="965" spans="1:18" x14ac:dyDescent="0.25">
      <c r="A965" t="s">
        <v>211</v>
      </c>
      <c r="B965" t="s">
        <v>212</v>
      </c>
      <c r="C965" t="s">
        <v>12</v>
      </c>
      <c r="D965">
        <v>2</v>
      </c>
      <c r="E965">
        <v>25</v>
      </c>
      <c r="F965">
        <v>3.4588587340696302E-2</v>
      </c>
      <c r="G965">
        <v>339</v>
      </c>
      <c r="H965">
        <v>3.0191046276790701E-2</v>
      </c>
      <c r="I965">
        <v>211</v>
      </c>
      <c r="L965">
        <v>5.3907866288957903E-3</v>
      </c>
      <c r="M965">
        <v>2.5372696317164899E-2</v>
      </c>
      <c r="N965">
        <v>2021</v>
      </c>
      <c r="O965" t="s">
        <v>13</v>
      </c>
      <c r="P965" t="s">
        <v>213</v>
      </c>
      <c r="Q965" t="s">
        <v>169</v>
      </c>
      <c r="R965" t="s">
        <v>170</v>
      </c>
    </row>
    <row r="966" spans="1:18" x14ac:dyDescent="0.25">
      <c r="A966" t="s">
        <v>211</v>
      </c>
      <c r="B966" t="s">
        <v>212</v>
      </c>
      <c r="C966" t="s">
        <v>12</v>
      </c>
      <c r="D966">
        <v>2</v>
      </c>
      <c r="E966">
        <v>35</v>
      </c>
      <c r="F966">
        <v>6.0947198558511197E-2</v>
      </c>
      <c r="G966">
        <v>607</v>
      </c>
      <c r="H966">
        <v>4.0466401965990197E-2</v>
      </c>
      <c r="I966">
        <v>377</v>
      </c>
      <c r="L966">
        <v>7.9910654865294698E-3</v>
      </c>
      <c r="M966">
        <v>3.8291751474555699E-2</v>
      </c>
      <c r="N966">
        <v>2021</v>
      </c>
      <c r="O966" t="s">
        <v>13</v>
      </c>
      <c r="P966" t="s">
        <v>213</v>
      </c>
      <c r="Q966" t="s">
        <v>169</v>
      </c>
      <c r="R966" t="s">
        <v>170</v>
      </c>
    </row>
    <row r="967" spans="1:18" x14ac:dyDescent="0.25">
      <c r="A967" t="s">
        <v>211</v>
      </c>
      <c r="B967" t="s">
        <v>212</v>
      </c>
      <c r="C967" t="s">
        <v>12</v>
      </c>
      <c r="D967">
        <v>2</v>
      </c>
      <c r="E967">
        <v>45</v>
      </c>
      <c r="F967">
        <v>6.2847634747001502E-2</v>
      </c>
      <c r="G967">
        <v>413</v>
      </c>
      <c r="H967">
        <v>6.6517413300009598E-2</v>
      </c>
      <c r="I967">
        <v>251</v>
      </c>
      <c r="L967">
        <v>1.2797226294353901E-2</v>
      </c>
      <c r="M967">
        <v>3.53882528657498E-2</v>
      </c>
      <c r="N967">
        <v>2021</v>
      </c>
      <c r="O967" t="s">
        <v>13</v>
      </c>
      <c r="P967" t="s">
        <v>213</v>
      </c>
      <c r="Q967" t="s">
        <v>169</v>
      </c>
      <c r="R967" t="s">
        <v>170</v>
      </c>
    </row>
    <row r="968" spans="1:18" x14ac:dyDescent="0.25">
      <c r="A968" t="s">
        <v>211</v>
      </c>
      <c r="B968" t="s">
        <v>212</v>
      </c>
      <c r="C968" t="s">
        <v>12</v>
      </c>
      <c r="D968">
        <v>2</v>
      </c>
      <c r="E968">
        <v>55</v>
      </c>
      <c r="F968">
        <v>0.229590423585914</v>
      </c>
      <c r="G968">
        <v>372</v>
      </c>
      <c r="H968">
        <v>8.1349021979497102E-2</v>
      </c>
      <c r="I968">
        <v>219</v>
      </c>
      <c r="L968">
        <v>6.7364431541790896E-3</v>
      </c>
      <c r="M968">
        <v>3.9195640100174699E-2</v>
      </c>
      <c r="N968">
        <v>2021</v>
      </c>
      <c r="O968" t="s">
        <v>13</v>
      </c>
      <c r="P968" t="s">
        <v>213</v>
      </c>
      <c r="Q968" t="s">
        <v>169</v>
      </c>
      <c r="R968" t="s">
        <v>170</v>
      </c>
    </row>
    <row r="969" spans="1:18" x14ac:dyDescent="0.25">
      <c r="A969" t="s">
        <v>211</v>
      </c>
      <c r="B969" t="s">
        <v>212</v>
      </c>
      <c r="C969" t="s">
        <v>12</v>
      </c>
      <c r="D969">
        <v>2</v>
      </c>
      <c r="E969">
        <v>65</v>
      </c>
      <c r="F969">
        <v>0.35551983046139601</v>
      </c>
      <c r="G969">
        <v>223</v>
      </c>
      <c r="H969">
        <v>0.12730703038222599</v>
      </c>
      <c r="I969">
        <v>130</v>
      </c>
      <c r="L969">
        <v>6.2715001021535601E-3</v>
      </c>
      <c r="M969">
        <v>2.7488818992002E-2</v>
      </c>
      <c r="N969">
        <v>2021</v>
      </c>
      <c r="O969" t="s">
        <v>13</v>
      </c>
      <c r="P969" t="s">
        <v>213</v>
      </c>
      <c r="Q969" t="s">
        <v>169</v>
      </c>
      <c r="R969" t="s">
        <v>170</v>
      </c>
    </row>
    <row r="970" spans="1:18" x14ac:dyDescent="0.25">
      <c r="A970" t="s">
        <v>211</v>
      </c>
      <c r="B970" t="s">
        <v>212</v>
      </c>
      <c r="C970" t="s">
        <v>12</v>
      </c>
      <c r="D970">
        <v>1</v>
      </c>
      <c r="E970">
        <v>19</v>
      </c>
      <c r="F970">
        <v>0</v>
      </c>
      <c r="G970">
        <v>30</v>
      </c>
      <c r="H970">
        <v>1.87214812511017E-3</v>
      </c>
      <c r="I970">
        <v>17</v>
      </c>
      <c r="L970">
        <v>7.3521820988316597E-2</v>
      </c>
      <c r="M970">
        <v>0</v>
      </c>
      <c r="N970">
        <v>2021</v>
      </c>
      <c r="O970" t="s">
        <v>13</v>
      </c>
      <c r="P970" t="s">
        <v>213</v>
      </c>
      <c r="Q970" t="s">
        <v>169</v>
      </c>
      <c r="R970" t="s">
        <v>170</v>
      </c>
    </row>
    <row r="971" spans="1:18" x14ac:dyDescent="0.25">
      <c r="A971" t="s">
        <v>211</v>
      </c>
      <c r="B971" t="s">
        <v>212</v>
      </c>
      <c r="C971" t="s">
        <v>12</v>
      </c>
      <c r="D971">
        <v>1</v>
      </c>
      <c r="E971">
        <v>25</v>
      </c>
      <c r="F971">
        <v>0</v>
      </c>
      <c r="G971">
        <v>164</v>
      </c>
      <c r="H971">
        <v>1.16732600198712E-2</v>
      </c>
      <c r="I971">
        <v>96</v>
      </c>
      <c r="L971">
        <v>3.1014431387291801E-2</v>
      </c>
      <c r="M971">
        <v>0</v>
      </c>
      <c r="N971">
        <v>2021</v>
      </c>
      <c r="O971" t="s">
        <v>13</v>
      </c>
      <c r="P971" t="s">
        <v>213</v>
      </c>
      <c r="Q971" t="s">
        <v>169</v>
      </c>
      <c r="R971" t="s">
        <v>170</v>
      </c>
    </row>
    <row r="972" spans="1:18" x14ac:dyDescent="0.25">
      <c r="A972" t="s">
        <v>211</v>
      </c>
      <c r="B972" t="s">
        <v>212</v>
      </c>
      <c r="C972" t="s">
        <v>12</v>
      </c>
      <c r="D972">
        <v>1</v>
      </c>
      <c r="E972">
        <v>35</v>
      </c>
      <c r="F972">
        <v>2.9247359057728701E-2</v>
      </c>
      <c r="G972">
        <v>203</v>
      </c>
      <c r="H972">
        <v>3.6365565676983201E-2</v>
      </c>
      <c r="I972">
        <v>108</v>
      </c>
      <c r="L972">
        <v>1.02627939316275E-2</v>
      </c>
      <c r="M972">
        <v>3.3850976646278001E-2</v>
      </c>
      <c r="N972">
        <v>2021</v>
      </c>
      <c r="O972" t="s">
        <v>13</v>
      </c>
      <c r="P972" t="s">
        <v>213</v>
      </c>
      <c r="Q972" t="s">
        <v>169</v>
      </c>
      <c r="R972" t="s">
        <v>170</v>
      </c>
    </row>
    <row r="973" spans="1:18" x14ac:dyDescent="0.25">
      <c r="A973" t="s">
        <v>211</v>
      </c>
      <c r="B973" t="s">
        <v>212</v>
      </c>
      <c r="C973" t="s">
        <v>12</v>
      </c>
      <c r="D973">
        <v>1</v>
      </c>
      <c r="E973">
        <v>45</v>
      </c>
      <c r="F973">
        <v>2.92811321704077E-2</v>
      </c>
      <c r="G973">
        <v>183</v>
      </c>
      <c r="H973">
        <v>0.120321739706214</v>
      </c>
      <c r="I973">
        <v>106</v>
      </c>
      <c r="L973">
        <v>1.16078053486057E-2</v>
      </c>
      <c r="M973">
        <v>1.10674712086242E-2</v>
      </c>
      <c r="N973">
        <v>2021</v>
      </c>
      <c r="O973" t="s">
        <v>13</v>
      </c>
      <c r="P973" t="s">
        <v>213</v>
      </c>
      <c r="Q973" t="s">
        <v>169</v>
      </c>
      <c r="R973" t="s">
        <v>170</v>
      </c>
    </row>
    <row r="974" spans="1:18" x14ac:dyDescent="0.25">
      <c r="A974" t="s">
        <v>211</v>
      </c>
      <c r="B974" t="s">
        <v>212</v>
      </c>
      <c r="C974" t="s">
        <v>12</v>
      </c>
      <c r="D974">
        <v>1</v>
      </c>
      <c r="E974">
        <v>55</v>
      </c>
      <c r="F974">
        <v>0.100349696385472</v>
      </c>
      <c r="G974">
        <v>165</v>
      </c>
      <c r="H974">
        <v>7.82981303514899E-2</v>
      </c>
      <c r="I974">
        <v>99</v>
      </c>
      <c r="L974">
        <v>8.4317307313431303E-3</v>
      </c>
      <c r="M974">
        <v>2.6724114634001799E-2</v>
      </c>
      <c r="N974">
        <v>2021</v>
      </c>
      <c r="O974" t="s">
        <v>13</v>
      </c>
      <c r="P974" t="s">
        <v>213</v>
      </c>
      <c r="Q974" t="s">
        <v>169</v>
      </c>
      <c r="R974" t="s">
        <v>170</v>
      </c>
    </row>
    <row r="975" spans="1:18" x14ac:dyDescent="0.25">
      <c r="A975" t="s">
        <v>211</v>
      </c>
      <c r="B975" t="s">
        <v>212</v>
      </c>
      <c r="C975" t="s">
        <v>12</v>
      </c>
      <c r="D975">
        <v>1</v>
      </c>
      <c r="E975">
        <v>65</v>
      </c>
      <c r="F975">
        <v>0.181812686048689</v>
      </c>
      <c r="G975">
        <v>141</v>
      </c>
      <c r="H975">
        <v>0.140936204159408</v>
      </c>
      <c r="I975">
        <v>82</v>
      </c>
      <c r="L975">
        <v>1.2896577314105401E-2</v>
      </c>
      <c r="M975">
        <v>2.9334402703891999E-2</v>
      </c>
      <c r="N975">
        <v>2021</v>
      </c>
      <c r="O975" t="s">
        <v>13</v>
      </c>
      <c r="P975" t="s">
        <v>213</v>
      </c>
      <c r="Q975" t="s">
        <v>169</v>
      </c>
      <c r="R975" t="s">
        <v>170</v>
      </c>
    </row>
    <row r="976" spans="1:18" x14ac:dyDescent="0.25">
      <c r="A976" t="s">
        <v>214</v>
      </c>
      <c r="B976" t="s">
        <v>215</v>
      </c>
      <c r="C976" t="s">
        <v>12</v>
      </c>
      <c r="D976">
        <v>2</v>
      </c>
      <c r="E976">
        <v>19</v>
      </c>
      <c r="F976">
        <v>0</v>
      </c>
      <c r="G976">
        <v>648</v>
      </c>
      <c r="H976">
        <v>0.13094332593095101</v>
      </c>
      <c r="I976">
        <v>157</v>
      </c>
      <c r="L976">
        <v>1.1938906705433001E-3</v>
      </c>
      <c r="M976">
        <v>0</v>
      </c>
      <c r="N976">
        <v>2011</v>
      </c>
      <c r="O976" t="s">
        <v>13</v>
      </c>
      <c r="P976" t="s">
        <v>216</v>
      </c>
      <c r="Q976" t="s">
        <v>147</v>
      </c>
      <c r="R976" t="s">
        <v>25</v>
      </c>
    </row>
    <row r="977" spans="1:18" x14ac:dyDescent="0.25">
      <c r="A977" t="s">
        <v>214</v>
      </c>
      <c r="B977" t="s">
        <v>215</v>
      </c>
      <c r="C977" t="s">
        <v>12</v>
      </c>
      <c r="D977">
        <v>2</v>
      </c>
      <c r="E977">
        <v>25</v>
      </c>
      <c r="F977">
        <v>5.7887120115774201E-3</v>
      </c>
      <c r="G977">
        <v>2764</v>
      </c>
      <c r="H977">
        <v>0.117237401967636</v>
      </c>
      <c r="I977">
        <v>621</v>
      </c>
      <c r="L977">
        <v>1.84702667356E-3</v>
      </c>
      <c r="M977">
        <v>1.00352589808405E-3</v>
      </c>
      <c r="N977">
        <v>2011</v>
      </c>
      <c r="O977" t="s">
        <v>13</v>
      </c>
      <c r="P977" t="s">
        <v>216</v>
      </c>
      <c r="Q977" t="s">
        <v>147</v>
      </c>
      <c r="R977" t="s">
        <v>25</v>
      </c>
    </row>
    <row r="978" spans="1:18" x14ac:dyDescent="0.25">
      <c r="A978" t="s">
        <v>214</v>
      </c>
      <c r="B978" t="s">
        <v>215</v>
      </c>
      <c r="C978" t="s">
        <v>12</v>
      </c>
      <c r="D978">
        <v>2</v>
      </c>
      <c r="E978">
        <v>35</v>
      </c>
      <c r="F978">
        <v>2.4448705656759301E-2</v>
      </c>
      <c r="G978">
        <v>2086</v>
      </c>
      <c r="H978">
        <v>0.20519982674301801</v>
      </c>
      <c r="I978">
        <v>459</v>
      </c>
      <c r="L978">
        <v>1.8882239098574199E-3</v>
      </c>
      <c r="M978">
        <v>9.6423716142901203E-4</v>
      </c>
      <c r="N978">
        <v>2011</v>
      </c>
      <c r="O978" t="s">
        <v>13</v>
      </c>
      <c r="P978" t="s">
        <v>216</v>
      </c>
      <c r="Q978" t="s">
        <v>147</v>
      </c>
      <c r="R978" t="s">
        <v>25</v>
      </c>
    </row>
    <row r="979" spans="1:18" x14ac:dyDescent="0.25">
      <c r="A979" t="s">
        <v>214</v>
      </c>
      <c r="B979" t="s">
        <v>215</v>
      </c>
      <c r="C979" t="s">
        <v>12</v>
      </c>
      <c r="D979">
        <v>2</v>
      </c>
      <c r="E979">
        <v>45</v>
      </c>
      <c r="F979">
        <v>7.7287066246056801E-2</v>
      </c>
      <c r="G979">
        <v>1902</v>
      </c>
      <c r="H979">
        <v>0.239206949219084</v>
      </c>
      <c r="I979">
        <v>811</v>
      </c>
      <c r="L979">
        <v>2.2199113299859199E-3</v>
      </c>
      <c r="M979">
        <v>1.5521456407965801E-3</v>
      </c>
      <c r="N979">
        <v>2011</v>
      </c>
      <c r="O979" t="s">
        <v>13</v>
      </c>
      <c r="P979" t="s">
        <v>216</v>
      </c>
      <c r="Q979" t="s">
        <v>147</v>
      </c>
      <c r="R979" t="s">
        <v>25</v>
      </c>
    </row>
    <row r="980" spans="1:18" x14ac:dyDescent="0.25">
      <c r="A980" t="s">
        <v>214</v>
      </c>
      <c r="B980" t="s">
        <v>215</v>
      </c>
      <c r="C980" t="s">
        <v>12</v>
      </c>
      <c r="D980">
        <v>2</v>
      </c>
      <c r="E980">
        <v>55</v>
      </c>
      <c r="F980">
        <v>0.16886726893676199</v>
      </c>
      <c r="G980">
        <v>1439</v>
      </c>
      <c r="H980">
        <v>0.301816950950826</v>
      </c>
      <c r="I980">
        <v>875</v>
      </c>
      <c r="L980">
        <v>1.9535011732239099E-3</v>
      </c>
      <c r="M980">
        <v>1.4447478986113801E-3</v>
      </c>
      <c r="N980">
        <v>2011</v>
      </c>
      <c r="O980" t="s">
        <v>13</v>
      </c>
      <c r="P980" t="s">
        <v>216</v>
      </c>
      <c r="Q980" t="s">
        <v>147</v>
      </c>
      <c r="R980" t="s">
        <v>25</v>
      </c>
    </row>
    <row r="981" spans="1:18" x14ac:dyDescent="0.25">
      <c r="A981" t="s">
        <v>214</v>
      </c>
      <c r="B981" t="s">
        <v>215</v>
      </c>
      <c r="C981" t="s">
        <v>12</v>
      </c>
      <c r="D981">
        <v>2</v>
      </c>
      <c r="E981">
        <v>65</v>
      </c>
      <c r="F981">
        <v>0.242937853107345</v>
      </c>
      <c r="G981">
        <v>885</v>
      </c>
      <c r="H981">
        <v>0.29880516717137101</v>
      </c>
      <c r="I981">
        <v>525</v>
      </c>
      <c r="L981">
        <v>1.9235631915701401E-3</v>
      </c>
      <c r="M981">
        <v>1.79135792567864E-3</v>
      </c>
      <c r="N981">
        <v>2011</v>
      </c>
      <c r="O981" t="s">
        <v>13</v>
      </c>
      <c r="P981" t="s">
        <v>216</v>
      </c>
      <c r="Q981" t="s">
        <v>147</v>
      </c>
      <c r="R981" t="s">
        <v>25</v>
      </c>
    </row>
    <row r="982" spans="1:18" x14ac:dyDescent="0.25">
      <c r="A982" t="s">
        <v>214</v>
      </c>
      <c r="B982" t="s">
        <v>215</v>
      </c>
      <c r="C982" t="s">
        <v>12</v>
      </c>
      <c r="D982">
        <v>2</v>
      </c>
      <c r="E982">
        <v>75</v>
      </c>
      <c r="F982">
        <v>0.22456140350877199</v>
      </c>
      <c r="G982">
        <v>570</v>
      </c>
      <c r="H982">
        <v>0.32537166737464002</v>
      </c>
      <c r="I982">
        <v>357</v>
      </c>
      <c r="L982">
        <v>2.0729027959702001E-3</v>
      </c>
      <c r="M982">
        <v>1.5763125824731601E-3</v>
      </c>
      <c r="N982">
        <v>2011</v>
      </c>
      <c r="O982" t="s">
        <v>13</v>
      </c>
      <c r="P982" t="s">
        <v>216</v>
      </c>
      <c r="Q982" t="s">
        <v>147</v>
      </c>
      <c r="R982" t="s">
        <v>25</v>
      </c>
    </row>
    <row r="983" spans="1:18" x14ac:dyDescent="0.25">
      <c r="A983" t="s">
        <v>214</v>
      </c>
      <c r="B983" t="s">
        <v>215</v>
      </c>
      <c r="C983" t="s">
        <v>12</v>
      </c>
      <c r="D983">
        <v>2</v>
      </c>
      <c r="E983">
        <v>84.91</v>
      </c>
      <c r="F983">
        <v>0.164179104477612</v>
      </c>
      <c r="G983">
        <v>201</v>
      </c>
      <c r="H983">
        <v>0.33213742076977398</v>
      </c>
      <c r="I983">
        <v>132</v>
      </c>
      <c r="L983">
        <v>1.76026650606156E-3</v>
      </c>
      <c r="M983">
        <v>1.11318465762901E-3</v>
      </c>
      <c r="N983">
        <v>2011</v>
      </c>
      <c r="O983" t="s">
        <v>13</v>
      </c>
      <c r="P983" t="s">
        <v>216</v>
      </c>
      <c r="Q983" t="s">
        <v>147</v>
      </c>
      <c r="R983" t="s">
        <v>25</v>
      </c>
    </row>
    <row r="984" spans="1:18" x14ac:dyDescent="0.25">
      <c r="A984" t="s">
        <v>214</v>
      </c>
      <c r="B984" t="s">
        <v>215</v>
      </c>
      <c r="C984" t="s">
        <v>12</v>
      </c>
      <c r="D984">
        <v>1</v>
      </c>
      <c r="E984">
        <v>19</v>
      </c>
      <c r="F984">
        <v>0</v>
      </c>
      <c r="G984">
        <v>577</v>
      </c>
      <c r="H984">
        <v>0.132427093045039</v>
      </c>
      <c r="I984">
        <v>133</v>
      </c>
      <c r="L984">
        <v>1.82389304179278E-3</v>
      </c>
      <c r="M984">
        <v>0</v>
      </c>
      <c r="N984">
        <v>2011</v>
      </c>
      <c r="O984" t="s">
        <v>13</v>
      </c>
      <c r="P984" t="s">
        <v>216</v>
      </c>
      <c r="Q984" t="s">
        <v>147</v>
      </c>
      <c r="R984" t="s">
        <v>25</v>
      </c>
    </row>
    <row r="985" spans="1:18" x14ac:dyDescent="0.25">
      <c r="A985" t="s">
        <v>214</v>
      </c>
      <c r="B985" t="s">
        <v>215</v>
      </c>
      <c r="C985" t="s">
        <v>12</v>
      </c>
      <c r="D985">
        <v>1</v>
      </c>
      <c r="E985">
        <v>25</v>
      </c>
      <c r="F985">
        <v>2.6809651474530801E-3</v>
      </c>
      <c r="G985">
        <v>2238</v>
      </c>
      <c r="H985">
        <v>0.135392125766053</v>
      </c>
      <c r="I985">
        <v>512</v>
      </c>
      <c r="L985">
        <v>2.9798940378905001E-3</v>
      </c>
      <c r="M985">
        <v>1.09252568560496E-3</v>
      </c>
      <c r="N985">
        <v>2011</v>
      </c>
      <c r="O985" t="s">
        <v>13</v>
      </c>
      <c r="P985" t="s">
        <v>216</v>
      </c>
      <c r="Q985" t="s">
        <v>147</v>
      </c>
      <c r="R985" t="s">
        <v>25</v>
      </c>
    </row>
    <row r="986" spans="1:18" x14ac:dyDescent="0.25">
      <c r="A986" t="s">
        <v>214</v>
      </c>
      <c r="B986" t="s">
        <v>215</v>
      </c>
      <c r="C986" t="s">
        <v>12</v>
      </c>
      <c r="D986">
        <v>1</v>
      </c>
      <c r="E986">
        <v>35</v>
      </c>
      <c r="F986">
        <v>1.54052243804421E-2</v>
      </c>
      <c r="G986">
        <v>1493</v>
      </c>
      <c r="H986">
        <v>0.181963312016406</v>
      </c>
      <c r="I986">
        <v>322</v>
      </c>
      <c r="L986">
        <v>2.8117810024503799E-3</v>
      </c>
      <c r="M986">
        <v>1.3452752606686301E-3</v>
      </c>
      <c r="N986">
        <v>2011</v>
      </c>
      <c r="O986" t="s">
        <v>13</v>
      </c>
      <c r="P986" t="s">
        <v>216</v>
      </c>
      <c r="Q986" t="s">
        <v>147</v>
      </c>
      <c r="R986" t="s">
        <v>25</v>
      </c>
    </row>
    <row r="987" spans="1:18" x14ac:dyDescent="0.25">
      <c r="A987" t="s">
        <v>214</v>
      </c>
      <c r="B987" t="s">
        <v>215</v>
      </c>
      <c r="C987" t="s">
        <v>12</v>
      </c>
      <c r="D987">
        <v>1</v>
      </c>
      <c r="E987">
        <v>45</v>
      </c>
      <c r="F987">
        <v>6.8181818181818205E-2</v>
      </c>
      <c r="G987">
        <v>1364</v>
      </c>
      <c r="H987">
        <v>0.239988714749514</v>
      </c>
      <c r="I987">
        <v>610</v>
      </c>
      <c r="L987">
        <v>3.1537323639758801E-3</v>
      </c>
      <c r="M987">
        <v>2.0097606621253998E-3</v>
      </c>
      <c r="N987">
        <v>2011</v>
      </c>
      <c r="O987" t="s">
        <v>13</v>
      </c>
      <c r="P987" t="s">
        <v>216</v>
      </c>
      <c r="Q987" t="s">
        <v>147</v>
      </c>
      <c r="R987" t="s">
        <v>25</v>
      </c>
    </row>
    <row r="988" spans="1:18" x14ac:dyDescent="0.25">
      <c r="A988" t="s">
        <v>214</v>
      </c>
      <c r="B988" t="s">
        <v>215</v>
      </c>
      <c r="C988" t="s">
        <v>12</v>
      </c>
      <c r="D988">
        <v>1</v>
      </c>
      <c r="E988">
        <v>55</v>
      </c>
      <c r="F988">
        <v>0.14959928762244001</v>
      </c>
      <c r="G988">
        <v>1123</v>
      </c>
      <c r="H988">
        <v>0.31075229714687802</v>
      </c>
      <c r="I988">
        <v>715</v>
      </c>
      <c r="L988">
        <v>2.52784717097362E-3</v>
      </c>
      <c r="M988">
        <v>1.6289206888723501E-3</v>
      </c>
      <c r="N988">
        <v>2011</v>
      </c>
      <c r="O988" t="s">
        <v>13</v>
      </c>
      <c r="P988" t="s">
        <v>216</v>
      </c>
      <c r="Q988" t="s">
        <v>147</v>
      </c>
      <c r="R988" t="s">
        <v>25</v>
      </c>
    </row>
    <row r="989" spans="1:18" x14ac:dyDescent="0.25">
      <c r="A989" t="s">
        <v>214</v>
      </c>
      <c r="B989" t="s">
        <v>215</v>
      </c>
      <c r="C989" t="s">
        <v>12</v>
      </c>
      <c r="D989">
        <v>1</v>
      </c>
      <c r="E989">
        <v>65</v>
      </c>
      <c r="F989">
        <v>0.14092140921409199</v>
      </c>
      <c r="G989">
        <v>738</v>
      </c>
      <c r="H989">
        <v>0.28327098871725598</v>
      </c>
      <c r="I989">
        <v>494</v>
      </c>
      <c r="L989">
        <v>3.5737238796894198E-3</v>
      </c>
      <c r="M989">
        <v>2.5486576167596201E-3</v>
      </c>
      <c r="N989">
        <v>2011</v>
      </c>
      <c r="O989" t="s">
        <v>13</v>
      </c>
      <c r="P989" t="s">
        <v>216</v>
      </c>
      <c r="Q989" t="s">
        <v>147</v>
      </c>
      <c r="R989" t="s">
        <v>25</v>
      </c>
    </row>
    <row r="990" spans="1:18" x14ac:dyDescent="0.25">
      <c r="A990" t="s">
        <v>214</v>
      </c>
      <c r="B990" t="s">
        <v>215</v>
      </c>
      <c r="C990" t="s">
        <v>12</v>
      </c>
      <c r="D990">
        <v>1</v>
      </c>
      <c r="E990">
        <v>75</v>
      </c>
      <c r="F990">
        <v>0.186234817813765</v>
      </c>
      <c r="G990">
        <v>494</v>
      </c>
      <c r="H990">
        <v>0.26428550335335599</v>
      </c>
      <c r="I990">
        <v>318</v>
      </c>
      <c r="L990">
        <v>3.5313067592777901E-3</v>
      </c>
      <c r="M990">
        <v>3.3145062142354801E-3</v>
      </c>
      <c r="N990">
        <v>2011</v>
      </c>
      <c r="O990" t="s">
        <v>13</v>
      </c>
      <c r="P990" t="s">
        <v>216</v>
      </c>
      <c r="Q990" t="s">
        <v>147</v>
      </c>
      <c r="R990" t="s">
        <v>25</v>
      </c>
    </row>
    <row r="991" spans="1:18" x14ac:dyDescent="0.25">
      <c r="A991" t="s">
        <v>214</v>
      </c>
      <c r="B991" t="s">
        <v>215</v>
      </c>
      <c r="C991" t="s">
        <v>12</v>
      </c>
      <c r="D991">
        <v>1</v>
      </c>
      <c r="E991">
        <v>84.91</v>
      </c>
      <c r="F991">
        <v>7.4468085106383003E-2</v>
      </c>
      <c r="G991">
        <v>188</v>
      </c>
      <c r="H991">
        <v>0.23997178663077801</v>
      </c>
      <c r="I991">
        <v>146</v>
      </c>
      <c r="L991">
        <v>6.2509732900019902E-3</v>
      </c>
      <c r="M991">
        <v>3.9614295205167597E-3</v>
      </c>
      <c r="N991">
        <v>2011</v>
      </c>
      <c r="O991" t="s">
        <v>13</v>
      </c>
      <c r="P991" t="s">
        <v>216</v>
      </c>
      <c r="Q991" t="s">
        <v>147</v>
      </c>
      <c r="R991" t="s">
        <v>25</v>
      </c>
    </row>
    <row r="992" spans="1:18" x14ac:dyDescent="0.25">
      <c r="A992" t="s">
        <v>214</v>
      </c>
      <c r="B992" t="s">
        <v>217</v>
      </c>
      <c r="C992" t="s">
        <v>12</v>
      </c>
      <c r="D992">
        <v>2</v>
      </c>
      <c r="E992">
        <v>55</v>
      </c>
      <c r="F992">
        <v>0.19896373056994801</v>
      </c>
      <c r="G992">
        <v>2895</v>
      </c>
      <c r="H992">
        <v>0.26447744456743899</v>
      </c>
      <c r="I992">
        <v>388</v>
      </c>
      <c r="L992">
        <v>2.5964166648348298E-3</v>
      </c>
      <c r="M992">
        <v>2.6839440945463102E-3</v>
      </c>
      <c r="N992">
        <v>2012</v>
      </c>
      <c r="O992" t="s">
        <v>13</v>
      </c>
      <c r="P992" t="s">
        <v>216</v>
      </c>
      <c r="Q992" t="s">
        <v>147</v>
      </c>
      <c r="R992" t="s">
        <v>25</v>
      </c>
    </row>
    <row r="993" spans="1:18" x14ac:dyDescent="0.25">
      <c r="A993" t="s">
        <v>214</v>
      </c>
      <c r="B993" t="s">
        <v>217</v>
      </c>
      <c r="C993" t="s">
        <v>12</v>
      </c>
      <c r="D993">
        <v>2</v>
      </c>
      <c r="E993">
        <v>65</v>
      </c>
      <c r="F993">
        <v>0.27559322033898298</v>
      </c>
      <c r="G993">
        <v>2950</v>
      </c>
      <c r="H993">
        <v>0.33195168300500399</v>
      </c>
      <c r="I993">
        <v>259</v>
      </c>
      <c r="L993">
        <v>2.3022082810387999E-3</v>
      </c>
      <c r="M993">
        <v>1.93942672492643E-3</v>
      </c>
      <c r="N993">
        <v>2012</v>
      </c>
      <c r="O993" t="s">
        <v>13</v>
      </c>
      <c r="P993" t="s">
        <v>216</v>
      </c>
      <c r="Q993" t="s">
        <v>147</v>
      </c>
      <c r="R993" t="s">
        <v>25</v>
      </c>
    </row>
    <row r="994" spans="1:18" x14ac:dyDescent="0.25">
      <c r="A994" t="s">
        <v>214</v>
      </c>
      <c r="B994" t="s">
        <v>217</v>
      </c>
      <c r="C994" t="s">
        <v>12</v>
      </c>
      <c r="D994">
        <v>2</v>
      </c>
      <c r="E994">
        <v>75</v>
      </c>
      <c r="F994">
        <v>0.27109826589595398</v>
      </c>
      <c r="G994">
        <v>1730</v>
      </c>
      <c r="H994">
        <v>0.24296557201240401</v>
      </c>
      <c r="I994">
        <v>143</v>
      </c>
      <c r="L994">
        <v>3.3894562196706401E-3</v>
      </c>
      <c r="M994">
        <v>4.7601043233273703E-3</v>
      </c>
      <c r="N994">
        <v>2012</v>
      </c>
      <c r="O994" t="s">
        <v>13</v>
      </c>
      <c r="P994" t="s">
        <v>216</v>
      </c>
      <c r="Q994" t="s">
        <v>147</v>
      </c>
      <c r="R994" t="s">
        <v>25</v>
      </c>
    </row>
    <row r="995" spans="1:18" x14ac:dyDescent="0.25">
      <c r="A995" t="s">
        <v>214</v>
      </c>
      <c r="B995" t="s">
        <v>217</v>
      </c>
      <c r="C995" t="s">
        <v>12</v>
      </c>
      <c r="D995">
        <v>2</v>
      </c>
      <c r="E995">
        <v>84.91</v>
      </c>
      <c r="F995">
        <v>0.17233009708737901</v>
      </c>
      <c r="G995">
        <v>824</v>
      </c>
      <c r="H995">
        <v>0.26080558837488899</v>
      </c>
      <c r="I995">
        <v>70</v>
      </c>
      <c r="L995">
        <v>3.4622745858843801E-3</v>
      </c>
      <c r="M995">
        <v>3.2876616919004101E-3</v>
      </c>
      <c r="N995">
        <v>2012</v>
      </c>
      <c r="O995" t="s">
        <v>13</v>
      </c>
      <c r="P995" t="s">
        <v>216</v>
      </c>
      <c r="Q995" t="s">
        <v>147</v>
      </c>
      <c r="R995" t="s">
        <v>25</v>
      </c>
    </row>
    <row r="996" spans="1:18" x14ac:dyDescent="0.25">
      <c r="A996" t="s">
        <v>214</v>
      </c>
      <c r="B996" t="s">
        <v>217</v>
      </c>
      <c r="C996" t="s">
        <v>12</v>
      </c>
      <c r="D996">
        <v>1</v>
      </c>
      <c r="E996">
        <v>55</v>
      </c>
      <c r="F996">
        <v>0.13998884551031801</v>
      </c>
      <c r="G996">
        <v>1793</v>
      </c>
      <c r="H996">
        <v>0.226935484393431</v>
      </c>
      <c r="I996">
        <v>239</v>
      </c>
      <c r="L996">
        <v>4.64167979348279E-3</v>
      </c>
      <c r="M996">
        <v>4.7302848800813303E-3</v>
      </c>
      <c r="N996">
        <v>2012</v>
      </c>
      <c r="O996" t="s">
        <v>13</v>
      </c>
      <c r="P996" t="s">
        <v>216</v>
      </c>
      <c r="Q996" t="s">
        <v>147</v>
      </c>
      <c r="R996" t="s">
        <v>25</v>
      </c>
    </row>
    <row r="997" spans="1:18" x14ac:dyDescent="0.25">
      <c r="A997" t="s">
        <v>214</v>
      </c>
      <c r="B997" t="s">
        <v>217</v>
      </c>
      <c r="C997" t="s">
        <v>12</v>
      </c>
      <c r="D997">
        <v>1</v>
      </c>
      <c r="E997">
        <v>65</v>
      </c>
      <c r="F997">
        <v>0.20933913731697701</v>
      </c>
      <c r="G997">
        <v>2527</v>
      </c>
      <c r="H997">
        <v>0.25617504169016497</v>
      </c>
      <c r="I997">
        <v>229</v>
      </c>
      <c r="L997">
        <v>4.4388420398285798E-3</v>
      </c>
      <c r="M997">
        <v>4.7453341444523402E-3</v>
      </c>
      <c r="N997">
        <v>2012</v>
      </c>
      <c r="O997" t="s">
        <v>13</v>
      </c>
      <c r="P997" t="s">
        <v>216</v>
      </c>
      <c r="Q997" t="s">
        <v>147</v>
      </c>
      <c r="R997" t="s">
        <v>25</v>
      </c>
    </row>
    <row r="998" spans="1:18" x14ac:dyDescent="0.25">
      <c r="A998" t="s">
        <v>214</v>
      </c>
      <c r="B998" t="s">
        <v>217</v>
      </c>
      <c r="C998" t="s">
        <v>12</v>
      </c>
      <c r="D998">
        <v>1</v>
      </c>
      <c r="E998">
        <v>75</v>
      </c>
      <c r="F998">
        <v>0.206543967280164</v>
      </c>
      <c r="G998">
        <v>1467</v>
      </c>
      <c r="H998">
        <v>0.29749203373954197</v>
      </c>
      <c r="I998">
        <v>120</v>
      </c>
      <c r="L998">
        <v>4.5741448339143504E-3</v>
      </c>
      <c r="M998">
        <v>3.76632095763349E-3</v>
      </c>
      <c r="N998">
        <v>2012</v>
      </c>
      <c r="O998" t="s">
        <v>13</v>
      </c>
      <c r="P998" t="s">
        <v>216</v>
      </c>
      <c r="Q998" t="s">
        <v>147</v>
      </c>
      <c r="R998" t="s">
        <v>25</v>
      </c>
    </row>
    <row r="999" spans="1:18" x14ac:dyDescent="0.25">
      <c r="A999" t="s">
        <v>214</v>
      </c>
      <c r="B999" t="s">
        <v>217</v>
      </c>
      <c r="C999" t="s">
        <v>12</v>
      </c>
      <c r="D999">
        <v>1</v>
      </c>
      <c r="E999">
        <v>84.91</v>
      </c>
      <c r="F999">
        <v>0.117737003058104</v>
      </c>
      <c r="G999">
        <v>654</v>
      </c>
      <c r="H999">
        <v>0.24324948082703801</v>
      </c>
      <c r="I999">
        <v>56</v>
      </c>
      <c r="L999">
        <v>9.5141985427339096E-3</v>
      </c>
      <c r="M999">
        <v>7.4306408082795697E-3</v>
      </c>
      <c r="N999">
        <v>2012</v>
      </c>
      <c r="O999" t="s">
        <v>13</v>
      </c>
      <c r="P999" t="s">
        <v>216</v>
      </c>
      <c r="Q999" t="s">
        <v>147</v>
      </c>
      <c r="R999" t="s">
        <v>25</v>
      </c>
    </row>
    <row r="1000" spans="1:18" x14ac:dyDescent="0.25">
      <c r="A1000" t="s">
        <v>214</v>
      </c>
      <c r="B1000" t="s">
        <v>218</v>
      </c>
      <c r="C1000" t="s">
        <v>12</v>
      </c>
      <c r="D1000">
        <v>2</v>
      </c>
      <c r="E1000">
        <v>25</v>
      </c>
      <c r="F1000">
        <v>6.8698804621757899E-3</v>
      </c>
      <c r="G1000">
        <v>1024</v>
      </c>
      <c r="H1000">
        <v>1.55915398131788E-2</v>
      </c>
      <c r="I1000">
        <v>453</v>
      </c>
      <c r="L1000">
        <v>4.9605766799725103E-7</v>
      </c>
      <c r="M1000">
        <v>2.1453658056943601E-6</v>
      </c>
      <c r="N1000">
        <v>2016</v>
      </c>
      <c r="O1000" t="s">
        <v>13</v>
      </c>
      <c r="P1000" t="s">
        <v>216</v>
      </c>
      <c r="Q1000" t="s">
        <v>147</v>
      </c>
      <c r="R1000" t="s">
        <v>25</v>
      </c>
    </row>
    <row r="1001" spans="1:18" x14ac:dyDescent="0.25">
      <c r="A1001" t="s">
        <v>214</v>
      </c>
      <c r="B1001" t="s">
        <v>218</v>
      </c>
      <c r="C1001" t="s">
        <v>12</v>
      </c>
      <c r="D1001">
        <v>2</v>
      </c>
      <c r="E1001">
        <v>35</v>
      </c>
      <c r="F1001">
        <v>1.8709261147914099E-2</v>
      </c>
      <c r="G1001">
        <v>1319</v>
      </c>
      <c r="H1001">
        <v>3.4969641655557798E-2</v>
      </c>
      <c r="I1001">
        <v>611</v>
      </c>
      <c r="L1001">
        <v>1.06680542787618E-6</v>
      </c>
      <c r="M1001">
        <v>3.9913822564382799E-6</v>
      </c>
      <c r="N1001">
        <v>2016</v>
      </c>
      <c r="O1001" t="s">
        <v>13</v>
      </c>
      <c r="P1001" t="s">
        <v>216</v>
      </c>
      <c r="Q1001" t="s">
        <v>147</v>
      </c>
      <c r="R1001" t="s">
        <v>25</v>
      </c>
    </row>
    <row r="1002" spans="1:18" x14ac:dyDescent="0.25">
      <c r="A1002" t="s">
        <v>214</v>
      </c>
      <c r="B1002" t="s">
        <v>218</v>
      </c>
      <c r="C1002" t="s">
        <v>12</v>
      </c>
      <c r="D1002">
        <v>2</v>
      </c>
      <c r="E1002">
        <v>45</v>
      </c>
      <c r="F1002">
        <v>7.0078566144689505E-2</v>
      </c>
      <c r="G1002">
        <v>1109</v>
      </c>
      <c r="H1002">
        <v>6.3758109495420795E-2</v>
      </c>
      <c r="I1002">
        <v>507</v>
      </c>
      <c r="L1002">
        <v>2.8894909938508798E-7</v>
      </c>
      <c r="M1002">
        <v>1.42893467534839E-6</v>
      </c>
      <c r="N1002">
        <v>2016</v>
      </c>
      <c r="O1002" t="s">
        <v>13</v>
      </c>
      <c r="P1002" t="s">
        <v>216</v>
      </c>
      <c r="Q1002" t="s">
        <v>147</v>
      </c>
      <c r="R1002" t="s">
        <v>25</v>
      </c>
    </row>
    <row r="1003" spans="1:18" x14ac:dyDescent="0.25">
      <c r="A1003" t="s">
        <v>214</v>
      </c>
      <c r="B1003" t="s">
        <v>218</v>
      </c>
      <c r="C1003" t="s">
        <v>12</v>
      </c>
      <c r="D1003">
        <v>2</v>
      </c>
      <c r="E1003">
        <v>55</v>
      </c>
      <c r="F1003">
        <v>0.16457365660227199</v>
      </c>
      <c r="G1003">
        <v>857</v>
      </c>
      <c r="H1003">
        <v>0.13488568644027399</v>
      </c>
      <c r="I1003">
        <v>313</v>
      </c>
      <c r="L1003">
        <v>1.40188870504407E-7</v>
      </c>
      <c r="M1003">
        <v>4.78810527647693E-7</v>
      </c>
      <c r="N1003">
        <v>2016</v>
      </c>
      <c r="O1003" t="s">
        <v>13</v>
      </c>
      <c r="P1003" t="s">
        <v>216</v>
      </c>
      <c r="Q1003" t="s">
        <v>147</v>
      </c>
      <c r="R1003" t="s">
        <v>25</v>
      </c>
    </row>
    <row r="1004" spans="1:18" x14ac:dyDescent="0.25">
      <c r="A1004" t="s">
        <v>214</v>
      </c>
      <c r="B1004" t="s">
        <v>218</v>
      </c>
      <c r="C1004" t="s">
        <v>12</v>
      </c>
      <c r="D1004">
        <v>2</v>
      </c>
      <c r="E1004">
        <v>65</v>
      </c>
      <c r="F1004">
        <v>0.32448103666682898</v>
      </c>
      <c r="G1004">
        <v>629</v>
      </c>
      <c r="H1004">
        <v>0.15371790551827699</v>
      </c>
      <c r="I1004">
        <v>212</v>
      </c>
      <c r="L1004">
        <v>1.57275466571424E-6</v>
      </c>
      <c r="M1004">
        <v>7.7292099171142392E-6</v>
      </c>
      <c r="N1004">
        <v>2016</v>
      </c>
      <c r="O1004" t="s">
        <v>13</v>
      </c>
      <c r="P1004" t="s">
        <v>216</v>
      </c>
      <c r="Q1004" t="s">
        <v>147</v>
      </c>
      <c r="R1004" t="s">
        <v>25</v>
      </c>
    </row>
    <row r="1005" spans="1:18" x14ac:dyDescent="0.25">
      <c r="A1005" t="s">
        <v>214</v>
      </c>
      <c r="B1005" t="s">
        <v>218</v>
      </c>
      <c r="C1005" t="s">
        <v>12</v>
      </c>
      <c r="D1005">
        <v>2</v>
      </c>
      <c r="E1005">
        <v>75</v>
      </c>
      <c r="F1005">
        <v>0.25176171793848401</v>
      </c>
      <c r="G1005">
        <v>381</v>
      </c>
      <c r="H1005">
        <v>0.129529381035587</v>
      </c>
      <c r="I1005">
        <v>120</v>
      </c>
      <c r="L1005">
        <v>3.5420924538296099E-6</v>
      </c>
      <c r="M1005">
        <v>1.8381643518287502E-5</v>
      </c>
      <c r="N1005">
        <v>2016</v>
      </c>
      <c r="O1005" t="s">
        <v>13</v>
      </c>
      <c r="P1005" t="s">
        <v>216</v>
      </c>
      <c r="Q1005" t="s">
        <v>147</v>
      </c>
      <c r="R1005" t="s">
        <v>25</v>
      </c>
    </row>
    <row r="1006" spans="1:18" x14ac:dyDescent="0.25">
      <c r="A1006" t="s">
        <v>214</v>
      </c>
      <c r="B1006" t="s">
        <v>218</v>
      </c>
      <c r="C1006" t="s">
        <v>12</v>
      </c>
      <c r="D1006">
        <v>2</v>
      </c>
      <c r="E1006">
        <v>84.91</v>
      </c>
      <c r="F1006">
        <v>0.18008309211127299</v>
      </c>
      <c r="G1006">
        <v>158</v>
      </c>
      <c r="H1006">
        <v>4.3965624955222701E-2</v>
      </c>
      <c r="I1006">
        <v>52</v>
      </c>
      <c r="L1006">
        <v>8.5048353154386705E-6</v>
      </c>
      <c r="M1006">
        <v>1.7095713760991601E-4</v>
      </c>
      <c r="N1006">
        <v>2016</v>
      </c>
      <c r="O1006" t="s">
        <v>13</v>
      </c>
      <c r="P1006" t="s">
        <v>216</v>
      </c>
      <c r="Q1006" t="s">
        <v>147</v>
      </c>
      <c r="R1006" t="s">
        <v>25</v>
      </c>
    </row>
    <row r="1007" spans="1:18" x14ac:dyDescent="0.25">
      <c r="A1007" t="s">
        <v>214</v>
      </c>
      <c r="B1007" t="s">
        <v>218</v>
      </c>
      <c r="C1007" t="s">
        <v>12</v>
      </c>
      <c r="D1007">
        <v>1</v>
      </c>
      <c r="E1007">
        <v>25</v>
      </c>
      <c r="F1007">
        <v>2.4736343534661701E-3</v>
      </c>
      <c r="G1007">
        <v>507</v>
      </c>
      <c r="H1007">
        <v>1.35617878579624E-2</v>
      </c>
      <c r="I1007">
        <v>226</v>
      </c>
      <c r="L1007">
        <v>2.1665987867139198E-6</v>
      </c>
      <c r="M1007">
        <v>5.7176057861453404E-6</v>
      </c>
      <c r="N1007">
        <v>2016</v>
      </c>
      <c r="O1007" t="s">
        <v>13</v>
      </c>
      <c r="P1007" t="s">
        <v>216</v>
      </c>
      <c r="Q1007" t="s">
        <v>147</v>
      </c>
      <c r="R1007" t="s">
        <v>25</v>
      </c>
    </row>
    <row r="1008" spans="1:18" x14ac:dyDescent="0.25">
      <c r="A1008" t="s">
        <v>214</v>
      </c>
      <c r="B1008" t="s">
        <v>218</v>
      </c>
      <c r="C1008" t="s">
        <v>12</v>
      </c>
      <c r="D1008">
        <v>1</v>
      </c>
      <c r="E1008">
        <v>35</v>
      </c>
      <c r="F1008">
        <v>5.9058162344989102E-3</v>
      </c>
      <c r="G1008">
        <v>536</v>
      </c>
      <c r="H1008">
        <v>2.0654038401117399E-2</v>
      </c>
      <c r="I1008">
        <v>247</v>
      </c>
      <c r="L1008">
        <v>1.58787436496265E-6</v>
      </c>
      <c r="M1008">
        <v>4.7592620743366699E-6</v>
      </c>
      <c r="N1008">
        <v>2016</v>
      </c>
      <c r="O1008" t="s">
        <v>13</v>
      </c>
      <c r="P1008" t="s">
        <v>216</v>
      </c>
      <c r="Q1008" t="s">
        <v>147</v>
      </c>
      <c r="R1008" t="s">
        <v>25</v>
      </c>
    </row>
    <row r="1009" spans="1:18" x14ac:dyDescent="0.25">
      <c r="A1009" t="s">
        <v>214</v>
      </c>
      <c r="B1009" t="s">
        <v>218</v>
      </c>
      <c r="C1009" t="s">
        <v>12</v>
      </c>
      <c r="D1009">
        <v>1</v>
      </c>
      <c r="E1009">
        <v>45</v>
      </c>
      <c r="F1009">
        <v>7.4950943377950302E-2</v>
      </c>
      <c r="G1009">
        <v>558</v>
      </c>
      <c r="H1009">
        <v>9.0849075119105505E-2</v>
      </c>
      <c r="I1009">
        <v>254</v>
      </c>
      <c r="L1009">
        <v>4.5897465362396598E-8</v>
      </c>
      <c r="M1009">
        <v>1.4956773761210101E-7</v>
      </c>
      <c r="N1009">
        <v>2016</v>
      </c>
      <c r="O1009" t="s">
        <v>13</v>
      </c>
      <c r="P1009" t="s">
        <v>216</v>
      </c>
      <c r="Q1009" t="s">
        <v>147</v>
      </c>
      <c r="R1009" t="s">
        <v>25</v>
      </c>
    </row>
    <row r="1010" spans="1:18" x14ac:dyDescent="0.25">
      <c r="A1010" t="s">
        <v>214</v>
      </c>
      <c r="B1010" t="s">
        <v>218</v>
      </c>
      <c r="C1010" t="s">
        <v>12</v>
      </c>
      <c r="D1010">
        <v>1</v>
      </c>
      <c r="E1010">
        <v>55</v>
      </c>
      <c r="F1010">
        <v>0.13376195262728399</v>
      </c>
      <c r="G1010">
        <v>495</v>
      </c>
      <c r="H1010">
        <v>0.10425510003772299</v>
      </c>
      <c r="I1010">
        <v>222</v>
      </c>
      <c r="L1010">
        <v>1.90472060161331E-7</v>
      </c>
      <c r="M1010">
        <v>8.0692394922526101E-7</v>
      </c>
      <c r="N1010">
        <v>2016</v>
      </c>
      <c r="O1010" t="s">
        <v>13</v>
      </c>
      <c r="P1010" t="s">
        <v>216</v>
      </c>
      <c r="Q1010" t="s">
        <v>147</v>
      </c>
      <c r="R1010" t="s">
        <v>25</v>
      </c>
    </row>
    <row r="1011" spans="1:18" x14ac:dyDescent="0.25">
      <c r="A1011" t="s">
        <v>214</v>
      </c>
      <c r="B1011" t="s">
        <v>218</v>
      </c>
      <c r="C1011" t="s">
        <v>12</v>
      </c>
      <c r="D1011">
        <v>1</v>
      </c>
      <c r="E1011">
        <v>65</v>
      </c>
      <c r="F1011">
        <v>0.23997231275989001</v>
      </c>
      <c r="G1011">
        <v>430</v>
      </c>
      <c r="H1011">
        <v>0.12639713572979</v>
      </c>
      <c r="I1011">
        <v>159</v>
      </c>
      <c r="L1011">
        <v>7.3447333417066595E-8</v>
      </c>
      <c r="M1011">
        <v>3.81450017435978E-7</v>
      </c>
      <c r="N1011">
        <v>2016</v>
      </c>
      <c r="O1011" t="s">
        <v>13</v>
      </c>
      <c r="P1011" t="s">
        <v>216</v>
      </c>
      <c r="Q1011" t="s">
        <v>147</v>
      </c>
      <c r="R1011" t="s">
        <v>25</v>
      </c>
    </row>
    <row r="1012" spans="1:18" x14ac:dyDescent="0.25">
      <c r="A1012" t="s">
        <v>214</v>
      </c>
      <c r="B1012" t="s">
        <v>218</v>
      </c>
      <c r="C1012" t="s">
        <v>12</v>
      </c>
      <c r="D1012">
        <v>1</v>
      </c>
      <c r="E1012">
        <v>75</v>
      </c>
      <c r="F1012">
        <v>0.18608019907762499</v>
      </c>
      <c r="G1012">
        <v>241</v>
      </c>
      <c r="H1012">
        <v>3.58225663444025E-2</v>
      </c>
      <c r="I1012">
        <v>84</v>
      </c>
      <c r="L1012">
        <v>7.5776074256389501E-9</v>
      </c>
      <c r="M1012">
        <v>2.20494413433002E-7</v>
      </c>
      <c r="N1012">
        <v>2016</v>
      </c>
      <c r="O1012" t="s">
        <v>13</v>
      </c>
      <c r="P1012" t="s">
        <v>216</v>
      </c>
      <c r="Q1012" t="s">
        <v>147</v>
      </c>
      <c r="R1012" t="s">
        <v>25</v>
      </c>
    </row>
    <row r="1013" spans="1:18" x14ac:dyDescent="0.25">
      <c r="A1013" t="s">
        <v>214</v>
      </c>
      <c r="B1013" t="s">
        <v>218</v>
      </c>
      <c r="C1013" t="s">
        <v>12</v>
      </c>
      <c r="D1013">
        <v>1</v>
      </c>
      <c r="E1013">
        <v>84.91</v>
      </c>
      <c r="F1013">
        <v>9.8385920338164595E-2</v>
      </c>
      <c r="G1013">
        <v>98</v>
      </c>
      <c r="H1013">
        <v>4.5454545454545497E-2</v>
      </c>
      <c r="I1013">
        <v>44</v>
      </c>
      <c r="L1013">
        <v>0</v>
      </c>
      <c r="M1013">
        <v>0</v>
      </c>
      <c r="N1013">
        <v>2016</v>
      </c>
      <c r="O1013" t="s">
        <v>13</v>
      </c>
      <c r="P1013" t="s">
        <v>216</v>
      </c>
      <c r="Q1013" t="s">
        <v>147</v>
      </c>
      <c r="R1013" t="s">
        <v>25</v>
      </c>
    </row>
    <row r="1014" spans="1:18" x14ac:dyDescent="0.25">
      <c r="A1014" t="s">
        <v>219</v>
      </c>
      <c r="B1014" t="s">
        <v>220</v>
      </c>
      <c r="C1014" t="s">
        <v>12</v>
      </c>
      <c r="D1014">
        <v>2</v>
      </c>
      <c r="E1014">
        <v>19</v>
      </c>
      <c r="F1014">
        <v>0</v>
      </c>
      <c r="G1014">
        <v>134</v>
      </c>
      <c r="H1014">
        <v>5.9180015405491199E-2</v>
      </c>
      <c r="I1014">
        <v>22</v>
      </c>
      <c r="L1014">
        <v>2.1746975212143999E-2</v>
      </c>
      <c r="M1014">
        <v>0</v>
      </c>
      <c r="N1014">
        <v>2002</v>
      </c>
      <c r="O1014" t="s">
        <v>13</v>
      </c>
      <c r="P1014" t="s">
        <v>221</v>
      </c>
      <c r="Q1014" t="s">
        <v>33</v>
      </c>
      <c r="R1014" t="s">
        <v>34</v>
      </c>
    </row>
    <row r="1015" spans="1:18" x14ac:dyDescent="0.25">
      <c r="A1015" t="s">
        <v>219</v>
      </c>
      <c r="B1015" t="s">
        <v>220</v>
      </c>
      <c r="C1015" t="s">
        <v>12</v>
      </c>
      <c r="D1015">
        <v>2</v>
      </c>
      <c r="E1015">
        <v>25</v>
      </c>
      <c r="F1015">
        <v>3.7243947858472998E-3</v>
      </c>
      <c r="G1015">
        <v>537</v>
      </c>
      <c r="H1015">
        <v>0.107306971018938</v>
      </c>
      <c r="I1015">
        <v>146</v>
      </c>
      <c r="L1015">
        <v>2.0710713928304401E-2</v>
      </c>
      <c r="M1015">
        <v>9.6878717162360208E-3</v>
      </c>
      <c r="N1015">
        <v>2002</v>
      </c>
      <c r="O1015" t="s">
        <v>13</v>
      </c>
      <c r="P1015" t="s">
        <v>221</v>
      </c>
      <c r="Q1015" t="s">
        <v>33</v>
      </c>
      <c r="R1015" t="s">
        <v>34</v>
      </c>
    </row>
    <row r="1016" spans="1:18" x14ac:dyDescent="0.25">
      <c r="A1016" t="s">
        <v>219</v>
      </c>
      <c r="B1016" t="s">
        <v>220</v>
      </c>
      <c r="C1016" t="s">
        <v>12</v>
      </c>
      <c r="D1016">
        <v>2</v>
      </c>
      <c r="E1016">
        <v>35</v>
      </c>
      <c r="F1016">
        <v>2.2222222222222199E-2</v>
      </c>
      <c r="G1016">
        <v>360</v>
      </c>
      <c r="H1016">
        <v>0.294558038589672</v>
      </c>
      <c r="I1016">
        <v>143</v>
      </c>
      <c r="L1016">
        <v>1.66086764903184E-2</v>
      </c>
      <c r="M1016">
        <v>4.4886605354585102E-3</v>
      </c>
      <c r="N1016">
        <v>2002</v>
      </c>
      <c r="O1016" t="s">
        <v>13</v>
      </c>
      <c r="P1016" t="s">
        <v>221</v>
      </c>
      <c r="Q1016" t="s">
        <v>33</v>
      </c>
      <c r="R1016" t="s">
        <v>34</v>
      </c>
    </row>
    <row r="1017" spans="1:18" x14ac:dyDescent="0.25">
      <c r="A1017" t="s">
        <v>219</v>
      </c>
      <c r="B1017" t="s">
        <v>220</v>
      </c>
      <c r="C1017" t="s">
        <v>12</v>
      </c>
      <c r="D1017">
        <v>2</v>
      </c>
      <c r="E1017">
        <v>45</v>
      </c>
      <c r="F1017">
        <v>0.13265306122449</v>
      </c>
      <c r="G1017">
        <v>294</v>
      </c>
      <c r="H1017">
        <v>0.49632016835818099</v>
      </c>
      <c r="I1017">
        <v>108</v>
      </c>
      <c r="L1017">
        <v>1.3370406164457701E-2</v>
      </c>
      <c r="M1017">
        <v>2.8951309078421601E-3</v>
      </c>
      <c r="N1017">
        <v>2002</v>
      </c>
      <c r="O1017" t="s">
        <v>13</v>
      </c>
      <c r="P1017" t="s">
        <v>221</v>
      </c>
      <c r="Q1017" t="s">
        <v>33</v>
      </c>
      <c r="R1017" t="s">
        <v>34</v>
      </c>
    </row>
    <row r="1018" spans="1:18" x14ac:dyDescent="0.25">
      <c r="A1018" t="s">
        <v>219</v>
      </c>
      <c r="B1018" t="s">
        <v>220</v>
      </c>
      <c r="C1018" t="s">
        <v>12</v>
      </c>
      <c r="D1018">
        <v>2</v>
      </c>
      <c r="E1018">
        <v>55</v>
      </c>
      <c r="F1018">
        <v>0.31360946745562102</v>
      </c>
      <c r="G1018">
        <v>169</v>
      </c>
      <c r="H1018">
        <v>0.54526786384845505</v>
      </c>
      <c r="I1018">
        <v>55</v>
      </c>
      <c r="L1018">
        <v>1.5905432544352099E-2</v>
      </c>
      <c r="M1018">
        <v>4.0225862175805802E-3</v>
      </c>
      <c r="N1018">
        <v>2002</v>
      </c>
      <c r="O1018" t="s">
        <v>13</v>
      </c>
      <c r="P1018" t="s">
        <v>221</v>
      </c>
      <c r="Q1018" t="s">
        <v>33</v>
      </c>
      <c r="R1018" t="s">
        <v>34</v>
      </c>
    </row>
    <row r="1019" spans="1:18" x14ac:dyDescent="0.25">
      <c r="A1019" t="s">
        <v>219</v>
      </c>
      <c r="B1019" t="s">
        <v>220</v>
      </c>
      <c r="C1019" t="s">
        <v>12</v>
      </c>
      <c r="D1019">
        <v>2</v>
      </c>
      <c r="E1019">
        <v>62.5</v>
      </c>
      <c r="F1019">
        <v>0.28947368421052599</v>
      </c>
      <c r="G1019">
        <v>38</v>
      </c>
      <c r="H1019">
        <v>0.80610152661363199</v>
      </c>
      <c r="I1019">
        <v>8</v>
      </c>
      <c r="L1019">
        <v>2.5038988469183201E-2</v>
      </c>
      <c r="M1019">
        <v>9.2177623433838205E-4</v>
      </c>
      <c r="N1019">
        <v>2002</v>
      </c>
      <c r="O1019" t="s">
        <v>13</v>
      </c>
      <c r="P1019" t="s">
        <v>221</v>
      </c>
      <c r="Q1019" t="s">
        <v>33</v>
      </c>
      <c r="R1019" t="s">
        <v>34</v>
      </c>
    </row>
    <row r="1020" spans="1:18" x14ac:dyDescent="0.25">
      <c r="A1020" t="s">
        <v>219</v>
      </c>
      <c r="B1020" t="s">
        <v>220</v>
      </c>
      <c r="C1020" t="s">
        <v>12</v>
      </c>
      <c r="D1020">
        <v>1</v>
      </c>
      <c r="E1020">
        <v>19</v>
      </c>
      <c r="F1020">
        <v>0</v>
      </c>
      <c r="G1020">
        <v>123</v>
      </c>
      <c r="H1020">
        <v>1.4353020104160299E-2</v>
      </c>
      <c r="I1020">
        <v>23</v>
      </c>
      <c r="L1020">
        <v>0.14114715223608901</v>
      </c>
      <c r="M1020">
        <v>0</v>
      </c>
      <c r="N1020">
        <v>2002</v>
      </c>
      <c r="O1020" t="s">
        <v>13</v>
      </c>
      <c r="P1020" t="s">
        <v>221</v>
      </c>
      <c r="Q1020" t="s">
        <v>33</v>
      </c>
      <c r="R1020" t="s">
        <v>34</v>
      </c>
    </row>
    <row r="1021" spans="1:18" x14ac:dyDescent="0.25">
      <c r="A1021" t="s">
        <v>219</v>
      </c>
      <c r="B1021" t="s">
        <v>220</v>
      </c>
      <c r="C1021" t="s">
        <v>12</v>
      </c>
      <c r="D1021">
        <v>1</v>
      </c>
      <c r="E1021">
        <v>25</v>
      </c>
      <c r="F1021">
        <v>0</v>
      </c>
      <c r="G1021">
        <v>376</v>
      </c>
      <c r="H1021">
        <v>0.111443030336562</v>
      </c>
      <c r="I1021">
        <v>87</v>
      </c>
      <c r="L1021">
        <v>1.5227403664651799E-2</v>
      </c>
      <c r="M1021">
        <v>0</v>
      </c>
      <c r="N1021">
        <v>2002</v>
      </c>
      <c r="O1021" t="s">
        <v>13</v>
      </c>
      <c r="P1021" t="s">
        <v>221</v>
      </c>
      <c r="Q1021" t="s">
        <v>33</v>
      </c>
      <c r="R1021" t="s">
        <v>34</v>
      </c>
    </row>
    <row r="1022" spans="1:18" x14ac:dyDescent="0.25">
      <c r="A1022" t="s">
        <v>219</v>
      </c>
      <c r="B1022" t="s">
        <v>220</v>
      </c>
      <c r="C1022" t="s">
        <v>12</v>
      </c>
      <c r="D1022">
        <v>1</v>
      </c>
      <c r="E1022">
        <v>35</v>
      </c>
      <c r="F1022">
        <v>7.63358778625954E-3</v>
      </c>
      <c r="G1022">
        <v>262</v>
      </c>
      <c r="H1022">
        <v>0.25138915702265702</v>
      </c>
      <c r="I1022">
        <v>106</v>
      </c>
      <c r="L1022">
        <v>1.5858037292578599E-2</v>
      </c>
      <c r="M1022">
        <v>3.7408644042026501E-3</v>
      </c>
      <c r="N1022">
        <v>2002</v>
      </c>
      <c r="O1022" t="s">
        <v>13</v>
      </c>
      <c r="P1022" t="s">
        <v>221</v>
      </c>
      <c r="Q1022" t="s">
        <v>33</v>
      </c>
      <c r="R1022" t="s">
        <v>34</v>
      </c>
    </row>
    <row r="1023" spans="1:18" x14ac:dyDescent="0.25">
      <c r="A1023" t="s">
        <v>219</v>
      </c>
      <c r="B1023" t="s">
        <v>220</v>
      </c>
      <c r="C1023" t="s">
        <v>12</v>
      </c>
      <c r="D1023">
        <v>1</v>
      </c>
      <c r="E1023">
        <v>45</v>
      </c>
      <c r="F1023">
        <v>6.1797752808988797E-2</v>
      </c>
      <c r="G1023">
        <v>178</v>
      </c>
      <c r="H1023">
        <v>0.43071867931283903</v>
      </c>
      <c r="I1023">
        <v>73</v>
      </c>
      <c r="L1023">
        <v>1.4901760522813201E-2</v>
      </c>
      <c r="M1023">
        <v>3.1027505527377202E-3</v>
      </c>
      <c r="N1023">
        <v>2002</v>
      </c>
      <c r="O1023" t="s">
        <v>13</v>
      </c>
      <c r="P1023" t="s">
        <v>221</v>
      </c>
      <c r="Q1023" t="s">
        <v>33</v>
      </c>
      <c r="R1023" t="s">
        <v>34</v>
      </c>
    </row>
    <row r="1024" spans="1:18" x14ac:dyDescent="0.25">
      <c r="A1024" t="s">
        <v>219</v>
      </c>
      <c r="B1024" t="s">
        <v>220</v>
      </c>
      <c r="C1024" t="s">
        <v>12</v>
      </c>
      <c r="D1024">
        <v>1</v>
      </c>
      <c r="E1024">
        <v>55</v>
      </c>
      <c r="F1024">
        <v>0.212389380530973</v>
      </c>
      <c r="G1024">
        <v>113</v>
      </c>
      <c r="H1024">
        <v>0.62384026365936096</v>
      </c>
      <c r="I1024">
        <v>53</v>
      </c>
      <c r="L1024">
        <v>1.3461583445036399E-2</v>
      </c>
      <c r="M1024">
        <v>1.8148506214773999E-3</v>
      </c>
      <c r="N1024">
        <v>2002</v>
      </c>
      <c r="O1024" t="s">
        <v>13</v>
      </c>
      <c r="P1024" t="s">
        <v>221</v>
      </c>
      <c r="Q1024" t="s">
        <v>33</v>
      </c>
      <c r="R1024" t="s">
        <v>34</v>
      </c>
    </row>
    <row r="1025" spans="1:18" x14ac:dyDescent="0.25">
      <c r="A1025" t="s">
        <v>219</v>
      </c>
      <c r="B1025" t="s">
        <v>220</v>
      </c>
      <c r="C1025" t="s">
        <v>12</v>
      </c>
      <c r="D1025">
        <v>1</v>
      </c>
      <c r="E1025">
        <v>62.5</v>
      </c>
      <c r="F1025">
        <v>0.17241379310344801</v>
      </c>
      <c r="G1025">
        <v>29</v>
      </c>
      <c r="H1025">
        <v>0.448222201913691</v>
      </c>
      <c r="I1025">
        <v>11</v>
      </c>
      <c r="L1025">
        <v>2.17909277616368E-2</v>
      </c>
      <c r="M1025">
        <v>6.7997465185244202E-3</v>
      </c>
      <c r="N1025">
        <v>2002</v>
      </c>
      <c r="O1025" t="s">
        <v>13</v>
      </c>
      <c r="P1025" t="s">
        <v>221</v>
      </c>
      <c r="Q1025" t="s">
        <v>33</v>
      </c>
      <c r="R1025" t="s">
        <v>34</v>
      </c>
    </row>
    <row r="1026" spans="1:18" x14ac:dyDescent="0.25">
      <c r="A1026" t="s">
        <v>219</v>
      </c>
      <c r="B1026" t="s">
        <v>222</v>
      </c>
      <c r="C1026" t="s">
        <v>12</v>
      </c>
      <c r="D1026">
        <v>2</v>
      </c>
      <c r="E1026">
        <v>19</v>
      </c>
      <c r="F1026">
        <v>0</v>
      </c>
      <c r="G1026">
        <v>79</v>
      </c>
      <c r="H1026">
        <v>7.2569847717848898E-2</v>
      </c>
      <c r="I1026">
        <v>74</v>
      </c>
      <c r="L1026">
        <v>2.8608050106196598E-3</v>
      </c>
      <c r="M1026">
        <v>0</v>
      </c>
      <c r="N1026">
        <v>2018</v>
      </c>
      <c r="O1026" t="s">
        <v>13</v>
      </c>
      <c r="P1026" t="s">
        <v>221</v>
      </c>
      <c r="Q1026" t="s">
        <v>33</v>
      </c>
      <c r="R1026" t="s">
        <v>34</v>
      </c>
    </row>
    <row r="1027" spans="1:18" x14ac:dyDescent="0.25">
      <c r="A1027" t="s">
        <v>219</v>
      </c>
      <c r="B1027" t="s">
        <v>222</v>
      </c>
      <c r="C1027" t="s">
        <v>12</v>
      </c>
      <c r="D1027">
        <v>2</v>
      </c>
      <c r="E1027">
        <v>25</v>
      </c>
      <c r="F1027">
        <v>2.7472527472527501E-3</v>
      </c>
      <c r="G1027">
        <v>364</v>
      </c>
      <c r="H1027">
        <v>0.102286728612847</v>
      </c>
      <c r="I1027">
        <v>341</v>
      </c>
      <c r="L1027">
        <v>5.6736979674548603E-3</v>
      </c>
      <c r="M1027">
        <v>2.7468680373193802E-3</v>
      </c>
      <c r="N1027">
        <v>2018</v>
      </c>
      <c r="O1027" t="s">
        <v>13</v>
      </c>
      <c r="P1027" t="s">
        <v>221</v>
      </c>
      <c r="Q1027" t="s">
        <v>33</v>
      </c>
      <c r="R1027" t="s">
        <v>34</v>
      </c>
    </row>
    <row r="1028" spans="1:18" x14ac:dyDescent="0.25">
      <c r="A1028" t="s">
        <v>219</v>
      </c>
      <c r="B1028" t="s">
        <v>222</v>
      </c>
      <c r="C1028" t="s">
        <v>12</v>
      </c>
      <c r="D1028">
        <v>2</v>
      </c>
      <c r="E1028">
        <v>35</v>
      </c>
      <c r="F1028">
        <v>1.76600441501104E-2</v>
      </c>
      <c r="G1028">
        <v>453</v>
      </c>
      <c r="H1028">
        <v>0.22584793505813899</v>
      </c>
      <c r="I1028">
        <v>428</v>
      </c>
      <c r="L1028">
        <v>6.6149524447604597E-3</v>
      </c>
      <c r="M1028">
        <v>2.61166386557085E-3</v>
      </c>
      <c r="N1028">
        <v>2018</v>
      </c>
      <c r="O1028" t="s">
        <v>13</v>
      </c>
      <c r="P1028" t="s">
        <v>221</v>
      </c>
      <c r="Q1028" t="s">
        <v>33</v>
      </c>
      <c r="R1028" t="s">
        <v>34</v>
      </c>
    </row>
    <row r="1029" spans="1:18" x14ac:dyDescent="0.25">
      <c r="A1029" t="s">
        <v>219</v>
      </c>
      <c r="B1029" t="s">
        <v>222</v>
      </c>
      <c r="C1029" t="s">
        <v>12</v>
      </c>
      <c r="D1029">
        <v>2</v>
      </c>
      <c r="E1029">
        <v>45</v>
      </c>
      <c r="F1029">
        <v>8.17610062893082E-2</v>
      </c>
      <c r="G1029">
        <v>318</v>
      </c>
      <c r="H1029">
        <v>0.31880653018711802</v>
      </c>
      <c r="I1029">
        <v>274</v>
      </c>
      <c r="L1029">
        <v>6.6311447168023799E-3</v>
      </c>
      <c r="M1029">
        <v>3.0349552133696598E-3</v>
      </c>
      <c r="N1029">
        <v>2018</v>
      </c>
      <c r="O1029" t="s">
        <v>13</v>
      </c>
      <c r="P1029" t="s">
        <v>221</v>
      </c>
      <c r="Q1029" t="s">
        <v>33</v>
      </c>
      <c r="R1029" t="s">
        <v>34</v>
      </c>
    </row>
    <row r="1030" spans="1:18" x14ac:dyDescent="0.25">
      <c r="A1030" t="s">
        <v>219</v>
      </c>
      <c r="B1030" t="s">
        <v>222</v>
      </c>
      <c r="C1030" t="s">
        <v>12</v>
      </c>
      <c r="D1030">
        <v>2</v>
      </c>
      <c r="E1030">
        <v>55</v>
      </c>
      <c r="F1030">
        <v>0.17961165048543701</v>
      </c>
      <c r="G1030">
        <v>206</v>
      </c>
      <c r="H1030">
        <v>0.54552827499598</v>
      </c>
      <c r="I1030">
        <v>157</v>
      </c>
      <c r="L1030">
        <v>6.0455909361295497E-3</v>
      </c>
      <c r="M1030">
        <v>1.2691808403245399E-3</v>
      </c>
      <c r="N1030">
        <v>2018</v>
      </c>
      <c r="O1030" t="s">
        <v>13</v>
      </c>
      <c r="P1030" t="s">
        <v>221</v>
      </c>
      <c r="Q1030" t="s">
        <v>33</v>
      </c>
      <c r="R1030" t="s">
        <v>34</v>
      </c>
    </row>
    <row r="1031" spans="1:18" x14ac:dyDescent="0.25">
      <c r="A1031" t="s">
        <v>219</v>
      </c>
      <c r="B1031" t="s">
        <v>222</v>
      </c>
      <c r="C1031" t="s">
        <v>12</v>
      </c>
      <c r="D1031">
        <v>2</v>
      </c>
      <c r="E1031">
        <v>65</v>
      </c>
      <c r="F1031">
        <v>0.22935779816513799</v>
      </c>
      <c r="G1031">
        <v>109</v>
      </c>
      <c r="H1031">
        <v>0.49073810925767902</v>
      </c>
      <c r="I1031">
        <v>81</v>
      </c>
      <c r="L1031">
        <v>6.4249780974177202E-3</v>
      </c>
      <c r="M1031">
        <v>2.06995767171068E-3</v>
      </c>
      <c r="N1031">
        <v>2018</v>
      </c>
      <c r="O1031" t="s">
        <v>13</v>
      </c>
      <c r="P1031" t="s">
        <v>221</v>
      </c>
      <c r="Q1031" t="s">
        <v>33</v>
      </c>
      <c r="R1031" t="s">
        <v>34</v>
      </c>
    </row>
    <row r="1032" spans="1:18" x14ac:dyDescent="0.25">
      <c r="A1032" t="s">
        <v>219</v>
      </c>
      <c r="B1032" t="s">
        <v>222</v>
      </c>
      <c r="C1032" t="s">
        <v>12</v>
      </c>
      <c r="D1032">
        <v>2</v>
      </c>
      <c r="E1032">
        <v>75</v>
      </c>
      <c r="F1032">
        <v>0.217391304347826</v>
      </c>
      <c r="G1032">
        <v>23</v>
      </c>
      <c r="H1032">
        <v>0.38547967264709299</v>
      </c>
      <c r="I1032">
        <v>17</v>
      </c>
      <c r="L1032">
        <v>3.30725861846232E-3</v>
      </c>
      <c r="M1032">
        <v>1.86704134604122E-3</v>
      </c>
      <c r="N1032">
        <v>2018</v>
      </c>
      <c r="O1032" t="s">
        <v>13</v>
      </c>
      <c r="P1032" t="s">
        <v>221</v>
      </c>
      <c r="Q1032" t="s">
        <v>33</v>
      </c>
      <c r="R1032" t="s">
        <v>34</v>
      </c>
    </row>
    <row r="1033" spans="1:18" x14ac:dyDescent="0.25">
      <c r="A1033" t="s">
        <v>219</v>
      </c>
      <c r="B1033" t="s">
        <v>222</v>
      </c>
      <c r="C1033" t="s">
        <v>12</v>
      </c>
      <c r="D1033">
        <v>2</v>
      </c>
      <c r="E1033">
        <v>84.91</v>
      </c>
      <c r="F1033">
        <v>0</v>
      </c>
      <c r="G1033">
        <v>4</v>
      </c>
      <c r="H1033">
        <v>0.53170273010659896</v>
      </c>
      <c r="I1033">
        <v>4</v>
      </c>
      <c r="L1033">
        <v>1.0308544262758601E-2</v>
      </c>
      <c r="M1033">
        <v>0</v>
      </c>
      <c r="N1033">
        <v>2018</v>
      </c>
      <c r="O1033" t="s">
        <v>13</v>
      </c>
      <c r="P1033" t="s">
        <v>221</v>
      </c>
      <c r="Q1033" t="s">
        <v>33</v>
      </c>
      <c r="R1033" t="s">
        <v>34</v>
      </c>
    </row>
    <row r="1034" spans="1:18" x14ac:dyDescent="0.25">
      <c r="A1034" t="s">
        <v>219</v>
      </c>
      <c r="B1034" t="s">
        <v>222</v>
      </c>
      <c r="C1034" t="s">
        <v>12</v>
      </c>
      <c r="D1034">
        <v>1</v>
      </c>
      <c r="E1034">
        <v>19</v>
      </c>
      <c r="F1034">
        <v>1.2345679012345699E-2</v>
      </c>
      <c r="G1034">
        <v>81</v>
      </c>
      <c r="H1034">
        <v>0.108354792537539</v>
      </c>
      <c r="I1034">
        <v>77</v>
      </c>
      <c r="L1034">
        <v>8.02367654449707E-4</v>
      </c>
      <c r="M1034">
        <v>6.8394487945266599E-4</v>
      </c>
      <c r="N1034">
        <v>2018</v>
      </c>
      <c r="O1034" t="s">
        <v>13</v>
      </c>
      <c r="P1034" t="s">
        <v>221</v>
      </c>
      <c r="Q1034" t="s">
        <v>33</v>
      </c>
      <c r="R1034" t="s">
        <v>34</v>
      </c>
    </row>
    <row r="1035" spans="1:18" x14ac:dyDescent="0.25">
      <c r="A1035" t="s">
        <v>219</v>
      </c>
      <c r="B1035" t="s">
        <v>222</v>
      </c>
      <c r="C1035" t="s">
        <v>12</v>
      </c>
      <c r="D1035">
        <v>1</v>
      </c>
      <c r="E1035">
        <v>25</v>
      </c>
      <c r="F1035">
        <v>6.7114093959731499E-3</v>
      </c>
      <c r="G1035">
        <v>298</v>
      </c>
      <c r="H1035">
        <v>6.8133327202858099E-2</v>
      </c>
      <c r="I1035">
        <v>267</v>
      </c>
      <c r="L1035">
        <v>5.2069697582287503E-3</v>
      </c>
      <c r="M1035">
        <v>4.8565350530599804E-3</v>
      </c>
      <c r="N1035">
        <v>2018</v>
      </c>
      <c r="O1035" t="s">
        <v>13</v>
      </c>
      <c r="P1035" t="s">
        <v>221</v>
      </c>
      <c r="Q1035" t="s">
        <v>33</v>
      </c>
      <c r="R1035" t="s">
        <v>34</v>
      </c>
    </row>
    <row r="1036" spans="1:18" x14ac:dyDescent="0.25">
      <c r="A1036" t="s">
        <v>219</v>
      </c>
      <c r="B1036" t="s">
        <v>222</v>
      </c>
      <c r="C1036" t="s">
        <v>12</v>
      </c>
      <c r="D1036">
        <v>1</v>
      </c>
      <c r="E1036">
        <v>35</v>
      </c>
      <c r="F1036">
        <v>5.3619302949061698E-3</v>
      </c>
      <c r="G1036">
        <v>373</v>
      </c>
      <c r="H1036">
        <v>0.17104350479257799</v>
      </c>
      <c r="I1036">
        <v>343</v>
      </c>
      <c r="L1036">
        <v>4.3269273261229901E-3</v>
      </c>
      <c r="M1036">
        <v>1.5968646434614299E-3</v>
      </c>
      <c r="N1036">
        <v>2018</v>
      </c>
      <c r="O1036" t="s">
        <v>13</v>
      </c>
      <c r="P1036" t="s">
        <v>221</v>
      </c>
      <c r="Q1036" t="s">
        <v>33</v>
      </c>
      <c r="R1036" t="s">
        <v>34</v>
      </c>
    </row>
    <row r="1037" spans="1:18" x14ac:dyDescent="0.25">
      <c r="A1037" t="s">
        <v>219</v>
      </c>
      <c r="B1037" t="s">
        <v>222</v>
      </c>
      <c r="C1037" t="s">
        <v>12</v>
      </c>
      <c r="D1037">
        <v>1</v>
      </c>
      <c r="E1037">
        <v>45</v>
      </c>
      <c r="F1037">
        <v>5.96491228070175E-2</v>
      </c>
      <c r="G1037">
        <v>285</v>
      </c>
      <c r="H1037">
        <v>0.27701863064771298</v>
      </c>
      <c r="I1037">
        <v>239</v>
      </c>
      <c r="L1037">
        <v>5.24928342669468E-3</v>
      </c>
      <c r="M1037">
        <v>2.6592539010382899E-3</v>
      </c>
      <c r="N1037">
        <v>2018</v>
      </c>
      <c r="O1037" t="s">
        <v>13</v>
      </c>
      <c r="P1037" t="s">
        <v>221</v>
      </c>
      <c r="Q1037" t="s">
        <v>33</v>
      </c>
      <c r="R1037" t="s">
        <v>34</v>
      </c>
    </row>
    <row r="1038" spans="1:18" x14ac:dyDescent="0.25">
      <c r="A1038" t="s">
        <v>219</v>
      </c>
      <c r="B1038" t="s">
        <v>222</v>
      </c>
      <c r="C1038" t="s">
        <v>12</v>
      </c>
      <c r="D1038">
        <v>1</v>
      </c>
      <c r="E1038">
        <v>55</v>
      </c>
      <c r="F1038">
        <v>0.17194570135746601</v>
      </c>
      <c r="G1038">
        <v>221</v>
      </c>
      <c r="H1038">
        <v>0.48798627772664199</v>
      </c>
      <c r="I1038">
        <v>168</v>
      </c>
      <c r="L1038">
        <v>3.2593560806905798E-3</v>
      </c>
      <c r="M1038">
        <v>9.36299912502483E-4</v>
      </c>
      <c r="N1038">
        <v>2018</v>
      </c>
      <c r="O1038" t="s">
        <v>13</v>
      </c>
      <c r="P1038" t="s">
        <v>221</v>
      </c>
      <c r="Q1038" t="s">
        <v>33</v>
      </c>
      <c r="R1038" t="s">
        <v>34</v>
      </c>
    </row>
    <row r="1039" spans="1:18" x14ac:dyDescent="0.25">
      <c r="A1039" t="s">
        <v>219</v>
      </c>
      <c r="B1039" t="s">
        <v>222</v>
      </c>
      <c r="C1039" t="s">
        <v>12</v>
      </c>
      <c r="D1039">
        <v>1</v>
      </c>
      <c r="E1039">
        <v>65</v>
      </c>
      <c r="F1039">
        <v>0.218487394957983</v>
      </c>
      <c r="G1039">
        <v>119</v>
      </c>
      <c r="H1039">
        <v>0.43106659602918701</v>
      </c>
      <c r="I1039">
        <v>87</v>
      </c>
      <c r="L1039">
        <v>6.4765109331318804E-3</v>
      </c>
      <c r="M1039">
        <v>2.7446062274326202E-3</v>
      </c>
      <c r="N1039">
        <v>2018</v>
      </c>
      <c r="O1039" t="s">
        <v>13</v>
      </c>
      <c r="P1039" t="s">
        <v>221</v>
      </c>
      <c r="Q1039" t="s">
        <v>33</v>
      </c>
      <c r="R1039" t="s">
        <v>34</v>
      </c>
    </row>
    <row r="1040" spans="1:18" x14ac:dyDescent="0.25">
      <c r="A1040" t="s">
        <v>219</v>
      </c>
      <c r="B1040" t="s">
        <v>222</v>
      </c>
      <c r="C1040" t="s">
        <v>12</v>
      </c>
      <c r="D1040">
        <v>1</v>
      </c>
      <c r="E1040">
        <v>75</v>
      </c>
      <c r="F1040">
        <v>0.24</v>
      </c>
      <c r="G1040">
        <v>25</v>
      </c>
      <c r="H1040">
        <v>0.44842146247077003</v>
      </c>
      <c r="I1040">
        <v>17</v>
      </c>
      <c r="L1040">
        <v>2.01205941865416E-3</v>
      </c>
      <c r="M1040">
        <v>9.2928641404228796E-4</v>
      </c>
      <c r="N1040">
        <v>2018</v>
      </c>
      <c r="O1040" t="s">
        <v>13</v>
      </c>
      <c r="P1040" t="s">
        <v>221</v>
      </c>
      <c r="Q1040" t="s">
        <v>33</v>
      </c>
      <c r="R1040" t="s">
        <v>34</v>
      </c>
    </row>
    <row r="1041" spans="1:18" x14ac:dyDescent="0.25">
      <c r="A1041" t="s">
        <v>219</v>
      </c>
      <c r="B1041" t="s">
        <v>222</v>
      </c>
      <c r="C1041" t="s">
        <v>12</v>
      </c>
      <c r="D1041">
        <v>1</v>
      </c>
      <c r="E1041">
        <v>84.91</v>
      </c>
      <c r="F1041">
        <v>0</v>
      </c>
      <c r="G1041">
        <v>4</v>
      </c>
      <c r="H1041">
        <v>0.68180962797226996</v>
      </c>
      <c r="I1041">
        <v>3</v>
      </c>
      <c r="L1041">
        <v>3.9340409839816303E-3</v>
      </c>
      <c r="M1041">
        <v>0</v>
      </c>
      <c r="N1041">
        <v>2018</v>
      </c>
      <c r="O1041" t="s">
        <v>13</v>
      </c>
      <c r="P1041" t="s">
        <v>221</v>
      </c>
      <c r="Q1041" t="s">
        <v>33</v>
      </c>
      <c r="R1041" t="s">
        <v>34</v>
      </c>
    </row>
    <row r="1042" spans="1:18" x14ac:dyDescent="0.25">
      <c r="A1042" t="s">
        <v>223</v>
      </c>
      <c r="B1042" t="s">
        <v>224</v>
      </c>
      <c r="C1042" t="s">
        <v>12</v>
      </c>
      <c r="D1042">
        <v>2</v>
      </c>
      <c r="E1042">
        <v>19</v>
      </c>
      <c r="F1042">
        <v>0</v>
      </c>
      <c r="G1042">
        <v>55</v>
      </c>
      <c r="H1042">
        <v>1.5624350083307099E-2</v>
      </c>
      <c r="I1042">
        <v>3</v>
      </c>
      <c r="L1042">
        <v>0.16023515849433601</v>
      </c>
      <c r="M1042">
        <v>0</v>
      </c>
      <c r="N1042">
        <v>2013</v>
      </c>
      <c r="O1042" t="s">
        <v>53</v>
      </c>
      <c r="P1042" t="s">
        <v>225</v>
      </c>
      <c r="Q1042" t="s">
        <v>43</v>
      </c>
      <c r="R1042" t="s">
        <v>44</v>
      </c>
    </row>
    <row r="1043" spans="1:18" x14ac:dyDescent="0.25">
      <c r="A1043" t="s">
        <v>223</v>
      </c>
      <c r="B1043" t="s">
        <v>224</v>
      </c>
      <c r="C1043" t="s">
        <v>12</v>
      </c>
      <c r="D1043">
        <v>2</v>
      </c>
      <c r="E1043">
        <v>25</v>
      </c>
      <c r="F1043">
        <v>0</v>
      </c>
      <c r="G1043">
        <v>221</v>
      </c>
      <c r="H1043">
        <v>9.5786235760630892E-3</v>
      </c>
      <c r="I1043">
        <v>13</v>
      </c>
      <c r="L1043">
        <v>0.105283093725723</v>
      </c>
      <c r="M1043">
        <v>0</v>
      </c>
      <c r="N1043">
        <v>2013</v>
      </c>
      <c r="O1043" t="s">
        <v>53</v>
      </c>
      <c r="P1043" t="s">
        <v>225</v>
      </c>
      <c r="Q1043" t="s">
        <v>43</v>
      </c>
      <c r="R1043" t="s">
        <v>44</v>
      </c>
    </row>
    <row r="1044" spans="1:18" x14ac:dyDescent="0.25">
      <c r="A1044" t="s">
        <v>223</v>
      </c>
      <c r="B1044" t="s">
        <v>224</v>
      </c>
      <c r="C1044" t="s">
        <v>12</v>
      </c>
      <c r="D1044">
        <v>2</v>
      </c>
      <c r="E1044">
        <v>35</v>
      </c>
      <c r="F1044">
        <v>0</v>
      </c>
      <c r="G1044">
        <v>158</v>
      </c>
      <c r="H1044">
        <v>2.6386503319040602E-2</v>
      </c>
      <c r="I1044">
        <v>9</v>
      </c>
      <c r="L1044">
        <v>0.16834673128072</v>
      </c>
      <c r="M1044">
        <v>0</v>
      </c>
      <c r="N1044">
        <v>2013</v>
      </c>
      <c r="O1044" t="s">
        <v>53</v>
      </c>
      <c r="P1044" t="s">
        <v>225</v>
      </c>
      <c r="Q1044" t="s">
        <v>43</v>
      </c>
      <c r="R1044" t="s">
        <v>44</v>
      </c>
    </row>
    <row r="1045" spans="1:18" x14ac:dyDescent="0.25">
      <c r="A1045" t="s">
        <v>223</v>
      </c>
      <c r="B1045" t="s">
        <v>224</v>
      </c>
      <c r="C1045" t="s">
        <v>12</v>
      </c>
      <c r="D1045">
        <v>2</v>
      </c>
      <c r="E1045">
        <v>45</v>
      </c>
      <c r="F1045">
        <v>3.2258064516128997E-2</v>
      </c>
      <c r="G1045">
        <v>155</v>
      </c>
      <c r="H1045">
        <v>0.17040931365911599</v>
      </c>
      <c r="I1045">
        <v>13</v>
      </c>
      <c r="L1045">
        <v>7.4929735647342205E-2</v>
      </c>
      <c r="M1045">
        <v>5.1270092651560698E-2</v>
      </c>
      <c r="N1045">
        <v>2013</v>
      </c>
      <c r="O1045" t="s">
        <v>53</v>
      </c>
      <c r="P1045" t="s">
        <v>225</v>
      </c>
      <c r="Q1045" t="s">
        <v>43</v>
      </c>
      <c r="R1045" t="s">
        <v>44</v>
      </c>
    </row>
    <row r="1046" spans="1:18" x14ac:dyDescent="0.25">
      <c r="A1046" t="s">
        <v>223</v>
      </c>
      <c r="B1046" t="s">
        <v>224</v>
      </c>
      <c r="C1046" t="s">
        <v>12</v>
      </c>
      <c r="D1046">
        <v>2</v>
      </c>
      <c r="E1046">
        <v>55</v>
      </c>
      <c r="F1046">
        <v>3.1746031746031703E-2</v>
      </c>
      <c r="G1046">
        <v>126</v>
      </c>
      <c r="H1046">
        <v>0.105759361006798</v>
      </c>
      <c r="I1046">
        <v>10</v>
      </c>
      <c r="L1046">
        <v>0.10662481039193999</v>
      </c>
      <c r="M1046">
        <v>0.18218048709888099</v>
      </c>
      <c r="N1046">
        <v>2013</v>
      </c>
      <c r="O1046" t="s">
        <v>53</v>
      </c>
      <c r="P1046" t="s">
        <v>225</v>
      </c>
      <c r="Q1046" t="s">
        <v>43</v>
      </c>
      <c r="R1046" t="s">
        <v>44</v>
      </c>
    </row>
    <row r="1047" spans="1:18" x14ac:dyDescent="0.25">
      <c r="A1047" t="s">
        <v>223</v>
      </c>
      <c r="B1047" t="s">
        <v>224</v>
      </c>
      <c r="C1047" t="s">
        <v>12</v>
      </c>
      <c r="D1047">
        <v>2</v>
      </c>
      <c r="E1047">
        <v>63</v>
      </c>
      <c r="F1047">
        <v>4.4444444444444398E-2</v>
      </c>
      <c r="G1047">
        <v>90</v>
      </c>
      <c r="H1047">
        <v>0.27199299977052599</v>
      </c>
      <c r="I1047">
        <v>4</v>
      </c>
      <c r="L1047">
        <v>7.9592943045680396E-3</v>
      </c>
      <c r="M1047">
        <v>3.2974284077975599E-3</v>
      </c>
      <c r="N1047">
        <v>2013</v>
      </c>
      <c r="O1047" t="s">
        <v>53</v>
      </c>
      <c r="P1047" t="s">
        <v>225</v>
      </c>
      <c r="Q1047" t="s">
        <v>43</v>
      </c>
      <c r="R1047" t="s">
        <v>44</v>
      </c>
    </row>
    <row r="1048" spans="1:18" x14ac:dyDescent="0.25">
      <c r="A1048" t="s">
        <v>223</v>
      </c>
      <c r="B1048" t="s">
        <v>224</v>
      </c>
      <c r="C1048" t="s">
        <v>12</v>
      </c>
      <c r="D1048">
        <v>1</v>
      </c>
      <c r="E1048">
        <v>19</v>
      </c>
      <c r="F1048">
        <v>0</v>
      </c>
      <c r="G1048">
        <v>26</v>
      </c>
      <c r="H1048">
        <v>3.2781374698314602E-3</v>
      </c>
      <c r="I1048">
        <v>3</v>
      </c>
      <c r="L1048">
        <v>0.121701127030838</v>
      </c>
      <c r="M1048">
        <v>0</v>
      </c>
      <c r="N1048">
        <v>2013</v>
      </c>
      <c r="O1048" t="s">
        <v>53</v>
      </c>
      <c r="P1048" t="s">
        <v>225</v>
      </c>
      <c r="Q1048" t="s">
        <v>43</v>
      </c>
      <c r="R1048" t="s">
        <v>44</v>
      </c>
    </row>
    <row r="1049" spans="1:18" x14ac:dyDescent="0.25">
      <c r="A1049" t="s">
        <v>223</v>
      </c>
      <c r="B1049" t="s">
        <v>224</v>
      </c>
      <c r="C1049" t="s">
        <v>12</v>
      </c>
      <c r="D1049">
        <v>1</v>
      </c>
      <c r="E1049">
        <v>25</v>
      </c>
      <c r="F1049">
        <v>8.4033613445378096E-3</v>
      </c>
      <c r="G1049">
        <v>119</v>
      </c>
      <c r="H1049">
        <v>1.38209085201015E-2</v>
      </c>
      <c r="I1049">
        <v>10</v>
      </c>
      <c r="L1049">
        <v>5.82135311887867E-2</v>
      </c>
      <c r="M1049">
        <v>0.27960003383849302</v>
      </c>
      <c r="N1049">
        <v>2013</v>
      </c>
      <c r="O1049" t="s">
        <v>53</v>
      </c>
      <c r="P1049" t="s">
        <v>225</v>
      </c>
      <c r="Q1049" t="s">
        <v>43</v>
      </c>
      <c r="R1049" t="s">
        <v>44</v>
      </c>
    </row>
    <row r="1050" spans="1:18" x14ac:dyDescent="0.25">
      <c r="A1050" t="s">
        <v>223</v>
      </c>
      <c r="B1050" t="s">
        <v>224</v>
      </c>
      <c r="C1050" t="s">
        <v>12</v>
      </c>
      <c r="D1050">
        <v>1</v>
      </c>
      <c r="E1050">
        <v>35</v>
      </c>
      <c r="F1050">
        <v>1.21951219512195E-2</v>
      </c>
      <c r="G1050">
        <v>82</v>
      </c>
      <c r="H1050">
        <v>1.2656995126013801E-2</v>
      </c>
      <c r="I1050">
        <v>5</v>
      </c>
      <c r="L1050">
        <v>5.5655154006276401E-2</v>
      </c>
      <c r="M1050">
        <v>0.376928645634732</v>
      </c>
      <c r="N1050">
        <v>2013</v>
      </c>
      <c r="O1050" t="s">
        <v>53</v>
      </c>
      <c r="P1050" t="s">
        <v>225</v>
      </c>
      <c r="Q1050" t="s">
        <v>43</v>
      </c>
      <c r="R1050" t="s">
        <v>44</v>
      </c>
    </row>
    <row r="1051" spans="1:18" x14ac:dyDescent="0.25">
      <c r="A1051" t="s">
        <v>223</v>
      </c>
      <c r="B1051" t="s">
        <v>224</v>
      </c>
      <c r="C1051" t="s">
        <v>12</v>
      </c>
      <c r="D1051">
        <v>1</v>
      </c>
      <c r="E1051">
        <v>45</v>
      </c>
      <c r="F1051">
        <v>0</v>
      </c>
      <c r="G1051">
        <v>83</v>
      </c>
      <c r="H1051">
        <v>9.2426016589149299E-2</v>
      </c>
      <c r="I1051">
        <v>4</v>
      </c>
      <c r="L1051">
        <v>0.25592253760993799</v>
      </c>
      <c r="M1051">
        <v>0</v>
      </c>
      <c r="N1051">
        <v>2013</v>
      </c>
      <c r="O1051" t="s">
        <v>53</v>
      </c>
      <c r="P1051" t="s">
        <v>225</v>
      </c>
      <c r="Q1051" t="s">
        <v>43</v>
      </c>
      <c r="R1051" t="s">
        <v>44</v>
      </c>
    </row>
    <row r="1052" spans="1:18" x14ac:dyDescent="0.25">
      <c r="A1052" t="s">
        <v>223</v>
      </c>
      <c r="B1052" t="s">
        <v>224</v>
      </c>
      <c r="C1052" t="s">
        <v>12</v>
      </c>
      <c r="D1052">
        <v>1</v>
      </c>
      <c r="E1052">
        <v>55</v>
      </c>
      <c r="F1052">
        <v>1.5151515151515201E-2</v>
      </c>
      <c r="G1052">
        <v>66</v>
      </c>
      <c r="H1052">
        <v>4.63423405940235E-2</v>
      </c>
      <c r="I1052">
        <v>6</v>
      </c>
      <c r="L1052">
        <v>9.8115779482482707E-2</v>
      </c>
      <c r="M1052">
        <v>0.24186412831547199</v>
      </c>
      <c r="N1052">
        <v>2013</v>
      </c>
      <c r="O1052" t="s">
        <v>53</v>
      </c>
      <c r="P1052" t="s">
        <v>225</v>
      </c>
      <c r="Q1052" t="s">
        <v>43</v>
      </c>
      <c r="R1052" t="s">
        <v>44</v>
      </c>
    </row>
    <row r="1053" spans="1:18" x14ac:dyDescent="0.25">
      <c r="A1053" t="s">
        <v>223</v>
      </c>
      <c r="B1053" t="s">
        <v>224</v>
      </c>
      <c r="C1053" t="s">
        <v>12</v>
      </c>
      <c r="D1053">
        <v>1</v>
      </c>
      <c r="E1053">
        <v>63</v>
      </c>
      <c r="F1053">
        <v>7.1428571428571397E-2</v>
      </c>
      <c r="G1053">
        <v>70</v>
      </c>
      <c r="H1053">
        <v>3.3877772182536799E-2</v>
      </c>
      <c r="I1053">
        <v>2</v>
      </c>
      <c r="L1053">
        <v>4.3978712391134801E-2</v>
      </c>
      <c r="M1053">
        <v>0.33644303680433002</v>
      </c>
      <c r="N1053">
        <v>2013</v>
      </c>
      <c r="O1053" t="s">
        <v>53</v>
      </c>
      <c r="P1053" t="s">
        <v>225</v>
      </c>
      <c r="Q1053" t="s">
        <v>43</v>
      </c>
      <c r="R1053" t="s">
        <v>44</v>
      </c>
    </row>
    <row r="1054" spans="1:18" x14ac:dyDescent="0.25">
      <c r="A1054" t="s">
        <v>226</v>
      </c>
      <c r="B1054" t="s">
        <v>227</v>
      </c>
      <c r="C1054" t="s">
        <v>12</v>
      </c>
      <c r="D1054">
        <v>2</v>
      </c>
      <c r="E1054">
        <v>27.5</v>
      </c>
      <c r="F1054">
        <v>7.2783126902962198E-3</v>
      </c>
      <c r="G1054">
        <v>162</v>
      </c>
      <c r="H1054">
        <v>2.3528238640574399E-2</v>
      </c>
      <c r="I1054">
        <v>45</v>
      </c>
      <c r="L1054">
        <v>0.101792833129939</v>
      </c>
      <c r="M1054">
        <v>0.29815905966147299</v>
      </c>
      <c r="N1054">
        <v>2005</v>
      </c>
      <c r="O1054" t="s">
        <v>13</v>
      </c>
      <c r="P1054" t="s">
        <v>228</v>
      </c>
      <c r="Q1054" t="s">
        <v>29</v>
      </c>
      <c r="R1054" t="s">
        <v>20</v>
      </c>
    </row>
    <row r="1055" spans="1:18" x14ac:dyDescent="0.25">
      <c r="A1055" t="s">
        <v>226</v>
      </c>
      <c r="B1055" t="s">
        <v>227</v>
      </c>
      <c r="C1055" t="s">
        <v>12</v>
      </c>
      <c r="D1055">
        <v>2</v>
      </c>
      <c r="E1055">
        <v>35</v>
      </c>
      <c r="F1055">
        <v>0</v>
      </c>
      <c r="G1055">
        <v>360</v>
      </c>
      <c r="H1055">
        <v>4.2462299262863198E-2</v>
      </c>
      <c r="I1055">
        <v>137</v>
      </c>
      <c r="L1055">
        <v>7.3793909258087501E-2</v>
      </c>
      <c r="M1055">
        <v>0</v>
      </c>
      <c r="N1055">
        <v>2005</v>
      </c>
      <c r="O1055" t="s">
        <v>13</v>
      </c>
      <c r="P1055" t="s">
        <v>228</v>
      </c>
      <c r="Q1055" t="s">
        <v>29</v>
      </c>
      <c r="R1055" t="s">
        <v>20</v>
      </c>
    </row>
    <row r="1056" spans="1:18" x14ac:dyDescent="0.25">
      <c r="A1056" t="s">
        <v>226</v>
      </c>
      <c r="B1056" t="s">
        <v>227</v>
      </c>
      <c r="C1056" t="s">
        <v>12</v>
      </c>
      <c r="D1056">
        <v>2</v>
      </c>
      <c r="E1056">
        <v>45</v>
      </c>
      <c r="F1056">
        <v>5.1428430185236898E-3</v>
      </c>
      <c r="G1056">
        <v>401</v>
      </c>
      <c r="H1056">
        <v>9.1016816199358405E-2</v>
      </c>
      <c r="I1056">
        <v>157</v>
      </c>
      <c r="L1056">
        <v>7.2018630188043095E-2</v>
      </c>
      <c r="M1056">
        <v>4.3378776606832099E-2</v>
      </c>
      <c r="N1056">
        <v>2005</v>
      </c>
      <c r="O1056" t="s">
        <v>13</v>
      </c>
      <c r="P1056" t="s">
        <v>228</v>
      </c>
      <c r="Q1056" t="s">
        <v>29</v>
      </c>
      <c r="R1056" t="s">
        <v>20</v>
      </c>
    </row>
    <row r="1057" spans="1:18" x14ac:dyDescent="0.25">
      <c r="A1057" t="s">
        <v>226</v>
      </c>
      <c r="B1057" t="s">
        <v>227</v>
      </c>
      <c r="C1057" t="s">
        <v>12</v>
      </c>
      <c r="D1057">
        <v>2</v>
      </c>
      <c r="E1057">
        <v>55</v>
      </c>
      <c r="F1057">
        <v>8.4976913940338402E-3</v>
      </c>
      <c r="G1057">
        <v>312</v>
      </c>
      <c r="H1057">
        <v>0.112335985574656</v>
      </c>
      <c r="I1057">
        <v>113</v>
      </c>
      <c r="L1057">
        <v>0.101809852262833</v>
      </c>
      <c r="M1057">
        <v>6.3328559308075405E-2</v>
      </c>
      <c r="N1057">
        <v>2005</v>
      </c>
      <c r="O1057" t="s">
        <v>13</v>
      </c>
      <c r="P1057" t="s">
        <v>228</v>
      </c>
      <c r="Q1057" t="s">
        <v>29</v>
      </c>
      <c r="R1057" t="s">
        <v>20</v>
      </c>
    </row>
    <row r="1058" spans="1:18" x14ac:dyDescent="0.25">
      <c r="A1058" t="s">
        <v>226</v>
      </c>
      <c r="B1058" t="s">
        <v>227</v>
      </c>
      <c r="C1058" t="s">
        <v>12</v>
      </c>
      <c r="D1058">
        <v>2</v>
      </c>
      <c r="E1058">
        <v>62.5</v>
      </c>
      <c r="F1058">
        <v>3.6395611746029698E-2</v>
      </c>
      <c r="G1058">
        <v>139</v>
      </c>
      <c r="H1058">
        <v>0.13870465701877299</v>
      </c>
      <c r="I1058">
        <v>51</v>
      </c>
      <c r="L1058">
        <v>6.7301488102050402E-2</v>
      </c>
      <c r="M1058">
        <v>6.0486191901474001E-2</v>
      </c>
      <c r="N1058">
        <v>2005</v>
      </c>
      <c r="O1058" t="s">
        <v>13</v>
      </c>
      <c r="P1058" t="s">
        <v>228</v>
      </c>
      <c r="Q1058" t="s">
        <v>29</v>
      </c>
      <c r="R1058" t="s">
        <v>20</v>
      </c>
    </row>
    <row r="1059" spans="1:18" x14ac:dyDescent="0.25">
      <c r="A1059" t="s">
        <v>226</v>
      </c>
      <c r="B1059" t="s">
        <v>227</v>
      </c>
      <c r="C1059" t="s">
        <v>12</v>
      </c>
      <c r="D1059">
        <v>1</v>
      </c>
      <c r="E1059">
        <v>27.5</v>
      </c>
      <c r="F1059">
        <v>0</v>
      </c>
      <c r="G1059">
        <v>163</v>
      </c>
      <c r="H1059">
        <v>8.0172297387850006E-2</v>
      </c>
      <c r="I1059">
        <v>45</v>
      </c>
      <c r="L1059">
        <v>5.3399853378409801E-2</v>
      </c>
      <c r="M1059">
        <v>0</v>
      </c>
      <c r="N1059">
        <v>2005</v>
      </c>
      <c r="O1059" t="s">
        <v>13</v>
      </c>
      <c r="P1059" t="s">
        <v>228</v>
      </c>
      <c r="Q1059" t="s">
        <v>29</v>
      </c>
      <c r="R1059" t="s">
        <v>20</v>
      </c>
    </row>
    <row r="1060" spans="1:18" x14ac:dyDescent="0.25">
      <c r="A1060" t="s">
        <v>226</v>
      </c>
      <c r="B1060" t="s">
        <v>227</v>
      </c>
      <c r="C1060" t="s">
        <v>12</v>
      </c>
      <c r="D1060">
        <v>1</v>
      </c>
      <c r="E1060">
        <v>35</v>
      </c>
      <c r="F1060">
        <v>3.6863190661572199E-3</v>
      </c>
      <c r="G1060">
        <v>330</v>
      </c>
      <c r="H1060">
        <v>8.5488773908450805E-2</v>
      </c>
      <c r="I1060">
        <v>102</v>
      </c>
      <c r="L1060">
        <v>4.9907613910227001E-2</v>
      </c>
      <c r="M1060">
        <v>2.70467547171961E-2</v>
      </c>
      <c r="N1060">
        <v>2005</v>
      </c>
      <c r="O1060" t="s">
        <v>13</v>
      </c>
      <c r="P1060" t="s">
        <v>228</v>
      </c>
      <c r="Q1060" t="s">
        <v>29</v>
      </c>
      <c r="R1060" t="s">
        <v>20</v>
      </c>
    </row>
    <row r="1061" spans="1:18" x14ac:dyDescent="0.25">
      <c r="A1061" t="s">
        <v>226</v>
      </c>
      <c r="B1061" t="s">
        <v>227</v>
      </c>
      <c r="C1061" t="s">
        <v>12</v>
      </c>
      <c r="D1061">
        <v>1</v>
      </c>
      <c r="E1061">
        <v>45</v>
      </c>
      <c r="F1061">
        <v>1.0563656971060501E-2</v>
      </c>
      <c r="G1061">
        <v>383</v>
      </c>
      <c r="H1061">
        <v>0.189343061536968</v>
      </c>
      <c r="I1061">
        <v>135</v>
      </c>
      <c r="L1061">
        <v>3.6057324645122603E-2</v>
      </c>
      <c r="M1061">
        <v>1.3097159055853E-2</v>
      </c>
      <c r="N1061">
        <v>2005</v>
      </c>
      <c r="O1061" t="s">
        <v>13</v>
      </c>
      <c r="P1061" t="s">
        <v>228</v>
      </c>
      <c r="Q1061" t="s">
        <v>29</v>
      </c>
      <c r="R1061" t="s">
        <v>20</v>
      </c>
    </row>
    <row r="1062" spans="1:18" x14ac:dyDescent="0.25">
      <c r="A1062" t="s">
        <v>226</v>
      </c>
      <c r="B1062" t="s">
        <v>227</v>
      </c>
      <c r="C1062" t="s">
        <v>12</v>
      </c>
      <c r="D1062">
        <v>1</v>
      </c>
      <c r="E1062">
        <v>55</v>
      </c>
      <c r="F1062">
        <v>1.9170754802392002E-2</v>
      </c>
      <c r="G1062">
        <v>298</v>
      </c>
      <c r="H1062">
        <v>0.131913558544552</v>
      </c>
      <c r="I1062">
        <v>110</v>
      </c>
      <c r="L1062">
        <v>4.9580546294140097E-2</v>
      </c>
      <c r="M1062">
        <v>3.3422898064871497E-2</v>
      </c>
      <c r="N1062">
        <v>2005</v>
      </c>
      <c r="O1062" t="s">
        <v>13</v>
      </c>
      <c r="P1062" t="s">
        <v>228</v>
      </c>
      <c r="Q1062" t="s">
        <v>29</v>
      </c>
      <c r="R1062" t="s">
        <v>20</v>
      </c>
    </row>
    <row r="1063" spans="1:18" x14ac:dyDescent="0.25">
      <c r="A1063" t="s">
        <v>226</v>
      </c>
      <c r="B1063" t="s">
        <v>227</v>
      </c>
      <c r="C1063" t="s">
        <v>12</v>
      </c>
      <c r="D1063">
        <v>1</v>
      </c>
      <c r="E1063">
        <v>62.5</v>
      </c>
      <c r="F1063">
        <v>1.9495852484331E-2</v>
      </c>
      <c r="G1063">
        <v>149</v>
      </c>
      <c r="H1063">
        <v>0.132852350961843</v>
      </c>
      <c r="I1063">
        <v>49</v>
      </c>
      <c r="L1063">
        <v>0.14131469230384</v>
      </c>
      <c r="M1063">
        <v>0.119708645263465</v>
      </c>
      <c r="N1063">
        <v>2005</v>
      </c>
      <c r="O1063" t="s">
        <v>13</v>
      </c>
      <c r="P1063" t="s">
        <v>228</v>
      </c>
      <c r="Q1063" t="s">
        <v>29</v>
      </c>
      <c r="R1063" t="s">
        <v>20</v>
      </c>
    </row>
    <row r="1064" spans="1:18" x14ac:dyDescent="0.25">
      <c r="A1064" t="s">
        <v>226</v>
      </c>
      <c r="B1064" t="s">
        <v>229</v>
      </c>
      <c r="C1064" t="s">
        <v>12</v>
      </c>
      <c r="D1064">
        <v>2</v>
      </c>
      <c r="E1064">
        <v>27.5</v>
      </c>
      <c r="F1064">
        <v>0</v>
      </c>
      <c r="G1064">
        <v>410</v>
      </c>
      <c r="H1064">
        <v>4.2733289310958301E-2</v>
      </c>
      <c r="I1064">
        <v>116</v>
      </c>
      <c r="L1064">
        <v>2.34916689263234E-2</v>
      </c>
      <c r="M1064">
        <v>0</v>
      </c>
      <c r="N1064">
        <v>2009</v>
      </c>
      <c r="O1064" t="s">
        <v>13</v>
      </c>
      <c r="P1064" t="s">
        <v>228</v>
      </c>
      <c r="Q1064" t="s">
        <v>29</v>
      </c>
      <c r="R1064" t="s">
        <v>20</v>
      </c>
    </row>
    <row r="1065" spans="1:18" x14ac:dyDescent="0.25">
      <c r="A1065" t="s">
        <v>226</v>
      </c>
      <c r="B1065" t="s">
        <v>229</v>
      </c>
      <c r="C1065" t="s">
        <v>12</v>
      </c>
      <c r="D1065">
        <v>2</v>
      </c>
      <c r="E1065">
        <v>35</v>
      </c>
      <c r="F1065">
        <v>1.87964655004199E-3</v>
      </c>
      <c r="G1065">
        <v>923</v>
      </c>
      <c r="H1065">
        <v>5.2981130682942301E-2</v>
      </c>
      <c r="I1065">
        <v>288</v>
      </c>
      <c r="L1065">
        <v>3.0075988638480999E-2</v>
      </c>
      <c r="M1065">
        <v>1.92767849836461E-2</v>
      </c>
      <c r="N1065">
        <v>2009</v>
      </c>
      <c r="O1065" t="s">
        <v>13</v>
      </c>
      <c r="P1065" t="s">
        <v>228</v>
      </c>
      <c r="Q1065" t="s">
        <v>29</v>
      </c>
      <c r="R1065" t="s">
        <v>20</v>
      </c>
    </row>
    <row r="1066" spans="1:18" x14ac:dyDescent="0.25">
      <c r="A1066" t="s">
        <v>226</v>
      </c>
      <c r="B1066" t="s">
        <v>229</v>
      </c>
      <c r="C1066" t="s">
        <v>12</v>
      </c>
      <c r="D1066">
        <v>2</v>
      </c>
      <c r="E1066">
        <v>45</v>
      </c>
      <c r="F1066">
        <v>1.50383751467883E-2</v>
      </c>
      <c r="G1066">
        <v>796</v>
      </c>
      <c r="H1066">
        <v>3.3634951362388699E-2</v>
      </c>
      <c r="I1066">
        <v>266</v>
      </c>
      <c r="L1066">
        <v>6.2994551733816795E-2</v>
      </c>
      <c r="M1066">
        <v>0.15578370920915699</v>
      </c>
      <c r="N1066">
        <v>2009</v>
      </c>
      <c r="O1066" t="s">
        <v>13</v>
      </c>
      <c r="P1066" t="s">
        <v>228</v>
      </c>
      <c r="Q1066" t="s">
        <v>29</v>
      </c>
      <c r="R1066" t="s">
        <v>20</v>
      </c>
    </row>
    <row r="1067" spans="1:18" x14ac:dyDescent="0.25">
      <c r="A1067" t="s">
        <v>226</v>
      </c>
      <c r="B1067" t="s">
        <v>229</v>
      </c>
      <c r="C1067" t="s">
        <v>12</v>
      </c>
      <c r="D1067">
        <v>2</v>
      </c>
      <c r="E1067">
        <v>55</v>
      </c>
      <c r="F1067">
        <v>2.0215576525528099E-2</v>
      </c>
      <c r="G1067">
        <v>425</v>
      </c>
      <c r="H1067">
        <v>7.6129922420189303E-2</v>
      </c>
      <c r="I1067">
        <v>146</v>
      </c>
      <c r="L1067">
        <v>8.1704778541429393E-2</v>
      </c>
      <c r="M1067">
        <v>0.11026515693488299</v>
      </c>
      <c r="N1067">
        <v>2009</v>
      </c>
      <c r="O1067" t="s">
        <v>13</v>
      </c>
      <c r="P1067" t="s">
        <v>228</v>
      </c>
      <c r="Q1067" t="s">
        <v>29</v>
      </c>
      <c r="R1067" t="s">
        <v>20</v>
      </c>
    </row>
    <row r="1068" spans="1:18" x14ac:dyDescent="0.25">
      <c r="A1068" t="s">
        <v>226</v>
      </c>
      <c r="B1068" t="s">
        <v>229</v>
      </c>
      <c r="C1068" t="s">
        <v>12</v>
      </c>
      <c r="D1068">
        <v>2</v>
      </c>
      <c r="E1068">
        <v>62.5</v>
      </c>
      <c r="F1068">
        <v>0</v>
      </c>
      <c r="G1068">
        <v>104</v>
      </c>
      <c r="H1068">
        <v>0.102035098924671</v>
      </c>
      <c r="I1068">
        <v>40</v>
      </c>
      <c r="L1068">
        <v>0.105990725009625</v>
      </c>
      <c r="M1068">
        <v>0</v>
      </c>
      <c r="N1068">
        <v>2009</v>
      </c>
      <c r="O1068" t="s">
        <v>13</v>
      </c>
      <c r="P1068" t="s">
        <v>228</v>
      </c>
      <c r="Q1068" t="s">
        <v>29</v>
      </c>
      <c r="R1068" t="s">
        <v>20</v>
      </c>
    </row>
    <row r="1069" spans="1:18" x14ac:dyDescent="0.25">
      <c r="A1069" t="s">
        <v>226</v>
      </c>
      <c r="B1069" t="s">
        <v>229</v>
      </c>
      <c r="C1069" t="s">
        <v>12</v>
      </c>
      <c r="D1069">
        <v>1</v>
      </c>
      <c r="E1069">
        <v>27.5</v>
      </c>
      <c r="F1069">
        <v>0</v>
      </c>
      <c r="G1069">
        <v>261</v>
      </c>
      <c r="H1069">
        <v>6.4403518404983803E-2</v>
      </c>
      <c r="I1069">
        <v>74</v>
      </c>
      <c r="L1069">
        <v>2.7586046917485198E-2</v>
      </c>
      <c r="M1069">
        <v>0</v>
      </c>
      <c r="N1069">
        <v>2009</v>
      </c>
      <c r="O1069" t="s">
        <v>13</v>
      </c>
      <c r="P1069" t="s">
        <v>228</v>
      </c>
      <c r="Q1069" t="s">
        <v>29</v>
      </c>
      <c r="R1069" t="s">
        <v>20</v>
      </c>
    </row>
    <row r="1070" spans="1:18" x14ac:dyDescent="0.25">
      <c r="A1070" t="s">
        <v>226</v>
      </c>
      <c r="B1070" t="s">
        <v>229</v>
      </c>
      <c r="C1070" t="s">
        <v>12</v>
      </c>
      <c r="D1070">
        <v>1</v>
      </c>
      <c r="E1070">
        <v>35</v>
      </c>
      <c r="F1070">
        <v>4.2936275342736804E-3</v>
      </c>
      <c r="G1070">
        <v>649</v>
      </c>
      <c r="H1070">
        <v>5.1870764456121897E-2</v>
      </c>
      <c r="I1070">
        <v>192</v>
      </c>
      <c r="L1070">
        <v>4.85295861773858E-2</v>
      </c>
      <c r="M1070">
        <v>4.2425238518963702E-2</v>
      </c>
      <c r="N1070">
        <v>2009</v>
      </c>
      <c r="O1070" t="s">
        <v>13</v>
      </c>
      <c r="P1070" t="s">
        <v>228</v>
      </c>
      <c r="Q1070" t="s">
        <v>29</v>
      </c>
      <c r="R1070" t="s">
        <v>20</v>
      </c>
    </row>
    <row r="1071" spans="1:18" x14ac:dyDescent="0.25">
      <c r="A1071" t="s">
        <v>226</v>
      </c>
      <c r="B1071" t="s">
        <v>229</v>
      </c>
      <c r="C1071" t="s">
        <v>12</v>
      </c>
      <c r="D1071">
        <v>1</v>
      </c>
      <c r="E1071">
        <v>45</v>
      </c>
      <c r="F1071">
        <v>1.43079208214067E-2</v>
      </c>
      <c r="G1071">
        <v>508</v>
      </c>
      <c r="H1071">
        <v>0.112931172707015</v>
      </c>
      <c r="I1071">
        <v>153</v>
      </c>
      <c r="L1071">
        <v>2.5960647032736098E-2</v>
      </c>
      <c r="M1071">
        <v>1.8361406973711299E-2</v>
      </c>
      <c r="N1071">
        <v>2009</v>
      </c>
      <c r="O1071" t="s">
        <v>13</v>
      </c>
      <c r="P1071" t="s">
        <v>228</v>
      </c>
      <c r="Q1071" t="s">
        <v>29</v>
      </c>
      <c r="R1071" t="s">
        <v>20</v>
      </c>
    </row>
    <row r="1072" spans="1:18" x14ac:dyDescent="0.25">
      <c r="A1072" t="s">
        <v>226</v>
      </c>
      <c r="B1072" t="s">
        <v>229</v>
      </c>
      <c r="C1072" t="s">
        <v>12</v>
      </c>
      <c r="D1072">
        <v>1</v>
      </c>
      <c r="E1072">
        <v>55</v>
      </c>
      <c r="F1072">
        <v>1.62565060575895E-2</v>
      </c>
      <c r="G1072">
        <v>304</v>
      </c>
      <c r="H1072">
        <v>0.12536243634236</v>
      </c>
      <c r="I1072">
        <v>101</v>
      </c>
      <c r="L1072">
        <v>4.3713963425539001E-2</v>
      </c>
      <c r="M1072">
        <v>3.0880907095155601E-2</v>
      </c>
      <c r="N1072">
        <v>2009</v>
      </c>
      <c r="O1072" t="s">
        <v>13</v>
      </c>
      <c r="P1072" t="s">
        <v>228</v>
      </c>
      <c r="Q1072" t="s">
        <v>29</v>
      </c>
      <c r="R1072" t="s">
        <v>20</v>
      </c>
    </row>
    <row r="1073" spans="1:18" x14ac:dyDescent="0.25">
      <c r="A1073" t="s">
        <v>226</v>
      </c>
      <c r="B1073" t="s">
        <v>229</v>
      </c>
      <c r="C1073" t="s">
        <v>12</v>
      </c>
      <c r="D1073">
        <v>1</v>
      </c>
      <c r="E1073">
        <v>62.5</v>
      </c>
      <c r="F1073">
        <v>8.1041044270638799E-3</v>
      </c>
      <c r="G1073">
        <v>92</v>
      </c>
      <c r="H1073">
        <v>0.118937291156391</v>
      </c>
      <c r="I1073">
        <v>34</v>
      </c>
      <c r="L1073">
        <v>5.2358064514383698E-2</v>
      </c>
      <c r="M1073">
        <v>2.8067038715840101E-2</v>
      </c>
      <c r="N1073">
        <v>2009</v>
      </c>
      <c r="O1073" t="s">
        <v>13</v>
      </c>
      <c r="P1073" t="s">
        <v>228</v>
      </c>
      <c r="Q1073" t="s">
        <v>29</v>
      </c>
      <c r="R1073" t="s">
        <v>20</v>
      </c>
    </row>
    <row r="1074" spans="1:18" x14ac:dyDescent="0.25">
      <c r="A1074" t="s">
        <v>226</v>
      </c>
      <c r="B1074" t="s">
        <v>230</v>
      </c>
      <c r="C1074" t="s">
        <v>12</v>
      </c>
      <c r="D1074">
        <v>2</v>
      </c>
      <c r="E1074">
        <v>27.5</v>
      </c>
      <c r="F1074">
        <v>2.6524482097557999E-3</v>
      </c>
      <c r="G1074">
        <v>420</v>
      </c>
      <c r="H1074">
        <v>7.0831136838733003E-3</v>
      </c>
      <c r="I1074">
        <v>163</v>
      </c>
      <c r="L1074">
        <v>5.6352880144410297E-2</v>
      </c>
      <c r="M1074">
        <v>0.20309509778926199</v>
      </c>
      <c r="N1074">
        <v>2013</v>
      </c>
      <c r="O1074" t="s">
        <v>13</v>
      </c>
      <c r="P1074" t="s">
        <v>228</v>
      </c>
      <c r="Q1074" t="s">
        <v>29</v>
      </c>
      <c r="R1074" t="s">
        <v>20</v>
      </c>
    </row>
    <row r="1075" spans="1:18" x14ac:dyDescent="0.25">
      <c r="A1075" t="s">
        <v>226</v>
      </c>
      <c r="B1075" t="s">
        <v>230</v>
      </c>
      <c r="C1075" t="s">
        <v>12</v>
      </c>
      <c r="D1075">
        <v>2</v>
      </c>
      <c r="E1075">
        <v>35</v>
      </c>
      <c r="F1075">
        <v>5.22981698017918E-3</v>
      </c>
      <c r="G1075">
        <v>742</v>
      </c>
      <c r="H1075">
        <v>2.8671334520616001E-2</v>
      </c>
      <c r="I1075">
        <v>325</v>
      </c>
      <c r="L1075">
        <v>2.56011766471404E-2</v>
      </c>
      <c r="M1075">
        <v>3.8207889618690601E-2</v>
      </c>
      <c r="N1075">
        <v>2013</v>
      </c>
      <c r="O1075" t="s">
        <v>13</v>
      </c>
      <c r="P1075" t="s">
        <v>228</v>
      </c>
      <c r="Q1075" t="s">
        <v>29</v>
      </c>
      <c r="R1075" t="s">
        <v>20</v>
      </c>
    </row>
    <row r="1076" spans="1:18" x14ac:dyDescent="0.25">
      <c r="A1076" t="s">
        <v>226</v>
      </c>
      <c r="B1076" t="s">
        <v>230</v>
      </c>
      <c r="C1076" t="s">
        <v>12</v>
      </c>
      <c r="D1076">
        <v>2</v>
      </c>
      <c r="E1076">
        <v>45</v>
      </c>
      <c r="F1076">
        <v>1.0696944309042901E-2</v>
      </c>
      <c r="G1076">
        <v>671</v>
      </c>
      <c r="H1076">
        <v>2.8359743300299799E-2</v>
      </c>
      <c r="I1076">
        <v>286</v>
      </c>
      <c r="L1076">
        <v>5.83782083382587E-2</v>
      </c>
      <c r="M1076">
        <v>0.13353184898610801</v>
      </c>
      <c r="N1076">
        <v>2013</v>
      </c>
      <c r="O1076" t="s">
        <v>13</v>
      </c>
      <c r="P1076" t="s">
        <v>228</v>
      </c>
      <c r="Q1076" t="s">
        <v>29</v>
      </c>
      <c r="R1076" t="s">
        <v>20</v>
      </c>
    </row>
    <row r="1077" spans="1:18" x14ac:dyDescent="0.25">
      <c r="A1077" t="s">
        <v>226</v>
      </c>
      <c r="B1077" t="s">
        <v>230</v>
      </c>
      <c r="C1077" t="s">
        <v>12</v>
      </c>
      <c r="D1077">
        <v>2</v>
      </c>
      <c r="E1077">
        <v>55</v>
      </c>
      <c r="F1077">
        <v>3.1438041982234197E-2</v>
      </c>
      <c r="G1077">
        <v>449</v>
      </c>
      <c r="H1077">
        <v>5.5309949125584797E-2</v>
      </c>
      <c r="I1077">
        <v>221</v>
      </c>
      <c r="L1077">
        <v>4.0909725232061503E-2</v>
      </c>
      <c r="M1077">
        <v>8.5701893604543E-2</v>
      </c>
      <c r="N1077">
        <v>2013</v>
      </c>
      <c r="O1077" t="s">
        <v>13</v>
      </c>
      <c r="P1077" t="s">
        <v>228</v>
      </c>
      <c r="Q1077" t="s">
        <v>29</v>
      </c>
      <c r="R1077" t="s">
        <v>20</v>
      </c>
    </row>
    <row r="1078" spans="1:18" x14ac:dyDescent="0.25">
      <c r="A1078" t="s">
        <v>226</v>
      </c>
      <c r="B1078" t="s">
        <v>230</v>
      </c>
      <c r="C1078" t="s">
        <v>12</v>
      </c>
      <c r="D1078">
        <v>2</v>
      </c>
      <c r="E1078">
        <v>62.5</v>
      </c>
      <c r="F1078">
        <v>1.64046224527181E-2</v>
      </c>
      <c r="G1078">
        <v>84</v>
      </c>
      <c r="H1078">
        <v>4.1763877593823599E-2</v>
      </c>
      <c r="I1078">
        <v>41</v>
      </c>
      <c r="L1078">
        <v>9.6310418504095899E-2</v>
      </c>
      <c r="M1078">
        <v>0.24483546821145599</v>
      </c>
      <c r="N1078">
        <v>2013</v>
      </c>
      <c r="O1078" t="s">
        <v>13</v>
      </c>
      <c r="P1078" t="s">
        <v>228</v>
      </c>
      <c r="Q1078" t="s">
        <v>29</v>
      </c>
      <c r="R1078" t="s">
        <v>20</v>
      </c>
    </row>
    <row r="1079" spans="1:18" x14ac:dyDescent="0.25">
      <c r="A1079" t="s">
        <v>226</v>
      </c>
      <c r="B1079" t="s">
        <v>230</v>
      </c>
      <c r="C1079" t="s">
        <v>12</v>
      </c>
      <c r="D1079">
        <v>1</v>
      </c>
      <c r="E1079">
        <v>27.5</v>
      </c>
      <c r="F1079">
        <v>2.52096583549535E-3</v>
      </c>
      <c r="G1079">
        <v>333</v>
      </c>
      <c r="H1079">
        <v>2.31259063781338E-2</v>
      </c>
      <c r="I1079">
        <v>125</v>
      </c>
      <c r="L1079">
        <v>1.7161251743197499E-2</v>
      </c>
      <c r="M1079">
        <v>2.1947949425029201E-2</v>
      </c>
      <c r="N1079">
        <v>2013</v>
      </c>
      <c r="O1079" t="s">
        <v>13</v>
      </c>
      <c r="P1079" t="s">
        <v>228</v>
      </c>
      <c r="Q1079" t="s">
        <v>29</v>
      </c>
      <c r="R1079" t="s">
        <v>20</v>
      </c>
    </row>
    <row r="1080" spans="1:18" x14ac:dyDescent="0.25">
      <c r="A1080" t="s">
        <v>226</v>
      </c>
      <c r="B1080" t="s">
        <v>230</v>
      </c>
      <c r="C1080" t="s">
        <v>12</v>
      </c>
      <c r="D1080">
        <v>1</v>
      </c>
      <c r="E1080">
        <v>35</v>
      </c>
      <c r="F1080">
        <v>4.0316937153117198E-3</v>
      </c>
      <c r="G1080">
        <v>652</v>
      </c>
      <c r="H1080">
        <v>1.37604544046235E-2</v>
      </c>
      <c r="I1080">
        <v>274</v>
      </c>
      <c r="L1080">
        <v>8.8739858805429797E-2</v>
      </c>
      <c r="M1080">
        <v>0.27324849911131599</v>
      </c>
      <c r="N1080">
        <v>2013</v>
      </c>
      <c r="O1080" t="s">
        <v>13</v>
      </c>
      <c r="P1080" t="s">
        <v>228</v>
      </c>
      <c r="Q1080" t="s">
        <v>29</v>
      </c>
      <c r="R1080" t="s">
        <v>20</v>
      </c>
    </row>
    <row r="1081" spans="1:18" x14ac:dyDescent="0.25">
      <c r="A1081" t="s">
        <v>226</v>
      </c>
      <c r="B1081" t="s">
        <v>230</v>
      </c>
      <c r="C1081" t="s">
        <v>12</v>
      </c>
      <c r="D1081">
        <v>1</v>
      </c>
      <c r="E1081">
        <v>45</v>
      </c>
      <c r="F1081">
        <v>2.2844638974483002E-2</v>
      </c>
      <c r="G1081">
        <v>447</v>
      </c>
      <c r="H1081">
        <v>2.4591279617457301E-2</v>
      </c>
      <c r="I1081">
        <v>203</v>
      </c>
      <c r="L1081">
        <v>4.2949933820240697E-2</v>
      </c>
      <c r="M1081">
        <v>0.179745320765692</v>
      </c>
      <c r="N1081">
        <v>2013</v>
      </c>
      <c r="O1081" t="s">
        <v>13</v>
      </c>
      <c r="P1081" t="s">
        <v>228</v>
      </c>
      <c r="Q1081" t="s">
        <v>29</v>
      </c>
      <c r="R1081" t="s">
        <v>20</v>
      </c>
    </row>
    <row r="1082" spans="1:18" x14ac:dyDescent="0.25">
      <c r="A1082" t="s">
        <v>226</v>
      </c>
      <c r="B1082" t="s">
        <v>230</v>
      </c>
      <c r="C1082" t="s">
        <v>12</v>
      </c>
      <c r="D1082">
        <v>1</v>
      </c>
      <c r="E1082">
        <v>55</v>
      </c>
      <c r="F1082">
        <v>5.7832338542684998E-2</v>
      </c>
      <c r="G1082">
        <v>397</v>
      </c>
      <c r="H1082">
        <v>4.7509157696917603E-2</v>
      </c>
      <c r="I1082">
        <v>162</v>
      </c>
      <c r="L1082">
        <v>2.1453873978404901E-2</v>
      </c>
      <c r="M1082">
        <v>7.6180238364241801E-2</v>
      </c>
      <c r="N1082">
        <v>2013</v>
      </c>
      <c r="O1082" t="s">
        <v>13</v>
      </c>
      <c r="P1082" t="s">
        <v>228</v>
      </c>
      <c r="Q1082" t="s">
        <v>29</v>
      </c>
      <c r="R1082" t="s">
        <v>20</v>
      </c>
    </row>
    <row r="1083" spans="1:18" x14ac:dyDescent="0.25">
      <c r="A1083" t="s">
        <v>226</v>
      </c>
      <c r="B1083" t="s">
        <v>230</v>
      </c>
      <c r="C1083" t="s">
        <v>12</v>
      </c>
      <c r="D1083">
        <v>1</v>
      </c>
      <c r="E1083">
        <v>62.5</v>
      </c>
      <c r="F1083">
        <v>8.2546378319038102E-3</v>
      </c>
      <c r="G1083">
        <v>92</v>
      </c>
      <c r="H1083">
        <v>0.16681347188898701</v>
      </c>
      <c r="I1083">
        <v>37</v>
      </c>
      <c r="L1083">
        <v>3.0995720320074902E-2</v>
      </c>
      <c r="M1083">
        <v>1.17219951774577E-2</v>
      </c>
      <c r="N1083">
        <v>2013</v>
      </c>
      <c r="O1083" t="s">
        <v>13</v>
      </c>
      <c r="P1083" t="s">
        <v>228</v>
      </c>
      <c r="Q1083" t="s">
        <v>29</v>
      </c>
      <c r="R1083" t="s">
        <v>20</v>
      </c>
    </row>
    <row r="1084" spans="1:18" x14ac:dyDescent="0.25">
      <c r="A1084" t="s">
        <v>226</v>
      </c>
      <c r="B1084" t="s">
        <v>231</v>
      </c>
      <c r="C1084" t="s">
        <v>12</v>
      </c>
      <c r="D1084">
        <v>2</v>
      </c>
      <c r="E1084">
        <v>19</v>
      </c>
      <c r="F1084">
        <v>0</v>
      </c>
      <c r="G1084">
        <v>85</v>
      </c>
      <c r="H1084">
        <v>6.2205154371499601E-2</v>
      </c>
      <c r="I1084">
        <v>81</v>
      </c>
      <c r="L1084">
        <v>3.8214723674728897E-2</v>
      </c>
      <c r="M1084">
        <v>0</v>
      </c>
      <c r="N1084">
        <v>2019</v>
      </c>
      <c r="O1084" t="s">
        <v>13</v>
      </c>
      <c r="P1084" t="s">
        <v>228</v>
      </c>
      <c r="Q1084" t="s">
        <v>29</v>
      </c>
      <c r="R1084" t="s">
        <v>20</v>
      </c>
    </row>
    <row r="1085" spans="1:18" x14ac:dyDescent="0.25">
      <c r="A1085" t="s">
        <v>226</v>
      </c>
      <c r="B1085" t="s">
        <v>231</v>
      </c>
      <c r="C1085" t="s">
        <v>12</v>
      </c>
      <c r="D1085">
        <v>2</v>
      </c>
      <c r="E1085">
        <v>25</v>
      </c>
      <c r="F1085">
        <v>0</v>
      </c>
      <c r="G1085">
        <v>584</v>
      </c>
      <c r="H1085">
        <v>5.9011649252506397E-2</v>
      </c>
      <c r="I1085">
        <v>550</v>
      </c>
      <c r="L1085">
        <v>5.2932305561672298E-2</v>
      </c>
      <c r="M1085">
        <v>0</v>
      </c>
      <c r="N1085">
        <v>2019</v>
      </c>
      <c r="O1085" t="s">
        <v>13</v>
      </c>
      <c r="P1085" t="s">
        <v>228</v>
      </c>
      <c r="Q1085" t="s">
        <v>29</v>
      </c>
      <c r="R1085" t="s">
        <v>20</v>
      </c>
    </row>
    <row r="1086" spans="1:18" x14ac:dyDescent="0.25">
      <c r="A1086" t="s">
        <v>226</v>
      </c>
      <c r="B1086" t="s">
        <v>231</v>
      </c>
      <c r="C1086" t="s">
        <v>12</v>
      </c>
      <c r="D1086">
        <v>2</v>
      </c>
      <c r="E1086">
        <v>35</v>
      </c>
      <c r="F1086">
        <v>1.59909074480641E-3</v>
      </c>
      <c r="G1086">
        <v>885</v>
      </c>
      <c r="H1086">
        <v>0.101644360957234</v>
      </c>
      <c r="I1086">
        <v>835</v>
      </c>
      <c r="L1086">
        <v>6.7891402578657903E-2</v>
      </c>
      <c r="M1086">
        <v>2.5264659075853801E-2</v>
      </c>
      <c r="N1086">
        <v>2019</v>
      </c>
      <c r="O1086" t="s">
        <v>13</v>
      </c>
      <c r="P1086" t="s">
        <v>228</v>
      </c>
      <c r="Q1086" t="s">
        <v>29</v>
      </c>
      <c r="R1086" t="s">
        <v>20</v>
      </c>
    </row>
    <row r="1087" spans="1:18" x14ac:dyDescent="0.25">
      <c r="A1087" t="s">
        <v>226</v>
      </c>
      <c r="B1087" t="s">
        <v>231</v>
      </c>
      <c r="C1087" t="s">
        <v>12</v>
      </c>
      <c r="D1087">
        <v>2</v>
      </c>
      <c r="E1087">
        <v>45</v>
      </c>
      <c r="F1087">
        <v>7.3141574766632401E-3</v>
      </c>
      <c r="G1087">
        <v>770</v>
      </c>
      <c r="H1087">
        <v>0.156530080325994</v>
      </c>
      <c r="I1087">
        <v>719</v>
      </c>
      <c r="L1087">
        <v>7.9054584701054406E-2</v>
      </c>
      <c r="M1087">
        <v>3.1592827103120197E-2</v>
      </c>
      <c r="N1087">
        <v>2019</v>
      </c>
      <c r="O1087" t="s">
        <v>13</v>
      </c>
      <c r="P1087" t="s">
        <v>228</v>
      </c>
      <c r="Q1087" t="s">
        <v>29</v>
      </c>
      <c r="R1087" t="s">
        <v>20</v>
      </c>
    </row>
    <row r="1088" spans="1:18" x14ac:dyDescent="0.25">
      <c r="A1088" t="s">
        <v>226</v>
      </c>
      <c r="B1088" t="s">
        <v>231</v>
      </c>
      <c r="C1088" t="s">
        <v>12</v>
      </c>
      <c r="D1088">
        <v>2</v>
      </c>
      <c r="E1088">
        <v>55</v>
      </c>
      <c r="F1088">
        <v>3.9540845814331899E-2</v>
      </c>
      <c r="G1088">
        <v>697</v>
      </c>
      <c r="H1088">
        <v>0.20230913730851199</v>
      </c>
      <c r="I1088">
        <v>640</v>
      </c>
      <c r="L1088">
        <v>8.7347425033032097E-2</v>
      </c>
      <c r="M1088">
        <v>5.1303259065683199E-2</v>
      </c>
      <c r="N1088">
        <v>2019</v>
      </c>
      <c r="O1088" t="s">
        <v>13</v>
      </c>
      <c r="P1088" t="s">
        <v>228</v>
      </c>
      <c r="Q1088" t="s">
        <v>29</v>
      </c>
      <c r="R1088" t="s">
        <v>20</v>
      </c>
    </row>
    <row r="1089" spans="1:18" x14ac:dyDescent="0.25">
      <c r="A1089" t="s">
        <v>226</v>
      </c>
      <c r="B1089" t="s">
        <v>231</v>
      </c>
      <c r="C1089" t="s">
        <v>12</v>
      </c>
      <c r="D1089">
        <v>2</v>
      </c>
      <c r="E1089">
        <v>65</v>
      </c>
      <c r="F1089">
        <v>5.2338764253173603E-2</v>
      </c>
      <c r="G1089">
        <v>460</v>
      </c>
      <c r="H1089">
        <v>0.241257760604531</v>
      </c>
      <c r="I1089">
        <v>410</v>
      </c>
      <c r="L1089">
        <v>9.7359281644279302E-2</v>
      </c>
      <c r="M1089">
        <v>5.2723759353091898E-2</v>
      </c>
      <c r="N1089">
        <v>2019</v>
      </c>
      <c r="O1089" t="s">
        <v>13</v>
      </c>
      <c r="P1089" t="s">
        <v>228</v>
      </c>
      <c r="Q1089" t="s">
        <v>29</v>
      </c>
      <c r="R1089" t="s">
        <v>20</v>
      </c>
    </row>
    <row r="1090" spans="1:18" x14ac:dyDescent="0.25">
      <c r="A1090" t="s">
        <v>226</v>
      </c>
      <c r="B1090" t="s">
        <v>231</v>
      </c>
      <c r="C1090" t="s">
        <v>12</v>
      </c>
      <c r="D1090">
        <v>1</v>
      </c>
      <c r="E1090">
        <v>19</v>
      </c>
      <c r="F1090">
        <v>2.1355970186791699E-2</v>
      </c>
      <c r="G1090">
        <v>86</v>
      </c>
      <c r="H1090">
        <v>7.7536913443056299E-2</v>
      </c>
      <c r="I1090">
        <v>77</v>
      </c>
      <c r="L1090">
        <v>2.4539935073569899E-2</v>
      </c>
      <c r="M1090">
        <v>2.9428537446885301E-2</v>
      </c>
      <c r="N1090">
        <v>2019</v>
      </c>
      <c r="O1090" t="s">
        <v>13</v>
      </c>
      <c r="P1090" t="s">
        <v>228</v>
      </c>
      <c r="Q1090" t="s">
        <v>29</v>
      </c>
      <c r="R1090" t="s">
        <v>20</v>
      </c>
    </row>
    <row r="1091" spans="1:18" x14ac:dyDescent="0.25">
      <c r="A1091" t="s">
        <v>226</v>
      </c>
      <c r="B1091" t="s">
        <v>231</v>
      </c>
      <c r="C1091" t="s">
        <v>12</v>
      </c>
      <c r="D1091">
        <v>1</v>
      </c>
      <c r="E1091">
        <v>25</v>
      </c>
      <c r="F1091">
        <v>7.1766641048391796E-4</v>
      </c>
      <c r="G1091">
        <v>499</v>
      </c>
      <c r="H1091">
        <v>9.9012754636113101E-2</v>
      </c>
      <c r="I1091">
        <v>463</v>
      </c>
      <c r="L1091">
        <v>3.2458677151121898E-2</v>
      </c>
      <c r="M1091">
        <v>1.0014716774007599E-2</v>
      </c>
      <c r="N1091">
        <v>2019</v>
      </c>
      <c r="O1091" t="s">
        <v>13</v>
      </c>
      <c r="P1091" t="s">
        <v>228</v>
      </c>
      <c r="Q1091" t="s">
        <v>29</v>
      </c>
      <c r="R1091" t="s">
        <v>20</v>
      </c>
    </row>
    <row r="1092" spans="1:18" x14ac:dyDescent="0.25">
      <c r="A1092" t="s">
        <v>226</v>
      </c>
      <c r="B1092" t="s">
        <v>231</v>
      </c>
      <c r="C1092" t="s">
        <v>12</v>
      </c>
      <c r="D1092">
        <v>1</v>
      </c>
      <c r="E1092">
        <v>35</v>
      </c>
      <c r="F1092">
        <v>3.5308797253851701E-3</v>
      </c>
      <c r="G1092">
        <v>813</v>
      </c>
      <c r="H1092">
        <v>0.14524900846987701</v>
      </c>
      <c r="I1092">
        <v>752</v>
      </c>
      <c r="L1092">
        <v>4.85679721797267E-2</v>
      </c>
      <c r="M1092">
        <v>1.5904620653303499E-2</v>
      </c>
      <c r="N1092">
        <v>2019</v>
      </c>
      <c r="O1092" t="s">
        <v>13</v>
      </c>
      <c r="P1092" t="s">
        <v>228</v>
      </c>
      <c r="Q1092" t="s">
        <v>29</v>
      </c>
      <c r="R1092" t="s">
        <v>20</v>
      </c>
    </row>
    <row r="1093" spans="1:18" x14ac:dyDescent="0.25">
      <c r="A1093" t="s">
        <v>226</v>
      </c>
      <c r="B1093" t="s">
        <v>231</v>
      </c>
      <c r="C1093" t="s">
        <v>12</v>
      </c>
      <c r="D1093">
        <v>1</v>
      </c>
      <c r="E1093">
        <v>45</v>
      </c>
      <c r="F1093">
        <v>2.9858682737116098E-2</v>
      </c>
      <c r="G1093">
        <v>663</v>
      </c>
      <c r="H1093">
        <v>0.19099490606158601</v>
      </c>
      <c r="I1093">
        <v>609</v>
      </c>
      <c r="L1093">
        <v>5.89618886938265E-2</v>
      </c>
      <c r="M1093">
        <v>3.1138543427614698E-2</v>
      </c>
      <c r="N1093">
        <v>2019</v>
      </c>
      <c r="O1093" t="s">
        <v>13</v>
      </c>
      <c r="P1093" t="s">
        <v>228</v>
      </c>
      <c r="Q1093" t="s">
        <v>29</v>
      </c>
      <c r="R1093" t="s">
        <v>20</v>
      </c>
    </row>
    <row r="1094" spans="1:18" x14ac:dyDescent="0.25">
      <c r="A1094" t="s">
        <v>226</v>
      </c>
      <c r="B1094" t="s">
        <v>231</v>
      </c>
      <c r="C1094" t="s">
        <v>12</v>
      </c>
      <c r="D1094">
        <v>1</v>
      </c>
      <c r="E1094">
        <v>55</v>
      </c>
      <c r="F1094">
        <v>4.0683547868053498E-2</v>
      </c>
      <c r="G1094">
        <v>523</v>
      </c>
      <c r="H1094">
        <v>0.21537547599725401</v>
      </c>
      <c r="I1094">
        <v>473</v>
      </c>
      <c r="L1094">
        <v>7.3887979739002393E-2</v>
      </c>
      <c r="M1094">
        <v>3.9287250956398401E-2</v>
      </c>
      <c r="N1094">
        <v>2019</v>
      </c>
      <c r="O1094" t="s">
        <v>13</v>
      </c>
      <c r="P1094" t="s">
        <v>228</v>
      </c>
      <c r="Q1094" t="s">
        <v>29</v>
      </c>
      <c r="R1094" t="s">
        <v>20</v>
      </c>
    </row>
    <row r="1095" spans="1:18" x14ac:dyDescent="0.25">
      <c r="A1095" t="s">
        <v>226</v>
      </c>
      <c r="B1095" t="s">
        <v>231</v>
      </c>
      <c r="C1095" t="s">
        <v>12</v>
      </c>
      <c r="D1095">
        <v>1</v>
      </c>
      <c r="E1095">
        <v>65</v>
      </c>
      <c r="F1095">
        <v>4.6467930845228198E-2</v>
      </c>
      <c r="G1095">
        <v>301</v>
      </c>
      <c r="H1095">
        <v>0.235818607596681</v>
      </c>
      <c r="I1095">
        <v>277</v>
      </c>
      <c r="L1095">
        <v>8.2057900595949002E-2</v>
      </c>
      <c r="M1095">
        <v>4.2351184835039399E-2</v>
      </c>
      <c r="N1095">
        <v>2019</v>
      </c>
      <c r="O1095" t="s">
        <v>13</v>
      </c>
      <c r="P1095" t="s">
        <v>228</v>
      </c>
      <c r="Q1095" t="s">
        <v>29</v>
      </c>
      <c r="R1095" t="s">
        <v>20</v>
      </c>
    </row>
    <row r="1096" spans="1:18" x14ac:dyDescent="0.25">
      <c r="A1096" t="s">
        <v>232</v>
      </c>
      <c r="B1096" t="s">
        <v>233</v>
      </c>
      <c r="C1096" t="s">
        <v>40</v>
      </c>
      <c r="D1096">
        <v>2</v>
      </c>
      <c r="E1096">
        <v>19</v>
      </c>
      <c r="F1096">
        <v>0</v>
      </c>
      <c r="G1096">
        <v>60</v>
      </c>
      <c r="H1096">
        <v>4.0995132193004297E-2</v>
      </c>
      <c r="I1096">
        <v>53</v>
      </c>
      <c r="L1096">
        <v>3.4220889534326299E-3</v>
      </c>
      <c r="M1096">
        <v>0</v>
      </c>
      <c r="N1096">
        <v>2006</v>
      </c>
      <c r="O1096" t="s">
        <v>41</v>
      </c>
      <c r="P1096" t="s">
        <v>234</v>
      </c>
      <c r="Q1096" t="s">
        <v>43</v>
      </c>
      <c r="R1096" t="s">
        <v>44</v>
      </c>
    </row>
    <row r="1097" spans="1:18" x14ac:dyDescent="0.25">
      <c r="A1097" t="s">
        <v>232</v>
      </c>
      <c r="B1097" t="s">
        <v>233</v>
      </c>
      <c r="C1097" t="s">
        <v>40</v>
      </c>
      <c r="D1097">
        <v>2</v>
      </c>
      <c r="E1097">
        <v>25</v>
      </c>
      <c r="F1097">
        <v>3.3444816053511701E-3</v>
      </c>
      <c r="G1097">
        <v>299</v>
      </c>
      <c r="H1097">
        <v>2.5109701912201899E-2</v>
      </c>
      <c r="I1097">
        <v>268</v>
      </c>
      <c r="L1097">
        <v>1.54448701182842E-2</v>
      </c>
      <c r="M1097">
        <v>2.1432043684169001E-2</v>
      </c>
      <c r="N1097">
        <v>2006</v>
      </c>
      <c r="O1097" t="s">
        <v>41</v>
      </c>
      <c r="P1097" t="s">
        <v>234</v>
      </c>
      <c r="Q1097" t="s">
        <v>43</v>
      </c>
      <c r="R1097" t="s">
        <v>44</v>
      </c>
    </row>
    <row r="1098" spans="1:18" x14ac:dyDescent="0.25">
      <c r="A1098" t="s">
        <v>232</v>
      </c>
      <c r="B1098" t="s">
        <v>233</v>
      </c>
      <c r="C1098" t="s">
        <v>40</v>
      </c>
      <c r="D1098">
        <v>2</v>
      </c>
      <c r="E1098">
        <v>35</v>
      </c>
      <c r="F1098">
        <v>3.57142857142857E-3</v>
      </c>
      <c r="G1098">
        <v>280</v>
      </c>
      <c r="H1098">
        <v>6.2678841663572599E-2</v>
      </c>
      <c r="I1098">
        <v>253</v>
      </c>
      <c r="L1098">
        <v>1.4040292586216399E-2</v>
      </c>
      <c r="M1098">
        <v>1.00042385476691E-2</v>
      </c>
      <c r="N1098">
        <v>2006</v>
      </c>
      <c r="O1098" t="s">
        <v>41</v>
      </c>
      <c r="P1098" t="s">
        <v>234</v>
      </c>
      <c r="Q1098" t="s">
        <v>43</v>
      </c>
      <c r="R1098" t="s">
        <v>44</v>
      </c>
    </row>
    <row r="1099" spans="1:18" x14ac:dyDescent="0.25">
      <c r="A1099" t="s">
        <v>232</v>
      </c>
      <c r="B1099" t="s">
        <v>233</v>
      </c>
      <c r="C1099" t="s">
        <v>40</v>
      </c>
      <c r="D1099">
        <v>2</v>
      </c>
      <c r="E1099">
        <v>45</v>
      </c>
      <c r="F1099">
        <v>8.4033613445378096E-3</v>
      </c>
      <c r="G1099">
        <v>238</v>
      </c>
      <c r="H1099">
        <v>8.9802566837743306E-2</v>
      </c>
      <c r="I1099">
        <v>211</v>
      </c>
      <c r="L1099">
        <v>2.33889771030177E-2</v>
      </c>
      <c r="M1099">
        <v>1.662516512968E-2</v>
      </c>
      <c r="N1099">
        <v>2006</v>
      </c>
      <c r="O1099" t="s">
        <v>41</v>
      </c>
      <c r="P1099" t="s">
        <v>234</v>
      </c>
      <c r="Q1099" t="s">
        <v>43</v>
      </c>
      <c r="R1099" t="s">
        <v>44</v>
      </c>
    </row>
    <row r="1100" spans="1:18" x14ac:dyDescent="0.25">
      <c r="A1100" t="s">
        <v>232</v>
      </c>
      <c r="B1100" t="s">
        <v>233</v>
      </c>
      <c r="C1100" t="s">
        <v>40</v>
      </c>
      <c r="D1100">
        <v>2</v>
      </c>
      <c r="E1100">
        <v>55</v>
      </c>
      <c r="F1100">
        <v>1.74418604651163E-2</v>
      </c>
      <c r="G1100">
        <v>172</v>
      </c>
      <c r="H1100">
        <v>0.100222792732561</v>
      </c>
      <c r="I1100">
        <v>163</v>
      </c>
      <c r="L1100">
        <v>2.4466798568228899E-2</v>
      </c>
      <c r="M1100">
        <v>2.08524931174454E-2</v>
      </c>
      <c r="N1100">
        <v>2006</v>
      </c>
      <c r="O1100" t="s">
        <v>41</v>
      </c>
      <c r="P1100" t="s">
        <v>234</v>
      </c>
      <c r="Q1100" t="s">
        <v>43</v>
      </c>
      <c r="R1100" t="s">
        <v>44</v>
      </c>
    </row>
    <row r="1101" spans="1:18" x14ac:dyDescent="0.25">
      <c r="A1101" t="s">
        <v>232</v>
      </c>
      <c r="B1101" t="s">
        <v>233</v>
      </c>
      <c r="C1101" t="s">
        <v>40</v>
      </c>
      <c r="D1101">
        <v>2</v>
      </c>
      <c r="E1101">
        <v>62.5</v>
      </c>
      <c r="F1101">
        <v>0</v>
      </c>
      <c r="G1101">
        <v>77</v>
      </c>
      <c r="H1101">
        <v>0.10484374447844901</v>
      </c>
      <c r="I1101">
        <v>72</v>
      </c>
      <c r="L1101">
        <v>3.0580119643371099E-2</v>
      </c>
      <c r="M1101">
        <v>0</v>
      </c>
      <c r="N1101">
        <v>2006</v>
      </c>
      <c r="O1101" t="s">
        <v>41</v>
      </c>
      <c r="P1101" t="s">
        <v>234</v>
      </c>
      <c r="Q1101" t="s">
        <v>43</v>
      </c>
      <c r="R1101" t="s">
        <v>44</v>
      </c>
    </row>
    <row r="1102" spans="1:18" x14ac:dyDescent="0.25">
      <c r="A1102" t="s">
        <v>232</v>
      </c>
      <c r="B1102" t="s">
        <v>233</v>
      </c>
      <c r="C1102" t="s">
        <v>40</v>
      </c>
      <c r="D1102">
        <v>1</v>
      </c>
      <c r="E1102">
        <v>19</v>
      </c>
      <c r="F1102">
        <v>0</v>
      </c>
      <c r="G1102">
        <v>56</v>
      </c>
      <c r="H1102">
        <v>4.3908607756415002E-2</v>
      </c>
      <c r="I1102">
        <v>49</v>
      </c>
      <c r="L1102">
        <v>3.5342716651643202E-3</v>
      </c>
      <c r="M1102">
        <v>0</v>
      </c>
      <c r="N1102">
        <v>2006</v>
      </c>
      <c r="O1102" t="s">
        <v>41</v>
      </c>
      <c r="P1102" t="s">
        <v>234</v>
      </c>
      <c r="Q1102" t="s">
        <v>43</v>
      </c>
      <c r="R1102" t="s">
        <v>44</v>
      </c>
    </row>
    <row r="1103" spans="1:18" x14ac:dyDescent="0.25">
      <c r="A1103" t="s">
        <v>232</v>
      </c>
      <c r="B1103" t="s">
        <v>233</v>
      </c>
      <c r="C1103" t="s">
        <v>40</v>
      </c>
      <c r="D1103">
        <v>1</v>
      </c>
      <c r="E1103">
        <v>25</v>
      </c>
      <c r="F1103">
        <v>0</v>
      </c>
      <c r="G1103">
        <v>257</v>
      </c>
      <c r="H1103">
        <v>3.2222824461467799E-2</v>
      </c>
      <c r="I1103">
        <v>226</v>
      </c>
      <c r="L1103">
        <v>1.1493637979426799E-2</v>
      </c>
      <c r="M1103">
        <v>0</v>
      </c>
      <c r="N1103">
        <v>2006</v>
      </c>
      <c r="O1103" t="s">
        <v>41</v>
      </c>
      <c r="P1103" t="s">
        <v>234</v>
      </c>
      <c r="Q1103" t="s">
        <v>43</v>
      </c>
      <c r="R1103" t="s">
        <v>44</v>
      </c>
    </row>
    <row r="1104" spans="1:18" x14ac:dyDescent="0.25">
      <c r="A1104" t="s">
        <v>232</v>
      </c>
      <c r="B1104" t="s">
        <v>233</v>
      </c>
      <c r="C1104" t="s">
        <v>40</v>
      </c>
      <c r="D1104">
        <v>1</v>
      </c>
      <c r="E1104">
        <v>35</v>
      </c>
      <c r="F1104">
        <v>0</v>
      </c>
      <c r="G1104">
        <v>246</v>
      </c>
      <c r="H1104">
        <v>5.2556774735982199E-2</v>
      </c>
      <c r="I1104">
        <v>217</v>
      </c>
      <c r="L1104">
        <v>1.7367054599895501E-2</v>
      </c>
      <c r="M1104">
        <v>0</v>
      </c>
      <c r="N1104">
        <v>2006</v>
      </c>
      <c r="O1104" t="s">
        <v>41</v>
      </c>
      <c r="P1104" t="s">
        <v>234</v>
      </c>
      <c r="Q1104" t="s">
        <v>43</v>
      </c>
      <c r="R1104" t="s">
        <v>44</v>
      </c>
    </row>
    <row r="1105" spans="1:18" x14ac:dyDescent="0.25">
      <c r="A1105" t="s">
        <v>232</v>
      </c>
      <c r="B1105" t="s">
        <v>233</v>
      </c>
      <c r="C1105" t="s">
        <v>40</v>
      </c>
      <c r="D1105">
        <v>1</v>
      </c>
      <c r="E1105">
        <v>45</v>
      </c>
      <c r="F1105">
        <v>9.5238095238095195E-3</v>
      </c>
      <c r="G1105">
        <v>210</v>
      </c>
      <c r="H1105">
        <v>6.9127469874040406E-2</v>
      </c>
      <c r="I1105">
        <v>187</v>
      </c>
      <c r="L1105">
        <v>1.11913422718953E-2</v>
      </c>
      <c r="M1105">
        <v>1.0673567826411001E-2</v>
      </c>
      <c r="N1105">
        <v>2006</v>
      </c>
      <c r="O1105" t="s">
        <v>41</v>
      </c>
      <c r="P1105" t="s">
        <v>234</v>
      </c>
      <c r="Q1105" t="s">
        <v>43</v>
      </c>
      <c r="R1105" t="s">
        <v>44</v>
      </c>
    </row>
    <row r="1106" spans="1:18" x14ac:dyDescent="0.25">
      <c r="A1106" t="s">
        <v>232</v>
      </c>
      <c r="B1106" t="s">
        <v>233</v>
      </c>
      <c r="C1106" t="s">
        <v>40</v>
      </c>
      <c r="D1106">
        <v>1</v>
      </c>
      <c r="E1106">
        <v>55</v>
      </c>
      <c r="F1106">
        <v>2.4691358024691398E-2</v>
      </c>
      <c r="G1106">
        <v>162</v>
      </c>
      <c r="H1106">
        <v>0.11298869055783201</v>
      </c>
      <c r="I1106">
        <v>150</v>
      </c>
      <c r="L1106">
        <v>1.2853341509952401E-2</v>
      </c>
      <c r="M1106">
        <v>1.17170027227419E-2</v>
      </c>
      <c r="N1106">
        <v>2006</v>
      </c>
      <c r="O1106" t="s">
        <v>41</v>
      </c>
      <c r="P1106" t="s">
        <v>234</v>
      </c>
      <c r="Q1106" t="s">
        <v>43</v>
      </c>
      <c r="R1106" t="s">
        <v>44</v>
      </c>
    </row>
    <row r="1107" spans="1:18" x14ac:dyDescent="0.25">
      <c r="A1107" t="s">
        <v>232</v>
      </c>
      <c r="B1107" t="s">
        <v>233</v>
      </c>
      <c r="C1107" t="s">
        <v>40</v>
      </c>
      <c r="D1107">
        <v>1</v>
      </c>
      <c r="E1107">
        <v>62.5</v>
      </c>
      <c r="F1107">
        <v>2.1739130434782601E-2</v>
      </c>
      <c r="G1107">
        <v>92</v>
      </c>
      <c r="H1107">
        <v>8.2951895744347998E-2</v>
      </c>
      <c r="I1107">
        <v>82</v>
      </c>
      <c r="L1107">
        <v>1.94275532556538E-2</v>
      </c>
      <c r="M1107">
        <v>2.2461299875272699E-2</v>
      </c>
      <c r="N1107">
        <v>2006</v>
      </c>
      <c r="O1107" t="s">
        <v>41</v>
      </c>
      <c r="P1107" t="s">
        <v>234</v>
      </c>
      <c r="Q1107" t="s">
        <v>43</v>
      </c>
      <c r="R1107" t="s">
        <v>44</v>
      </c>
    </row>
    <row r="1108" spans="1:18" x14ac:dyDescent="0.25">
      <c r="A1108" t="s">
        <v>235</v>
      </c>
      <c r="B1108" t="s">
        <v>236</v>
      </c>
      <c r="C1108" t="s">
        <v>12</v>
      </c>
      <c r="D1108">
        <v>2</v>
      </c>
      <c r="E1108">
        <v>27.5</v>
      </c>
      <c r="F1108">
        <v>0</v>
      </c>
      <c r="G1108">
        <v>842</v>
      </c>
      <c r="H1108">
        <v>3.6120828525175001E-2</v>
      </c>
      <c r="I1108">
        <v>454</v>
      </c>
      <c r="L1108">
        <v>2.8561148030897002E-2</v>
      </c>
      <c r="M1108">
        <v>0</v>
      </c>
      <c r="N1108">
        <v>2009</v>
      </c>
      <c r="O1108" t="s">
        <v>13</v>
      </c>
      <c r="P1108" t="s">
        <v>237</v>
      </c>
      <c r="Q1108" t="s">
        <v>94</v>
      </c>
      <c r="R1108" t="s">
        <v>44</v>
      </c>
    </row>
    <row r="1109" spans="1:18" x14ac:dyDescent="0.25">
      <c r="A1109" t="s">
        <v>235</v>
      </c>
      <c r="B1109" t="s">
        <v>236</v>
      </c>
      <c r="C1109" t="s">
        <v>12</v>
      </c>
      <c r="D1109">
        <v>2</v>
      </c>
      <c r="E1109">
        <v>35</v>
      </c>
      <c r="F1109">
        <v>1.0075573136931199E-3</v>
      </c>
      <c r="G1109">
        <v>1030</v>
      </c>
      <c r="H1109">
        <v>5.2332500591729302E-2</v>
      </c>
      <c r="I1109">
        <v>618</v>
      </c>
      <c r="L1109">
        <v>2.7532277121176299E-2</v>
      </c>
      <c r="M1109">
        <v>1.49765561049087E-2</v>
      </c>
      <c r="N1109">
        <v>2009</v>
      </c>
      <c r="O1109" t="s">
        <v>13</v>
      </c>
      <c r="P1109" t="s">
        <v>237</v>
      </c>
      <c r="Q1109" t="s">
        <v>94</v>
      </c>
      <c r="R1109" t="s">
        <v>44</v>
      </c>
    </row>
    <row r="1110" spans="1:18" x14ac:dyDescent="0.25">
      <c r="A1110" t="s">
        <v>235</v>
      </c>
      <c r="B1110" t="s">
        <v>236</v>
      </c>
      <c r="C1110" t="s">
        <v>12</v>
      </c>
      <c r="D1110">
        <v>2</v>
      </c>
      <c r="E1110">
        <v>45</v>
      </c>
      <c r="F1110">
        <v>0</v>
      </c>
      <c r="G1110">
        <v>688</v>
      </c>
      <c r="H1110">
        <v>6.1958311828772698E-2</v>
      </c>
      <c r="I1110">
        <v>424</v>
      </c>
      <c r="L1110">
        <v>4.1241577623811303E-2</v>
      </c>
      <c r="M1110">
        <v>0</v>
      </c>
      <c r="N1110">
        <v>2009</v>
      </c>
      <c r="O1110" t="s">
        <v>13</v>
      </c>
      <c r="P1110" t="s">
        <v>237</v>
      </c>
      <c r="Q1110" t="s">
        <v>94</v>
      </c>
      <c r="R1110" t="s">
        <v>44</v>
      </c>
    </row>
    <row r="1111" spans="1:18" x14ac:dyDescent="0.25">
      <c r="A1111" t="s">
        <v>235</v>
      </c>
      <c r="B1111" t="s">
        <v>236</v>
      </c>
      <c r="C1111" t="s">
        <v>12</v>
      </c>
      <c r="D1111">
        <v>2</v>
      </c>
      <c r="E1111">
        <v>55</v>
      </c>
      <c r="F1111">
        <v>1.1155017312589201E-2</v>
      </c>
      <c r="G1111">
        <v>493</v>
      </c>
      <c r="H1111">
        <v>6.9982842058220099E-2</v>
      </c>
      <c r="I1111">
        <v>318</v>
      </c>
      <c r="L1111">
        <v>5.7311657549852103E-2</v>
      </c>
      <c r="M1111">
        <v>5.9340041012270701E-2</v>
      </c>
      <c r="N1111">
        <v>2009</v>
      </c>
      <c r="O1111" t="s">
        <v>13</v>
      </c>
      <c r="P1111" t="s">
        <v>237</v>
      </c>
      <c r="Q1111" t="s">
        <v>94</v>
      </c>
      <c r="R1111" t="s">
        <v>44</v>
      </c>
    </row>
    <row r="1112" spans="1:18" x14ac:dyDescent="0.25">
      <c r="A1112" t="s">
        <v>235</v>
      </c>
      <c r="B1112" t="s">
        <v>236</v>
      </c>
      <c r="C1112" t="s">
        <v>12</v>
      </c>
      <c r="D1112">
        <v>2</v>
      </c>
      <c r="E1112">
        <v>62.5</v>
      </c>
      <c r="F1112">
        <v>0</v>
      </c>
      <c r="G1112">
        <v>199</v>
      </c>
      <c r="H1112">
        <v>9.2479226202919707E-2</v>
      </c>
      <c r="I1112">
        <v>142</v>
      </c>
      <c r="L1112">
        <v>6.2679857559473195E-2</v>
      </c>
      <c r="M1112">
        <v>0</v>
      </c>
      <c r="N1112">
        <v>2009</v>
      </c>
      <c r="O1112" t="s">
        <v>13</v>
      </c>
      <c r="P1112" t="s">
        <v>237</v>
      </c>
      <c r="Q1112" t="s">
        <v>94</v>
      </c>
      <c r="R1112" t="s">
        <v>44</v>
      </c>
    </row>
    <row r="1113" spans="1:18" x14ac:dyDescent="0.25">
      <c r="A1113" t="s">
        <v>235</v>
      </c>
      <c r="B1113" t="s">
        <v>236</v>
      </c>
      <c r="C1113" t="s">
        <v>12</v>
      </c>
      <c r="D1113">
        <v>1</v>
      </c>
      <c r="E1113">
        <v>27.5</v>
      </c>
      <c r="F1113">
        <v>0</v>
      </c>
      <c r="G1113">
        <v>432</v>
      </c>
      <c r="H1113">
        <v>6.7001734379853101E-2</v>
      </c>
      <c r="I1113">
        <v>188</v>
      </c>
      <c r="L1113">
        <v>1.93389967352307E-2</v>
      </c>
      <c r="M1113">
        <v>0</v>
      </c>
      <c r="N1113">
        <v>2009</v>
      </c>
      <c r="O1113" t="s">
        <v>13</v>
      </c>
      <c r="P1113" t="s">
        <v>237</v>
      </c>
      <c r="Q1113" t="s">
        <v>94</v>
      </c>
      <c r="R1113" t="s">
        <v>44</v>
      </c>
    </row>
    <row r="1114" spans="1:18" x14ac:dyDescent="0.25">
      <c r="A1114" t="s">
        <v>235</v>
      </c>
      <c r="B1114" t="s">
        <v>236</v>
      </c>
      <c r="C1114" t="s">
        <v>12</v>
      </c>
      <c r="D1114">
        <v>1</v>
      </c>
      <c r="E1114">
        <v>35</v>
      </c>
      <c r="F1114">
        <v>0</v>
      </c>
      <c r="G1114">
        <v>566</v>
      </c>
      <c r="H1114">
        <v>6.5645507192409802E-2</v>
      </c>
      <c r="I1114">
        <v>295</v>
      </c>
      <c r="L1114">
        <v>2.4995178623829301E-2</v>
      </c>
      <c r="M1114">
        <v>0</v>
      </c>
      <c r="N1114">
        <v>2009</v>
      </c>
      <c r="O1114" t="s">
        <v>13</v>
      </c>
      <c r="P1114" t="s">
        <v>237</v>
      </c>
      <c r="Q1114" t="s">
        <v>94</v>
      </c>
      <c r="R1114" t="s">
        <v>44</v>
      </c>
    </row>
    <row r="1115" spans="1:18" x14ac:dyDescent="0.25">
      <c r="A1115" t="s">
        <v>235</v>
      </c>
      <c r="B1115" t="s">
        <v>236</v>
      </c>
      <c r="C1115" t="s">
        <v>12</v>
      </c>
      <c r="D1115">
        <v>1</v>
      </c>
      <c r="E1115">
        <v>45</v>
      </c>
      <c r="F1115">
        <v>0</v>
      </c>
      <c r="G1115">
        <v>340</v>
      </c>
      <c r="H1115">
        <v>5.8268271301252603E-2</v>
      </c>
      <c r="I1115">
        <v>196</v>
      </c>
      <c r="L1115">
        <v>5.0771993136661898E-2</v>
      </c>
      <c r="M1115">
        <v>0</v>
      </c>
      <c r="N1115">
        <v>2009</v>
      </c>
      <c r="O1115" t="s">
        <v>13</v>
      </c>
      <c r="P1115" t="s">
        <v>237</v>
      </c>
      <c r="Q1115" t="s">
        <v>94</v>
      </c>
      <c r="R1115" t="s">
        <v>44</v>
      </c>
    </row>
    <row r="1116" spans="1:18" x14ac:dyDescent="0.25">
      <c r="A1116" t="s">
        <v>235</v>
      </c>
      <c r="B1116" t="s">
        <v>236</v>
      </c>
      <c r="C1116" t="s">
        <v>12</v>
      </c>
      <c r="D1116">
        <v>1</v>
      </c>
      <c r="E1116">
        <v>55</v>
      </c>
      <c r="F1116">
        <v>3.6256003538653698E-3</v>
      </c>
      <c r="G1116">
        <v>237</v>
      </c>
      <c r="H1116">
        <v>6.6718448250655399E-2</v>
      </c>
      <c r="I1116">
        <v>136</v>
      </c>
      <c r="L1116">
        <v>4.20650950827774E-2</v>
      </c>
      <c r="M1116">
        <v>2.8298492408528001E-2</v>
      </c>
      <c r="N1116">
        <v>2009</v>
      </c>
      <c r="O1116" t="s">
        <v>13</v>
      </c>
      <c r="P1116" t="s">
        <v>237</v>
      </c>
      <c r="Q1116" t="s">
        <v>94</v>
      </c>
      <c r="R1116" t="s">
        <v>44</v>
      </c>
    </row>
    <row r="1117" spans="1:18" x14ac:dyDescent="0.25">
      <c r="A1117" t="s">
        <v>235</v>
      </c>
      <c r="B1117" t="s">
        <v>236</v>
      </c>
      <c r="C1117" t="s">
        <v>12</v>
      </c>
      <c r="D1117">
        <v>1</v>
      </c>
      <c r="E1117">
        <v>62.5</v>
      </c>
      <c r="F1117">
        <v>0</v>
      </c>
      <c r="G1117">
        <v>115</v>
      </c>
      <c r="H1117">
        <v>8.5318452209789605E-2</v>
      </c>
      <c r="I1117">
        <v>73</v>
      </c>
      <c r="L1117">
        <v>6.4724869811449898E-2</v>
      </c>
      <c r="M1117">
        <v>0</v>
      </c>
      <c r="N1117">
        <v>2009</v>
      </c>
      <c r="O1117" t="s">
        <v>13</v>
      </c>
      <c r="P1117" t="s">
        <v>237</v>
      </c>
      <c r="Q1117" t="s">
        <v>94</v>
      </c>
      <c r="R1117" t="s">
        <v>44</v>
      </c>
    </row>
    <row r="1118" spans="1:18" x14ac:dyDescent="0.25">
      <c r="A1118" t="s">
        <v>235</v>
      </c>
      <c r="B1118" t="s">
        <v>238</v>
      </c>
      <c r="C1118" t="s">
        <v>12</v>
      </c>
      <c r="D1118">
        <v>2</v>
      </c>
      <c r="E1118">
        <v>19</v>
      </c>
      <c r="F1118">
        <v>0</v>
      </c>
      <c r="G1118">
        <v>114</v>
      </c>
      <c r="H1118">
        <v>8.0468627058597492E-3</v>
      </c>
      <c r="I1118">
        <v>104</v>
      </c>
      <c r="L1118">
        <v>0.151675847878561</v>
      </c>
      <c r="M1118">
        <v>0</v>
      </c>
      <c r="N1118">
        <v>2017</v>
      </c>
      <c r="O1118" t="s">
        <v>13</v>
      </c>
      <c r="P1118" t="s">
        <v>237</v>
      </c>
      <c r="Q1118" t="s">
        <v>94</v>
      </c>
      <c r="R1118" t="s">
        <v>44</v>
      </c>
    </row>
    <row r="1119" spans="1:18" x14ac:dyDescent="0.25">
      <c r="A1119" t="s">
        <v>235</v>
      </c>
      <c r="B1119" t="s">
        <v>238</v>
      </c>
      <c r="C1119" t="s">
        <v>12</v>
      </c>
      <c r="D1119">
        <v>2</v>
      </c>
      <c r="E1119">
        <v>25</v>
      </c>
      <c r="F1119">
        <v>2.33931547933238E-3</v>
      </c>
      <c r="G1119">
        <v>703</v>
      </c>
      <c r="H1119">
        <v>2.1116769034423499E-2</v>
      </c>
      <c r="I1119">
        <v>625</v>
      </c>
      <c r="L1119">
        <v>3.8869389549415198E-2</v>
      </c>
      <c r="M1119">
        <v>5.1634067624971497E-2</v>
      </c>
      <c r="N1119">
        <v>2017</v>
      </c>
      <c r="O1119" t="s">
        <v>13</v>
      </c>
      <c r="P1119" t="s">
        <v>237</v>
      </c>
      <c r="Q1119" t="s">
        <v>94</v>
      </c>
      <c r="R1119" t="s">
        <v>44</v>
      </c>
    </row>
    <row r="1120" spans="1:18" x14ac:dyDescent="0.25">
      <c r="A1120" t="s">
        <v>235</v>
      </c>
      <c r="B1120" t="s">
        <v>238</v>
      </c>
      <c r="C1120" t="s">
        <v>12</v>
      </c>
      <c r="D1120">
        <v>2</v>
      </c>
      <c r="E1120">
        <v>35</v>
      </c>
      <c r="F1120">
        <v>6.9121682958582303E-4</v>
      </c>
      <c r="G1120">
        <v>711</v>
      </c>
      <c r="H1120">
        <v>3.1861996605123698E-2</v>
      </c>
      <c r="I1120">
        <v>645</v>
      </c>
      <c r="L1120">
        <v>6.0568398255806698E-2</v>
      </c>
      <c r="M1120">
        <v>4.1338563796168702E-2</v>
      </c>
      <c r="N1120">
        <v>2017</v>
      </c>
      <c r="O1120" t="s">
        <v>13</v>
      </c>
      <c r="P1120" t="s">
        <v>237</v>
      </c>
      <c r="Q1120" t="s">
        <v>94</v>
      </c>
      <c r="R1120" t="s">
        <v>44</v>
      </c>
    </row>
    <row r="1121" spans="1:18" x14ac:dyDescent="0.25">
      <c r="A1121" t="s">
        <v>235</v>
      </c>
      <c r="B1121" t="s">
        <v>238</v>
      </c>
      <c r="C1121" t="s">
        <v>12</v>
      </c>
      <c r="D1121">
        <v>2</v>
      </c>
      <c r="E1121">
        <v>45</v>
      </c>
      <c r="F1121">
        <v>6.1504601852826199E-3</v>
      </c>
      <c r="G1121">
        <v>444</v>
      </c>
      <c r="H1121">
        <v>4.5864093219067002E-2</v>
      </c>
      <c r="I1121">
        <v>405</v>
      </c>
      <c r="L1121">
        <v>7.5520684742010499E-2</v>
      </c>
      <c r="M1121">
        <v>8.7723601212935598E-2</v>
      </c>
      <c r="N1121">
        <v>2017</v>
      </c>
      <c r="O1121" t="s">
        <v>13</v>
      </c>
      <c r="P1121" t="s">
        <v>237</v>
      </c>
      <c r="Q1121" t="s">
        <v>94</v>
      </c>
      <c r="R1121" t="s">
        <v>44</v>
      </c>
    </row>
    <row r="1122" spans="1:18" x14ac:dyDescent="0.25">
      <c r="A1122" t="s">
        <v>235</v>
      </c>
      <c r="B1122" t="s">
        <v>238</v>
      </c>
      <c r="C1122" t="s">
        <v>12</v>
      </c>
      <c r="D1122">
        <v>2</v>
      </c>
      <c r="E1122">
        <v>55</v>
      </c>
      <c r="F1122">
        <v>1.15705460337852E-2</v>
      </c>
      <c r="G1122">
        <v>319</v>
      </c>
      <c r="H1122">
        <v>4.1147650543832903E-2</v>
      </c>
      <c r="I1122">
        <v>300</v>
      </c>
      <c r="L1122">
        <v>9.3025785768817607E-2</v>
      </c>
      <c r="M1122">
        <v>0.168300939279035</v>
      </c>
      <c r="N1122">
        <v>2017</v>
      </c>
      <c r="O1122" t="s">
        <v>13</v>
      </c>
      <c r="P1122" t="s">
        <v>237</v>
      </c>
      <c r="Q1122" t="s">
        <v>94</v>
      </c>
      <c r="R1122" t="s">
        <v>44</v>
      </c>
    </row>
    <row r="1123" spans="1:18" x14ac:dyDescent="0.25">
      <c r="A1123" t="s">
        <v>235</v>
      </c>
      <c r="B1123" t="s">
        <v>238</v>
      </c>
      <c r="C1123" t="s">
        <v>12</v>
      </c>
      <c r="D1123">
        <v>2</v>
      </c>
      <c r="E1123">
        <v>65</v>
      </c>
      <c r="F1123">
        <v>1.80762788428699E-2</v>
      </c>
      <c r="G1123">
        <v>269</v>
      </c>
      <c r="H1123">
        <v>5.9347185935189402E-2</v>
      </c>
      <c r="I1123">
        <v>257</v>
      </c>
      <c r="L1123">
        <v>8.7208364872049096E-2</v>
      </c>
      <c r="M1123">
        <v>0.13735855075804199</v>
      </c>
      <c r="N1123">
        <v>2017</v>
      </c>
      <c r="O1123" t="s">
        <v>13</v>
      </c>
      <c r="P1123" t="s">
        <v>237</v>
      </c>
      <c r="Q1123" t="s">
        <v>94</v>
      </c>
      <c r="R1123" t="s">
        <v>44</v>
      </c>
    </row>
    <row r="1124" spans="1:18" x14ac:dyDescent="0.25">
      <c r="A1124" t="s">
        <v>235</v>
      </c>
      <c r="B1124" t="s">
        <v>238</v>
      </c>
      <c r="C1124" t="s">
        <v>12</v>
      </c>
      <c r="D1124">
        <v>1</v>
      </c>
      <c r="E1124">
        <v>19</v>
      </c>
      <c r="F1124">
        <v>0</v>
      </c>
      <c r="G1124">
        <v>71</v>
      </c>
      <c r="H1124">
        <v>3.4874146992691399E-3</v>
      </c>
      <c r="I1124">
        <v>62</v>
      </c>
      <c r="L1124">
        <v>0.131197836695292</v>
      </c>
      <c r="M1124">
        <v>0</v>
      </c>
      <c r="N1124">
        <v>2017</v>
      </c>
      <c r="O1124" t="s">
        <v>13</v>
      </c>
      <c r="P1124" t="s">
        <v>237</v>
      </c>
      <c r="Q1124" t="s">
        <v>94</v>
      </c>
      <c r="R1124" t="s">
        <v>44</v>
      </c>
    </row>
    <row r="1125" spans="1:18" x14ac:dyDescent="0.25">
      <c r="A1125" t="s">
        <v>235</v>
      </c>
      <c r="B1125" t="s">
        <v>238</v>
      </c>
      <c r="C1125" t="s">
        <v>12</v>
      </c>
      <c r="D1125">
        <v>1</v>
      </c>
      <c r="E1125">
        <v>25</v>
      </c>
      <c r="F1125">
        <v>0</v>
      </c>
      <c r="G1125">
        <v>378</v>
      </c>
      <c r="H1125">
        <v>2.1511070284277001E-2</v>
      </c>
      <c r="I1125">
        <v>320</v>
      </c>
      <c r="L1125">
        <v>2.9325760667724E-2</v>
      </c>
      <c r="M1125">
        <v>0</v>
      </c>
      <c r="N1125">
        <v>2017</v>
      </c>
      <c r="O1125" t="s">
        <v>13</v>
      </c>
      <c r="P1125" t="s">
        <v>237</v>
      </c>
      <c r="Q1125" t="s">
        <v>94</v>
      </c>
      <c r="R1125" t="s">
        <v>44</v>
      </c>
    </row>
    <row r="1126" spans="1:18" x14ac:dyDescent="0.25">
      <c r="A1126" t="s">
        <v>235</v>
      </c>
      <c r="B1126" t="s">
        <v>238</v>
      </c>
      <c r="C1126" t="s">
        <v>12</v>
      </c>
      <c r="D1126">
        <v>1</v>
      </c>
      <c r="E1126">
        <v>35</v>
      </c>
      <c r="F1126">
        <v>5.6636277865309802E-3</v>
      </c>
      <c r="G1126">
        <v>399</v>
      </c>
      <c r="H1126">
        <v>1.54388136911445E-2</v>
      </c>
      <c r="I1126">
        <v>354</v>
      </c>
      <c r="L1126">
        <v>5.1821578063754099E-2</v>
      </c>
      <c r="M1126">
        <v>0.14687831215455799</v>
      </c>
      <c r="N1126">
        <v>2017</v>
      </c>
      <c r="O1126" t="s">
        <v>13</v>
      </c>
      <c r="P1126" t="s">
        <v>237</v>
      </c>
      <c r="Q1126" t="s">
        <v>94</v>
      </c>
      <c r="R1126" t="s">
        <v>44</v>
      </c>
    </row>
    <row r="1127" spans="1:18" x14ac:dyDescent="0.25">
      <c r="A1127" t="s">
        <v>235</v>
      </c>
      <c r="B1127" t="s">
        <v>238</v>
      </c>
      <c r="C1127" t="s">
        <v>12</v>
      </c>
      <c r="D1127">
        <v>1</v>
      </c>
      <c r="E1127">
        <v>45</v>
      </c>
      <c r="F1127">
        <v>0</v>
      </c>
      <c r="G1127">
        <v>299</v>
      </c>
      <c r="H1127">
        <v>1.9004967948910999E-2</v>
      </c>
      <c r="I1127">
        <v>274</v>
      </c>
      <c r="L1127">
        <v>0.10949122305893901</v>
      </c>
      <c r="M1127">
        <v>0</v>
      </c>
      <c r="N1127">
        <v>2017</v>
      </c>
      <c r="O1127" t="s">
        <v>13</v>
      </c>
      <c r="P1127" t="s">
        <v>237</v>
      </c>
      <c r="Q1127" t="s">
        <v>94</v>
      </c>
      <c r="R1127" t="s">
        <v>44</v>
      </c>
    </row>
    <row r="1128" spans="1:18" x14ac:dyDescent="0.25">
      <c r="A1128" t="s">
        <v>235</v>
      </c>
      <c r="B1128" t="s">
        <v>238</v>
      </c>
      <c r="C1128" t="s">
        <v>12</v>
      </c>
      <c r="D1128">
        <v>1</v>
      </c>
      <c r="E1128">
        <v>55</v>
      </c>
      <c r="F1128">
        <v>0</v>
      </c>
      <c r="G1128">
        <v>194</v>
      </c>
      <c r="H1128">
        <v>3.9867669579304599E-2</v>
      </c>
      <c r="I1128">
        <v>182</v>
      </c>
      <c r="L1128">
        <v>0.100149313206377</v>
      </c>
      <c r="M1128">
        <v>0</v>
      </c>
      <c r="N1128">
        <v>2017</v>
      </c>
      <c r="O1128" t="s">
        <v>13</v>
      </c>
      <c r="P1128" t="s">
        <v>237</v>
      </c>
      <c r="Q1128" t="s">
        <v>94</v>
      </c>
      <c r="R1128" t="s">
        <v>44</v>
      </c>
    </row>
    <row r="1129" spans="1:18" x14ac:dyDescent="0.25">
      <c r="A1129" t="s">
        <v>235</v>
      </c>
      <c r="B1129" t="s">
        <v>238</v>
      </c>
      <c r="C1129" t="s">
        <v>12</v>
      </c>
      <c r="D1129">
        <v>1</v>
      </c>
      <c r="E1129">
        <v>65</v>
      </c>
      <c r="F1129">
        <v>3.1152017811037901E-2</v>
      </c>
      <c r="G1129">
        <v>144</v>
      </c>
      <c r="H1129">
        <v>6.3591400763724798E-2</v>
      </c>
      <c r="I1129">
        <v>122</v>
      </c>
      <c r="L1129">
        <v>4.5115334010914401E-2</v>
      </c>
      <c r="M1129">
        <v>8.3012054178569994E-2</v>
      </c>
      <c r="N1129">
        <v>2017</v>
      </c>
      <c r="O1129" t="s">
        <v>13</v>
      </c>
      <c r="P1129" t="s">
        <v>237</v>
      </c>
      <c r="Q1129" t="s">
        <v>94</v>
      </c>
      <c r="R1129" t="s">
        <v>44</v>
      </c>
    </row>
    <row r="1130" spans="1:18" x14ac:dyDescent="0.25">
      <c r="A1130" t="s">
        <v>239</v>
      </c>
      <c r="B1130" t="s">
        <v>240</v>
      </c>
      <c r="C1130" t="s">
        <v>12</v>
      </c>
      <c r="D1130">
        <v>2</v>
      </c>
      <c r="E1130">
        <v>37.5</v>
      </c>
      <c r="F1130">
        <v>3.7457135930514199E-3</v>
      </c>
      <c r="G1130">
        <v>484</v>
      </c>
      <c r="H1130">
        <v>5.3719544584337003E-2</v>
      </c>
      <c r="I1130">
        <v>433</v>
      </c>
      <c r="L1130">
        <v>6.1685766131183102E-2</v>
      </c>
      <c r="M1130">
        <v>4.9870370195231502E-2</v>
      </c>
      <c r="N1130">
        <v>2013</v>
      </c>
      <c r="O1130" t="s">
        <v>13</v>
      </c>
      <c r="P1130" t="s">
        <v>241</v>
      </c>
      <c r="Q1130" t="s">
        <v>79</v>
      </c>
      <c r="R1130" t="s">
        <v>44</v>
      </c>
    </row>
    <row r="1131" spans="1:18" x14ac:dyDescent="0.25">
      <c r="A1131" t="s">
        <v>239</v>
      </c>
      <c r="B1131" t="s">
        <v>240</v>
      </c>
      <c r="C1131" t="s">
        <v>12</v>
      </c>
      <c r="D1131">
        <v>2</v>
      </c>
      <c r="E1131">
        <v>45</v>
      </c>
      <c r="F1131">
        <v>2.2013503280058602E-2</v>
      </c>
      <c r="G1131">
        <v>773</v>
      </c>
      <c r="H1131">
        <v>8.3832171213365503E-2</v>
      </c>
      <c r="I1131">
        <v>681</v>
      </c>
      <c r="L1131">
        <v>5.7476252557661998E-2</v>
      </c>
      <c r="M1131">
        <v>6.6501072362353905E-2</v>
      </c>
      <c r="N1131">
        <v>2013</v>
      </c>
      <c r="O1131" t="s">
        <v>13</v>
      </c>
      <c r="P1131" t="s">
        <v>241</v>
      </c>
      <c r="Q1131" t="s">
        <v>79</v>
      </c>
      <c r="R1131" t="s">
        <v>44</v>
      </c>
    </row>
    <row r="1132" spans="1:18" x14ac:dyDescent="0.25">
      <c r="A1132" t="s">
        <v>239</v>
      </c>
      <c r="B1132" t="s">
        <v>240</v>
      </c>
      <c r="C1132" t="s">
        <v>12</v>
      </c>
      <c r="D1132">
        <v>2</v>
      </c>
      <c r="E1132">
        <v>55</v>
      </c>
      <c r="F1132">
        <v>3.4880358354439298E-2</v>
      </c>
      <c r="G1132">
        <v>595</v>
      </c>
      <c r="H1132">
        <v>8.7722950633783797E-2</v>
      </c>
      <c r="I1132">
        <v>520</v>
      </c>
      <c r="L1132">
        <v>6.8962619338239897E-2</v>
      </c>
      <c r="M1132">
        <v>0.10252650875503801</v>
      </c>
      <c r="N1132">
        <v>2013</v>
      </c>
      <c r="O1132" t="s">
        <v>13</v>
      </c>
      <c r="P1132" t="s">
        <v>241</v>
      </c>
      <c r="Q1132" t="s">
        <v>79</v>
      </c>
      <c r="R1132" t="s">
        <v>44</v>
      </c>
    </row>
    <row r="1133" spans="1:18" x14ac:dyDescent="0.25">
      <c r="A1133" t="s">
        <v>239</v>
      </c>
      <c r="B1133" t="s">
        <v>240</v>
      </c>
      <c r="C1133" t="s">
        <v>12</v>
      </c>
      <c r="D1133">
        <v>2</v>
      </c>
      <c r="E1133">
        <v>62.5</v>
      </c>
      <c r="F1133">
        <v>3.4213783508748402E-2</v>
      </c>
      <c r="G1133">
        <v>202</v>
      </c>
      <c r="H1133">
        <v>0.106315782213352</v>
      </c>
      <c r="I1133">
        <v>180</v>
      </c>
      <c r="L1133">
        <v>6.5155738122062198E-2</v>
      </c>
      <c r="M1133">
        <v>7.7835683393168195E-2</v>
      </c>
      <c r="N1133">
        <v>2013</v>
      </c>
      <c r="O1133" t="s">
        <v>13</v>
      </c>
      <c r="P1133" t="s">
        <v>241</v>
      </c>
      <c r="Q1133" t="s">
        <v>79</v>
      </c>
      <c r="R1133" t="s">
        <v>44</v>
      </c>
    </row>
    <row r="1134" spans="1:18" x14ac:dyDescent="0.25">
      <c r="A1134" t="s">
        <v>239</v>
      </c>
      <c r="B1134" t="s">
        <v>240</v>
      </c>
      <c r="C1134" t="s">
        <v>12</v>
      </c>
      <c r="D1134">
        <v>1</v>
      </c>
      <c r="E1134">
        <v>37.5</v>
      </c>
      <c r="F1134">
        <v>4.3817608412104296E-3</v>
      </c>
      <c r="G1134">
        <v>398</v>
      </c>
      <c r="H1134">
        <v>6.1172694272071303E-2</v>
      </c>
      <c r="I1134">
        <v>328</v>
      </c>
      <c r="L1134">
        <v>4.2030987869963697E-2</v>
      </c>
      <c r="M1134">
        <v>3.09671147070926E-2</v>
      </c>
      <c r="N1134">
        <v>2013</v>
      </c>
      <c r="O1134" t="s">
        <v>13</v>
      </c>
      <c r="P1134" t="s">
        <v>241</v>
      </c>
      <c r="Q1134" t="s">
        <v>79</v>
      </c>
      <c r="R1134" t="s">
        <v>44</v>
      </c>
    </row>
    <row r="1135" spans="1:18" x14ac:dyDescent="0.25">
      <c r="A1135" t="s">
        <v>239</v>
      </c>
      <c r="B1135" t="s">
        <v>240</v>
      </c>
      <c r="C1135" t="s">
        <v>12</v>
      </c>
      <c r="D1135">
        <v>1</v>
      </c>
      <c r="E1135">
        <v>45</v>
      </c>
      <c r="F1135">
        <v>1.43652819919051E-2</v>
      </c>
      <c r="G1135">
        <v>624</v>
      </c>
      <c r="H1135">
        <v>5.9543365406566399E-2</v>
      </c>
      <c r="I1135">
        <v>534</v>
      </c>
      <c r="L1135">
        <v>5.74764019794822E-2</v>
      </c>
      <c r="M1135">
        <v>7.2639271937082903E-2</v>
      </c>
      <c r="N1135">
        <v>2013</v>
      </c>
      <c r="O1135" t="s">
        <v>13</v>
      </c>
      <c r="P1135" t="s">
        <v>241</v>
      </c>
      <c r="Q1135" t="s">
        <v>79</v>
      </c>
      <c r="R1135" t="s">
        <v>44</v>
      </c>
    </row>
    <row r="1136" spans="1:18" x14ac:dyDescent="0.25">
      <c r="A1136" t="s">
        <v>239</v>
      </c>
      <c r="B1136" t="s">
        <v>240</v>
      </c>
      <c r="C1136" t="s">
        <v>12</v>
      </c>
      <c r="D1136">
        <v>1</v>
      </c>
      <c r="E1136">
        <v>55</v>
      </c>
      <c r="F1136">
        <v>5.9917106242803803E-2</v>
      </c>
      <c r="G1136">
        <v>370</v>
      </c>
      <c r="H1136">
        <v>9.1644913476168904E-2</v>
      </c>
      <c r="I1136">
        <v>309</v>
      </c>
      <c r="L1136">
        <v>3.8285700454449602E-2</v>
      </c>
      <c r="M1136">
        <v>6.8268365182430998E-2</v>
      </c>
      <c r="N1136">
        <v>2013</v>
      </c>
      <c r="O1136" t="s">
        <v>13</v>
      </c>
      <c r="P1136" t="s">
        <v>241</v>
      </c>
      <c r="Q1136" t="s">
        <v>79</v>
      </c>
      <c r="R1136" t="s">
        <v>44</v>
      </c>
    </row>
    <row r="1137" spans="1:18" x14ac:dyDescent="0.25">
      <c r="A1137" t="s">
        <v>239</v>
      </c>
      <c r="B1137" t="s">
        <v>240</v>
      </c>
      <c r="C1137" t="s">
        <v>12</v>
      </c>
      <c r="D1137">
        <v>1</v>
      </c>
      <c r="E1137">
        <v>62.5</v>
      </c>
      <c r="F1137">
        <v>6.9884340277910101E-2</v>
      </c>
      <c r="G1137">
        <v>159</v>
      </c>
      <c r="H1137">
        <v>0.111496067231968</v>
      </c>
      <c r="I1137">
        <v>133</v>
      </c>
      <c r="L1137">
        <v>4.5718122018029203E-2</v>
      </c>
      <c r="M1137">
        <v>7.0290614862011505E-2</v>
      </c>
      <c r="N1137">
        <v>2013</v>
      </c>
      <c r="O1137" t="s">
        <v>13</v>
      </c>
      <c r="P1137" t="s">
        <v>241</v>
      </c>
      <c r="Q1137" t="s">
        <v>79</v>
      </c>
      <c r="R1137" t="s">
        <v>44</v>
      </c>
    </row>
    <row r="1138" spans="1:18" x14ac:dyDescent="0.25">
      <c r="A1138" t="s">
        <v>242</v>
      </c>
      <c r="B1138" t="s">
        <v>243</v>
      </c>
      <c r="C1138" t="s">
        <v>12</v>
      </c>
      <c r="D1138">
        <v>2</v>
      </c>
      <c r="E1138">
        <v>19</v>
      </c>
      <c r="F1138">
        <v>0</v>
      </c>
      <c r="G1138">
        <v>272</v>
      </c>
      <c r="H1138">
        <v>1.5045398438786601E-2</v>
      </c>
      <c r="I1138">
        <v>224</v>
      </c>
      <c r="L1138">
        <v>3.2623021095248297E-2</v>
      </c>
      <c r="M1138">
        <v>0</v>
      </c>
      <c r="N1138">
        <v>2021</v>
      </c>
      <c r="O1138" t="s">
        <v>13</v>
      </c>
      <c r="P1138" t="s">
        <v>244</v>
      </c>
      <c r="Q1138" t="s">
        <v>43</v>
      </c>
      <c r="R1138" t="s">
        <v>44</v>
      </c>
    </row>
    <row r="1139" spans="1:18" x14ac:dyDescent="0.25">
      <c r="A1139" t="s">
        <v>242</v>
      </c>
      <c r="B1139" t="s">
        <v>243</v>
      </c>
      <c r="C1139" t="s">
        <v>12</v>
      </c>
      <c r="D1139">
        <v>2</v>
      </c>
      <c r="E1139">
        <v>25</v>
      </c>
      <c r="F1139">
        <v>2.3506298045022E-3</v>
      </c>
      <c r="G1139">
        <v>976</v>
      </c>
      <c r="H1139">
        <v>1.31066488524159E-2</v>
      </c>
      <c r="I1139">
        <v>816</v>
      </c>
      <c r="L1139">
        <v>5.6638557582815802E-2</v>
      </c>
      <c r="M1139">
        <v>0.10897126828758499</v>
      </c>
      <c r="N1139">
        <v>2021</v>
      </c>
      <c r="O1139" t="s">
        <v>13</v>
      </c>
      <c r="P1139" t="s">
        <v>244</v>
      </c>
      <c r="Q1139" t="s">
        <v>43</v>
      </c>
      <c r="R1139" t="s">
        <v>44</v>
      </c>
    </row>
    <row r="1140" spans="1:18" x14ac:dyDescent="0.25">
      <c r="A1140" t="s">
        <v>242</v>
      </c>
      <c r="B1140" t="s">
        <v>243</v>
      </c>
      <c r="C1140" t="s">
        <v>12</v>
      </c>
      <c r="D1140">
        <v>2</v>
      </c>
      <c r="E1140">
        <v>35</v>
      </c>
      <c r="F1140">
        <v>5.2729298376016801E-4</v>
      </c>
      <c r="G1140">
        <v>725</v>
      </c>
      <c r="H1140">
        <v>3.03942613301224E-2</v>
      </c>
      <c r="I1140">
        <v>600</v>
      </c>
      <c r="L1140">
        <v>5.43481596056304E-2</v>
      </c>
      <c r="M1140">
        <v>3.6188757935092603E-2</v>
      </c>
      <c r="N1140">
        <v>2021</v>
      </c>
      <c r="O1140" t="s">
        <v>13</v>
      </c>
      <c r="P1140" t="s">
        <v>244</v>
      </c>
      <c r="Q1140" t="s">
        <v>43</v>
      </c>
      <c r="R1140" t="s">
        <v>44</v>
      </c>
    </row>
    <row r="1141" spans="1:18" x14ac:dyDescent="0.25">
      <c r="A1141" t="s">
        <v>242</v>
      </c>
      <c r="B1141" t="s">
        <v>243</v>
      </c>
      <c r="C1141" t="s">
        <v>12</v>
      </c>
      <c r="D1141">
        <v>2</v>
      </c>
      <c r="E1141">
        <v>45</v>
      </c>
      <c r="F1141">
        <v>2.70809401283888E-3</v>
      </c>
      <c r="G1141">
        <v>501</v>
      </c>
      <c r="H1141">
        <v>3.9715853189223202E-2</v>
      </c>
      <c r="I1141">
        <v>419</v>
      </c>
      <c r="L1141">
        <v>5.0530613403322301E-2</v>
      </c>
      <c r="M1141">
        <v>4.5083445432936499E-2</v>
      </c>
      <c r="N1141">
        <v>2021</v>
      </c>
      <c r="O1141" t="s">
        <v>13</v>
      </c>
      <c r="P1141" t="s">
        <v>244</v>
      </c>
      <c r="Q1141" t="s">
        <v>43</v>
      </c>
      <c r="R1141" t="s">
        <v>44</v>
      </c>
    </row>
    <row r="1142" spans="1:18" x14ac:dyDescent="0.25">
      <c r="A1142" t="s">
        <v>242</v>
      </c>
      <c r="B1142" t="s">
        <v>243</v>
      </c>
      <c r="C1142" t="s">
        <v>12</v>
      </c>
      <c r="D1142">
        <v>2</v>
      </c>
      <c r="E1142">
        <v>55</v>
      </c>
      <c r="F1142">
        <v>1.29451456530653E-2</v>
      </c>
      <c r="G1142">
        <v>332</v>
      </c>
      <c r="H1142">
        <v>9.4142626918170602E-2</v>
      </c>
      <c r="I1142">
        <v>274</v>
      </c>
      <c r="L1142">
        <v>2.8102875785705798E-2</v>
      </c>
      <c r="M1142">
        <v>2.2248958771081899E-2</v>
      </c>
      <c r="N1142">
        <v>2021</v>
      </c>
      <c r="O1142" t="s">
        <v>13</v>
      </c>
      <c r="P1142" t="s">
        <v>244</v>
      </c>
      <c r="Q1142" t="s">
        <v>43</v>
      </c>
      <c r="R1142" t="s">
        <v>44</v>
      </c>
    </row>
    <row r="1143" spans="1:18" x14ac:dyDescent="0.25">
      <c r="A1143" t="s">
        <v>242</v>
      </c>
      <c r="B1143" t="s">
        <v>243</v>
      </c>
      <c r="C1143" t="s">
        <v>12</v>
      </c>
      <c r="D1143">
        <v>2</v>
      </c>
      <c r="E1143">
        <v>65</v>
      </c>
      <c r="F1143">
        <v>9.3084926383403405E-3</v>
      </c>
      <c r="G1143">
        <v>270</v>
      </c>
      <c r="H1143">
        <v>8.5269208159832605E-2</v>
      </c>
      <c r="I1143">
        <v>222</v>
      </c>
      <c r="L1143">
        <v>7.38359992627666E-2</v>
      </c>
      <c r="M1143">
        <v>6.0376391545964601E-2</v>
      </c>
      <c r="N1143">
        <v>2021</v>
      </c>
      <c r="O1143" t="s">
        <v>13</v>
      </c>
      <c r="P1143" t="s">
        <v>244</v>
      </c>
      <c r="Q1143" t="s">
        <v>43</v>
      </c>
      <c r="R1143" t="s">
        <v>44</v>
      </c>
    </row>
    <row r="1144" spans="1:18" x14ac:dyDescent="0.25">
      <c r="A1144" t="s">
        <v>242</v>
      </c>
      <c r="B1144" t="s">
        <v>243</v>
      </c>
      <c r="C1144" t="s">
        <v>12</v>
      </c>
      <c r="D1144">
        <v>1</v>
      </c>
      <c r="E1144">
        <v>19</v>
      </c>
      <c r="F1144">
        <v>0</v>
      </c>
      <c r="G1144">
        <v>139</v>
      </c>
      <c r="H1144">
        <v>3.7524956797386599E-2</v>
      </c>
      <c r="I1144">
        <v>121</v>
      </c>
      <c r="L1144">
        <v>9.8800001749004794E-3</v>
      </c>
      <c r="M1144">
        <v>0</v>
      </c>
      <c r="N1144">
        <v>2021</v>
      </c>
      <c r="O1144" t="s">
        <v>13</v>
      </c>
      <c r="P1144" t="s">
        <v>244</v>
      </c>
      <c r="Q1144" t="s">
        <v>43</v>
      </c>
      <c r="R1144" t="s">
        <v>44</v>
      </c>
    </row>
    <row r="1145" spans="1:18" x14ac:dyDescent="0.25">
      <c r="A1145" t="s">
        <v>242</v>
      </c>
      <c r="B1145" t="s">
        <v>243</v>
      </c>
      <c r="C1145" t="s">
        <v>12</v>
      </c>
      <c r="D1145">
        <v>1</v>
      </c>
      <c r="E1145">
        <v>25</v>
      </c>
      <c r="F1145">
        <v>4.5285862332880896E-3</v>
      </c>
      <c r="G1145">
        <v>496</v>
      </c>
      <c r="H1145">
        <v>4.6469886603742599E-2</v>
      </c>
      <c r="I1145">
        <v>410</v>
      </c>
      <c r="L1145">
        <v>8.7608438531753992E-3</v>
      </c>
      <c r="M1145">
        <v>8.8287664121490805E-3</v>
      </c>
      <c r="N1145">
        <v>2021</v>
      </c>
      <c r="O1145" t="s">
        <v>13</v>
      </c>
      <c r="P1145" t="s">
        <v>244</v>
      </c>
      <c r="Q1145" t="s">
        <v>43</v>
      </c>
      <c r="R1145" t="s">
        <v>44</v>
      </c>
    </row>
    <row r="1146" spans="1:18" x14ac:dyDescent="0.25">
      <c r="A1146" t="s">
        <v>242</v>
      </c>
      <c r="B1146" t="s">
        <v>243</v>
      </c>
      <c r="C1146" t="s">
        <v>12</v>
      </c>
      <c r="D1146">
        <v>1</v>
      </c>
      <c r="E1146">
        <v>35</v>
      </c>
      <c r="F1146">
        <v>3.38116819737274E-3</v>
      </c>
      <c r="G1146">
        <v>562</v>
      </c>
      <c r="H1146">
        <v>1.7714900326541799E-2</v>
      </c>
      <c r="I1146">
        <v>456</v>
      </c>
      <c r="L1146">
        <v>4.7694770902638899E-2</v>
      </c>
      <c r="M1146">
        <v>8.4909034279655501E-2</v>
      </c>
      <c r="N1146">
        <v>2021</v>
      </c>
      <c r="O1146" t="s">
        <v>13</v>
      </c>
      <c r="P1146" t="s">
        <v>244</v>
      </c>
      <c r="Q1146" t="s">
        <v>43</v>
      </c>
      <c r="R1146" t="s">
        <v>44</v>
      </c>
    </row>
    <row r="1147" spans="1:18" x14ac:dyDescent="0.25">
      <c r="A1147" t="s">
        <v>242</v>
      </c>
      <c r="B1147" t="s">
        <v>243</v>
      </c>
      <c r="C1147" t="s">
        <v>12</v>
      </c>
      <c r="D1147">
        <v>1</v>
      </c>
      <c r="E1147">
        <v>45</v>
      </c>
      <c r="F1147">
        <v>0</v>
      </c>
      <c r="G1147">
        <v>467</v>
      </c>
      <c r="H1147">
        <v>4.4279558795643201E-2</v>
      </c>
      <c r="I1147">
        <v>373</v>
      </c>
      <c r="L1147">
        <v>3.6137019581193898E-2</v>
      </c>
      <c r="M1147">
        <v>0</v>
      </c>
      <c r="N1147">
        <v>2021</v>
      </c>
      <c r="O1147" t="s">
        <v>13</v>
      </c>
      <c r="P1147" t="s">
        <v>244</v>
      </c>
      <c r="Q1147" t="s">
        <v>43</v>
      </c>
      <c r="R1147" t="s">
        <v>44</v>
      </c>
    </row>
    <row r="1148" spans="1:18" x14ac:dyDescent="0.25">
      <c r="A1148" t="s">
        <v>242</v>
      </c>
      <c r="B1148" t="s">
        <v>243</v>
      </c>
      <c r="C1148" t="s">
        <v>12</v>
      </c>
      <c r="D1148">
        <v>1</v>
      </c>
      <c r="E1148">
        <v>55</v>
      </c>
      <c r="F1148">
        <v>4.3864027764380599E-3</v>
      </c>
      <c r="G1148">
        <v>338</v>
      </c>
      <c r="H1148">
        <v>3.85842174016513E-2</v>
      </c>
      <c r="I1148">
        <v>279</v>
      </c>
      <c r="L1148">
        <v>7.6983405227337307E-2</v>
      </c>
      <c r="M1148">
        <v>8.7569212845838795E-2</v>
      </c>
      <c r="N1148">
        <v>2021</v>
      </c>
      <c r="O1148" t="s">
        <v>13</v>
      </c>
      <c r="P1148" t="s">
        <v>244</v>
      </c>
      <c r="Q1148" t="s">
        <v>43</v>
      </c>
      <c r="R1148" t="s">
        <v>44</v>
      </c>
    </row>
    <row r="1149" spans="1:18" x14ac:dyDescent="0.25">
      <c r="A1149" t="s">
        <v>242</v>
      </c>
      <c r="B1149" t="s">
        <v>243</v>
      </c>
      <c r="C1149" t="s">
        <v>12</v>
      </c>
      <c r="D1149">
        <v>1</v>
      </c>
      <c r="E1149">
        <v>65</v>
      </c>
      <c r="F1149">
        <v>5.7708021973397298E-4</v>
      </c>
      <c r="G1149">
        <v>281</v>
      </c>
      <c r="H1149">
        <v>5.7320555733060302E-2</v>
      </c>
      <c r="I1149">
        <v>231</v>
      </c>
      <c r="L1149">
        <v>7.1458424122488706E-2</v>
      </c>
      <c r="M1149">
        <v>3.1835826381931998E-2</v>
      </c>
      <c r="N1149">
        <v>2021</v>
      </c>
      <c r="O1149" t="s">
        <v>13</v>
      </c>
      <c r="P1149" t="s">
        <v>244</v>
      </c>
      <c r="Q1149" t="s">
        <v>43</v>
      </c>
      <c r="R1149" t="s">
        <v>44</v>
      </c>
    </row>
    <row r="1150" spans="1:18" x14ac:dyDescent="0.25">
      <c r="A1150" t="s">
        <v>245</v>
      </c>
      <c r="B1150" t="s">
        <v>246</v>
      </c>
      <c r="C1150" t="s">
        <v>12</v>
      </c>
      <c r="D1150">
        <v>2</v>
      </c>
      <c r="E1150">
        <v>19</v>
      </c>
      <c r="F1150">
        <v>0</v>
      </c>
      <c r="G1150">
        <v>57</v>
      </c>
      <c r="H1150">
        <v>1.8295985897243398E-2</v>
      </c>
      <c r="I1150">
        <v>47</v>
      </c>
      <c r="L1150">
        <v>0.178394940782023</v>
      </c>
      <c r="M1150">
        <v>0</v>
      </c>
      <c r="N1150">
        <v>2013</v>
      </c>
      <c r="O1150" t="s">
        <v>13</v>
      </c>
      <c r="P1150" t="s">
        <v>247</v>
      </c>
      <c r="Q1150" t="s">
        <v>15</v>
      </c>
      <c r="R1150" t="s">
        <v>15</v>
      </c>
    </row>
    <row r="1151" spans="1:18" x14ac:dyDescent="0.25">
      <c r="A1151" t="s">
        <v>245</v>
      </c>
      <c r="B1151" t="s">
        <v>246</v>
      </c>
      <c r="C1151" t="s">
        <v>12</v>
      </c>
      <c r="D1151">
        <v>2</v>
      </c>
      <c r="E1151">
        <v>25</v>
      </c>
      <c r="F1151">
        <v>6.8728835288399002E-4</v>
      </c>
      <c r="G1151">
        <v>538</v>
      </c>
      <c r="H1151">
        <v>3.00891461427788E-2</v>
      </c>
      <c r="I1151">
        <v>476</v>
      </c>
      <c r="L1151">
        <v>0.114200752409767</v>
      </c>
      <c r="M1151">
        <v>8.5102146283924901E-2</v>
      </c>
      <c r="N1151">
        <v>2013</v>
      </c>
      <c r="O1151" t="s">
        <v>13</v>
      </c>
      <c r="P1151" t="s">
        <v>247</v>
      </c>
      <c r="Q1151" t="s">
        <v>15</v>
      </c>
      <c r="R1151" t="s">
        <v>15</v>
      </c>
    </row>
    <row r="1152" spans="1:18" x14ac:dyDescent="0.25">
      <c r="A1152" t="s">
        <v>245</v>
      </c>
      <c r="B1152" t="s">
        <v>246</v>
      </c>
      <c r="C1152" t="s">
        <v>12</v>
      </c>
      <c r="D1152">
        <v>2</v>
      </c>
      <c r="E1152">
        <v>35</v>
      </c>
      <c r="F1152">
        <v>2.4415035707391502E-3</v>
      </c>
      <c r="G1152">
        <v>773</v>
      </c>
      <c r="H1152">
        <v>6.0404792947776897E-2</v>
      </c>
      <c r="I1152">
        <v>702</v>
      </c>
      <c r="L1152">
        <v>9.5034965935343496E-2</v>
      </c>
      <c r="M1152">
        <v>6.0057907112154203E-2</v>
      </c>
      <c r="N1152">
        <v>2013</v>
      </c>
      <c r="O1152" t="s">
        <v>13</v>
      </c>
      <c r="P1152" t="s">
        <v>247</v>
      </c>
      <c r="Q1152" t="s">
        <v>15</v>
      </c>
      <c r="R1152" t="s">
        <v>15</v>
      </c>
    </row>
    <row r="1153" spans="1:18" x14ac:dyDescent="0.25">
      <c r="A1153" t="s">
        <v>245</v>
      </c>
      <c r="B1153" t="s">
        <v>246</v>
      </c>
      <c r="C1153" t="s">
        <v>12</v>
      </c>
      <c r="D1153">
        <v>2</v>
      </c>
      <c r="E1153">
        <v>45</v>
      </c>
      <c r="F1153">
        <v>1.7158994534812799E-2</v>
      </c>
      <c r="G1153">
        <v>624</v>
      </c>
      <c r="H1153">
        <v>8.7490122408250895E-2</v>
      </c>
      <c r="I1153">
        <v>581</v>
      </c>
      <c r="L1153">
        <v>0.100079277197917</v>
      </c>
      <c r="M1153">
        <v>0.101303485016939</v>
      </c>
      <c r="N1153">
        <v>2013</v>
      </c>
      <c r="O1153" t="s">
        <v>13</v>
      </c>
      <c r="P1153" t="s">
        <v>247</v>
      </c>
      <c r="Q1153" t="s">
        <v>15</v>
      </c>
      <c r="R1153" t="s">
        <v>15</v>
      </c>
    </row>
    <row r="1154" spans="1:18" x14ac:dyDescent="0.25">
      <c r="A1154" t="s">
        <v>245</v>
      </c>
      <c r="B1154" t="s">
        <v>246</v>
      </c>
      <c r="C1154" t="s">
        <v>12</v>
      </c>
      <c r="D1154">
        <v>2</v>
      </c>
      <c r="E1154">
        <v>55</v>
      </c>
      <c r="F1154">
        <v>4.94190270379413E-2</v>
      </c>
      <c r="G1154">
        <v>394</v>
      </c>
      <c r="H1154">
        <v>0.12505885322641599</v>
      </c>
      <c r="I1154">
        <v>355</v>
      </c>
      <c r="L1154">
        <v>9.2848066240850902E-2</v>
      </c>
      <c r="M1154">
        <v>0.109322735786998</v>
      </c>
      <c r="N1154">
        <v>2013</v>
      </c>
      <c r="O1154" t="s">
        <v>13</v>
      </c>
      <c r="P1154" t="s">
        <v>247</v>
      </c>
      <c r="Q1154" t="s">
        <v>15</v>
      </c>
      <c r="R1154" t="s">
        <v>15</v>
      </c>
    </row>
    <row r="1155" spans="1:18" x14ac:dyDescent="0.25">
      <c r="A1155" t="s">
        <v>245</v>
      </c>
      <c r="B1155" t="s">
        <v>246</v>
      </c>
      <c r="C1155" t="s">
        <v>12</v>
      </c>
      <c r="D1155">
        <v>2</v>
      </c>
      <c r="E1155">
        <v>65</v>
      </c>
      <c r="F1155">
        <v>2.3547638845952099E-2</v>
      </c>
      <c r="G1155">
        <v>316</v>
      </c>
      <c r="H1155">
        <v>0.14117282072102</v>
      </c>
      <c r="I1155">
        <v>284</v>
      </c>
      <c r="L1155">
        <v>0.10973462703138299</v>
      </c>
      <c r="M1155">
        <v>7.7175617104405306E-2</v>
      </c>
      <c r="N1155">
        <v>2013</v>
      </c>
      <c r="O1155" t="s">
        <v>13</v>
      </c>
      <c r="P1155" t="s">
        <v>247</v>
      </c>
      <c r="Q1155" t="s">
        <v>15</v>
      </c>
      <c r="R1155" t="s">
        <v>15</v>
      </c>
    </row>
    <row r="1156" spans="1:18" x14ac:dyDescent="0.25">
      <c r="A1156" t="s">
        <v>245</v>
      </c>
      <c r="B1156" t="s">
        <v>246</v>
      </c>
      <c r="C1156" t="s">
        <v>12</v>
      </c>
      <c r="D1156">
        <v>1</v>
      </c>
      <c r="E1156">
        <v>19</v>
      </c>
      <c r="F1156">
        <v>9.6100805108953295E-3</v>
      </c>
      <c r="G1156">
        <v>32</v>
      </c>
      <c r="H1156">
        <v>1.3428164728556E-2</v>
      </c>
      <c r="I1156">
        <v>24</v>
      </c>
      <c r="L1156">
        <v>6.7300409747839005E-2</v>
      </c>
      <c r="M1156">
        <v>0.338085474775842</v>
      </c>
      <c r="N1156">
        <v>2013</v>
      </c>
      <c r="O1156" t="s">
        <v>13</v>
      </c>
      <c r="P1156" t="s">
        <v>247</v>
      </c>
      <c r="Q1156" t="s">
        <v>15</v>
      </c>
      <c r="R1156" t="s">
        <v>15</v>
      </c>
    </row>
    <row r="1157" spans="1:18" x14ac:dyDescent="0.25">
      <c r="A1157" t="s">
        <v>245</v>
      </c>
      <c r="B1157" t="s">
        <v>246</v>
      </c>
      <c r="C1157" t="s">
        <v>12</v>
      </c>
      <c r="D1157">
        <v>1</v>
      </c>
      <c r="E1157">
        <v>25</v>
      </c>
      <c r="F1157">
        <v>0</v>
      </c>
      <c r="G1157">
        <v>204</v>
      </c>
      <c r="H1157">
        <v>3.7181108425038203E-2</v>
      </c>
      <c r="I1157">
        <v>183</v>
      </c>
      <c r="L1157">
        <v>9.8155837500526505E-2</v>
      </c>
      <c r="M1157">
        <v>0</v>
      </c>
      <c r="N1157">
        <v>2013</v>
      </c>
      <c r="O1157" t="s">
        <v>13</v>
      </c>
      <c r="P1157" t="s">
        <v>247</v>
      </c>
      <c r="Q1157" t="s">
        <v>15</v>
      </c>
      <c r="R1157" t="s">
        <v>15</v>
      </c>
    </row>
    <row r="1158" spans="1:18" x14ac:dyDescent="0.25">
      <c r="A1158" t="s">
        <v>245</v>
      </c>
      <c r="B1158" t="s">
        <v>246</v>
      </c>
      <c r="C1158" t="s">
        <v>12</v>
      </c>
      <c r="D1158">
        <v>1</v>
      </c>
      <c r="E1158">
        <v>35</v>
      </c>
      <c r="F1158">
        <v>2.9428244411386002E-3</v>
      </c>
      <c r="G1158">
        <v>245</v>
      </c>
      <c r="H1158">
        <v>6.2981148224966199E-2</v>
      </c>
      <c r="I1158">
        <v>215</v>
      </c>
      <c r="L1158">
        <v>0.105641526586107</v>
      </c>
      <c r="M1158">
        <v>7.0154521522183294E-2</v>
      </c>
      <c r="N1158">
        <v>2013</v>
      </c>
      <c r="O1158" t="s">
        <v>13</v>
      </c>
      <c r="P1158" t="s">
        <v>247</v>
      </c>
      <c r="Q1158" t="s">
        <v>15</v>
      </c>
      <c r="R1158" t="s">
        <v>15</v>
      </c>
    </row>
    <row r="1159" spans="1:18" x14ac:dyDescent="0.25">
      <c r="A1159" t="s">
        <v>245</v>
      </c>
      <c r="B1159" t="s">
        <v>246</v>
      </c>
      <c r="C1159" t="s">
        <v>12</v>
      </c>
      <c r="D1159">
        <v>1</v>
      </c>
      <c r="E1159">
        <v>45</v>
      </c>
      <c r="F1159">
        <v>1.3645617322666399E-2</v>
      </c>
      <c r="G1159">
        <v>313</v>
      </c>
      <c r="H1159">
        <v>0.124478517226965</v>
      </c>
      <c r="I1159">
        <v>273</v>
      </c>
      <c r="L1159">
        <v>7.1212641230325197E-2</v>
      </c>
      <c r="M1159">
        <v>4.25579223233154E-2</v>
      </c>
      <c r="N1159">
        <v>2013</v>
      </c>
      <c r="O1159" t="s">
        <v>13</v>
      </c>
      <c r="P1159" t="s">
        <v>247</v>
      </c>
      <c r="Q1159" t="s">
        <v>15</v>
      </c>
      <c r="R1159" t="s">
        <v>15</v>
      </c>
    </row>
    <row r="1160" spans="1:18" x14ac:dyDescent="0.25">
      <c r="A1160" t="s">
        <v>245</v>
      </c>
      <c r="B1160" t="s">
        <v>246</v>
      </c>
      <c r="C1160" t="s">
        <v>12</v>
      </c>
      <c r="D1160">
        <v>1</v>
      </c>
      <c r="E1160">
        <v>55</v>
      </c>
      <c r="F1160">
        <v>6.8022842684753296E-2</v>
      </c>
      <c r="G1160">
        <v>274</v>
      </c>
      <c r="H1160">
        <v>0.171469522528822</v>
      </c>
      <c r="I1160">
        <v>235</v>
      </c>
      <c r="L1160">
        <v>5.7477629191700602E-2</v>
      </c>
      <c r="M1160">
        <v>5.0094289678815102E-2</v>
      </c>
      <c r="N1160">
        <v>2013</v>
      </c>
      <c r="O1160" t="s">
        <v>13</v>
      </c>
      <c r="P1160" t="s">
        <v>247</v>
      </c>
      <c r="Q1160" t="s">
        <v>15</v>
      </c>
      <c r="R1160" t="s">
        <v>15</v>
      </c>
    </row>
    <row r="1161" spans="1:18" x14ac:dyDescent="0.25">
      <c r="A1161" t="s">
        <v>245</v>
      </c>
      <c r="B1161" t="s">
        <v>246</v>
      </c>
      <c r="C1161" t="s">
        <v>12</v>
      </c>
      <c r="D1161">
        <v>1</v>
      </c>
      <c r="E1161">
        <v>65</v>
      </c>
      <c r="F1161">
        <v>6.5239197200493398E-2</v>
      </c>
      <c r="G1161">
        <v>208</v>
      </c>
      <c r="H1161">
        <v>0.16427426346496299</v>
      </c>
      <c r="I1161">
        <v>180</v>
      </c>
      <c r="L1161">
        <v>8.2026523250006103E-2</v>
      </c>
      <c r="M1161">
        <v>7.64276994388398E-2</v>
      </c>
      <c r="N1161">
        <v>2013</v>
      </c>
      <c r="O1161" t="s">
        <v>13</v>
      </c>
      <c r="P1161" t="s">
        <v>247</v>
      </c>
      <c r="Q1161" t="s">
        <v>15</v>
      </c>
      <c r="R1161" t="s">
        <v>15</v>
      </c>
    </row>
    <row r="1162" spans="1:18" x14ac:dyDescent="0.25">
      <c r="A1162" t="s">
        <v>245</v>
      </c>
      <c r="B1162" t="s">
        <v>248</v>
      </c>
      <c r="C1162" t="s">
        <v>12</v>
      </c>
      <c r="D1162">
        <v>2</v>
      </c>
      <c r="E1162">
        <v>19</v>
      </c>
      <c r="F1162">
        <v>0</v>
      </c>
      <c r="G1162">
        <v>77</v>
      </c>
      <c r="H1162">
        <v>4.7417346713275403E-2</v>
      </c>
      <c r="I1162">
        <v>73</v>
      </c>
      <c r="L1162">
        <v>0.123176194952188</v>
      </c>
      <c r="M1162">
        <v>0</v>
      </c>
      <c r="N1162">
        <v>2019</v>
      </c>
      <c r="O1162" t="s">
        <v>13</v>
      </c>
      <c r="P1162" t="s">
        <v>247</v>
      </c>
      <c r="Q1162" t="s">
        <v>15</v>
      </c>
      <c r="R1162" t="s">
        <v>15</v>
      </c>
    </row>
    <row r="1163" spans="1:18" x14ac:dyDescent="0.25">
      <c r="A1163" t="s">
        <v>245</v>
      </c>
      <c r="B1163" t="s">
        <v>248</v>
      </c>
      <c r="C1163" t="s">
        <v>12</v>
      </c>
      <c r="D1163">
        <v>2</v>
      </c>
      <c r="E1163">
        <v>25</v>
      </c>
      <c r="F1163">
        <v>0</v>
      </c>
      <c r="G1163">
        <v>757</v>
      </c>
      <c r="H1163">
        <v>8.1178855032902897E-2</v>
      </c>
      <c r="I1163">
        <v>700</v>
      </c>
      <c r="L1163">
        <v>0.113970510642666</v>
      </c>
      <c r="M1163">
        <v>0</v>
      </c>
      <c r="N1163">
        <v>2019</v>
      </c>
      <c r="O1163" t="s">
        <v>13</v>
      </c>
      <c r="P1163" t="s">
        <v>247</v>
      </c>
      <c r="Q1163" t="s">
        <v>15</v>
      </c>
      <c r="R1163" t="s">
        <v>15</v>
      </c>
    </row>
    <row r="1164" spans="1:18" x14ac:dyDescent="0.25">
      <c r="A1164" t="s">
        <v>245</v>
      </c>
      <c r="B1164" t="s">
        <v>248</v>
      </c>
      <c r="C1164" t="s">
        <v>12</v>
      </c>
      <c r="D1164">
        <v>2</v>
      </c>
      <c r="E1164">
        <v>35</v>
      </c>
      <c r="F1164">
        <v>6.3035538358333504E-3</v>
      </c>
      <c r="G1164">
        <v>1012</v>
      </c>
      <c r="H1164">
        <v>0.13902665336953099</v>
      </c>
      <c r="I1164">
        <v>932</v>
      </c>
      <c r="L1164">
        <v>0.12475701046132701</v>
      </c>
      <c r="M1164">
        <v>5.3011316403534597E-2</v>
      </c>
      <c r="N1164">
        <v>2019</v>
      </c>
      <c r="O1164" t="s">
        <v>13</v>
      </c>
      <c r="P1164" t="s">
        <v>247</v>
      </c>
      <c r="Q1164" t="s">
        <v>15</v>
      </c>
      <c r="R1164" t="s">
        <v>15</v>
      </c>
    </row>
    <row r="1165" spans="1:18" x14ac:dyDescent="0.25">
      <c r="A1165" t="s">
        <v>245</v>
      </c>
      <c r="B1165" t="s">
        <v>248</v>
      </c>
      <c r="C1165" t="s">
        <v>12</v>
      </c>
      <c r="D1165">
        <v>2</v>
      </c>
      <c r="E1165">
        <v>45</v>
      </c>
      <c r="F1165">
        <v>2.31731731493812E-2</v>
      </c>
      <c r="G1165">
        <v>704</v>
      </c>
      <c r="H1165">
        <v>0.17497237890706499</v>
      </c>
      <c r="I1165">
        <v>644</v>
      </c>
      <c r="L1165">
        <v>0.13353641790634599</v>
      </c>
      <c r="M1165">
        <v>7.4223234619422498E-2</v>
      </c>
      <c r="N1165">
        <v>2019</v>
      </c>
      <c r="O1165" t="s">
        <v>13</v>
      </c>
      <c r="P1165" t="s">
        <v>247</v>
      </c>
      <c r="Q1165" t="s">
        <v>15</v>
      </c>
      <c r="R1165" t="s">
        <v>15</v>
      </c>
    </row>
    <row r="1166" spans="1:18" x14ac:dyDescent="0.25">
      <c r="A1166" t="s">
        <v>245</v>
      </c>
      <c r="B1166" t="s">
        <v>248</v>
      </c>
      <c r="C1166" t="s">
        <v>12</v>
      </c>
      <c r="D1166">
        <v>2</v>
      </c>
      <c r="E1166">
        <v>55</v>
      </c>
      <c r="F1166">
        <v>3.1575964425734397E-2</v>
      </c>
      <c r="G1166">
        <v>469</v>
      </c>
      <c r="H1166">
        <v>0.24043354992827601</v>
      </c>
      <c r="I1166">
        <v>433</v>
      </c>
      <c r="L1166">
        <v>0.11850574536349</v>
      </c>
      <c r="M1166">
        <v>4.9185314088495198E-2</v>
      </c>
      <c r="N1166">
        <v>2019</v>
      </c>
      <c r="O1166" t="s">
        <v>13</v>
      </c>
      <c r="P1166" t="s">
        <v>247</v>
      </c>
      <c r="Q1166" t="s">
        <v>15</v>
      </c>
      <c r="R1166" t="s">
        <v>15</v>
      </c>
    </row>
    <row r="1167" spans="1:18" x14ac:dyDescent="0.25">
      <c r="A1167" t="s">
        <v>245</v>
      </c>
      <c r="B1167" t="s">
        <v>248</v>
      </c>
      <c r="C1167" t="s">
        <v>12</v>
      </c>
      <c r="D1167">
        <v>2</v>
      </c>
      <c r="E1167">
        <v>65</v>
      </c>
      <c r="F1167">
        <v>2.33673025429449E-2</v>
      </c>
      <c r="G1167">
        <v>381</v>
      </c>
      <c r="H1167">
        <v>0.247497034449699</v>
      </c>
      <c r="I1167">
        <v>349</v>
      </c>
      <c r="L1167">
        <v>0.17483802829762499</v>
      </c>
      <c r="M1167">
        <v>6.7524372766808699E-2</v>
      </c>
      <c r="N1167">
        <v>2019</v>
      </c>
      <c r="O1167" t="s">
        <v>13</v>
      </c>
      <c r="P1167" t="s">
        <v>247</v>
      </c>
      <c r="Q1167" t="s">
        <v>15</v>
      </c>
      <c r="R1167" t="s">
        <v>15</v>
      </c>
    </row>
    <row r="1168" spans="1:18" x14ac:dyDescent="0.25">
      <c r="A1168" t="s">
        <v>245</v>
      </c>
      <c r="B1168" t="s">
        <v>248</v>
      </c>
      <c r="C1168" t="s">
        <v>12</v>
      </c>
      <c r="D1168">
        <v>1</v>
      </c>
      <c r="E1168">
        <v>19</v>
      </c>
      <c r="F1168">
        <v>0</v>
      </c>
      <c r="G1168">
        <v>50</v>
      </c>
      <c r="H1168">
        <v>3.03797645945162E-2</v>
      </c>
      <c r="I1168">
        <v>45</v>
      </c>
      <c r="L1168">
        <v>0.198429361809562</v>
      </c>
      <c r="M1168">
        <v>0</v>
      </c>
      <c r="N1168">
        <v>2019</v>
      </c>
      <c r="O1168" t="s">
        <v>13</v>
      </c>
      <c r="P1168" t="s">
        <v>247</v>
      </c>
      <c r="Q1168" t="s">
        <v>15</v>
      </c>
      <c r="R1168" t="s">
        <v>15</v>
      </c>
    </row>
    <row r="1169" spans="1:18" x14ac:dyDescent="0.25">
      <c r="A1169" t="s">
        <v>245</v>
      </c>
      <c r="B1169" t="s">
        <v>248</v>
      </c>
      <c r="C1169" t="s">
        <v>12</v>
      </c>
      <c r="D1169">
        <v>1</v>
      </c>
      <c r="E1169">
        <v>25</v>
      </c>
      <c r="F1169">
        <v>0</v>
      </c>
      <c r="G1169">
        <v>312</v>
      </c>
      <c r="H1169">
        <v>7.4765958835576005E-2</v>
      </c>
      <c r="I1169">
        <v>290</v>
      </c>
      <c r="L1169">
        <v>0.11348834367751701</v>
      </c>
      <c r="M1169">
        <v>0</v>
      </c>
      <c r="N1169">
        <v>2019</v>
      </c>
      <c r="O1169" t="s">
        <v>13</v>
      </c>
      <c r="P1169" t="s">
        <v>247</v>
      </c>
      <c r="Q1169" t="s">
        <v>15</v>
      </c>
      <c r="R1169" t="s">
        <v>15</v>
      </c>
    </row>
    <row r="1170" spans="1:18" x14ac:dyDescent="0.25">
      <c r="A1170" t="s">
        <v>245</v>
      </c>
      <c r="B1170" t="s">
        <v>248</v>
      </c>
      <c r="C1170" t="s">
        <v>12</v>
      </c>
      <c r="D1170">
        <v>1</v>
      </c>
      <c r="E1170">
        <v>35</v>
      </c>
      <c r="F1170">
        <v>3.66768538212123E-3</v>
      </c>
      <c r="G1170">
        <v>440</v>
      </c>
      <c r="H1170">
        <v>0.15591610961963701</v>
      </c>
      <c r="I1170">
        <v>391</v>
      </c>
      <c r="L1170">
        <v>0.101531335032133</v>
      </c>
      <c r="M1170">
        <v>3.14446143249901E-2</v>
      </c>
      <c r="N1170">
        <v>2019</v>
      </c>
      <c r="O1170" t="s">
        <v>13</v>
      </c>
      <c r="P1170" t="s">
        <v>247</v>
      </c>
      <c r="Q1170" t="s">
        <v>15</v>
      </c>
      <c r="R1170" t="s">
        <v>15</v>
      </c>
    </row>
    <row r="1171" spans="1:18" x14ac:dyDescent="0.25">
      <c r="A1171" t="s">
        <v>245</v>
      </c>
      <c r="B1171" t="s">
        <v>248</v>
      </c>
      <c r="C1171" t="s">
        <v>12</v>
      </c>
      <c r="D1171">
        <v>1</v>
      </c>
      <c r="E1171">
        <v>45</v>
      </c>
      <c r="F1171">
        <v>1.0449090963199299E-2</v>
      </c>
      <c r="G1171">
        <v>397</v>
      </c>
      <c r="H1171">
        <v>0.18079865666179601</v>
      </c>
      <c r="I1171">
        <v>351</v>
      </c>
      <c r="L1171">
        <v>0.123361759343419</v>
      </c>
      <c r="M1171">
        <v>4.6836375756022099E-2</v>
      </c>
      <c r="N1171">
        <v>2019</v>
      </c>
      <c r="O1171" t="s">
        <v>13</v>
      </c>
      <c r="P1171" t="s">
        <v>247</v>
      </c>
      <c r="Q1171" t="s">
        <v>15</v>
      </c>
      <c r="R1171" t="s">
        <v>15</v>
      </c>
    </row>
    <row r="1172" spans="1:18" x14ac:dyDescent="0.25">
      <c r="A1172" t="s">
        <v>245</v>
      </c>
      <c r="B1172" t="s">
        <v>248</v>
      </c>
      <c r="C1172" t="s">
        <v>12</v>
      </c>
      <c r="D1172">
        <v>1</v>
      </c>
      <c r="E1172">
        <v>55</v>
      </c>
      <c r="F1172">
        <v>4.6788813016097698E-2</v>
      </c>
      <c r="G1172">
        <v>400</v>
      </c>
      <c r="H1172">
        <v>0.24092334593745099</v>
      </c>
      <c r="I1172">
        <v>357</v>
      </c>
      <c r="L1172">
        <v>0.10814636041023</v>
      </c>
      <c r="M1172">
        <v>5.2599957768846302E-2</v>
      </c>
      <c r="N1172">
        <v>2019</v>
      </c>
      <c r="O1172" t="s">
        <v>13</v>
      </c>
      <c r="P1172" t="s">
        <v>247</v>
      </c>
      <c r="Q1172" t="s">
        <v>15</v>
      </c>
      <c r="R1172" t="s">
        <v>15</v>
      </c>
    </row>
    <row r="1173" spans="1:18" x14ac:dyDescent="0.25">
      <c r="A1173" t="s">
        <v>245</v>
      </c>
      <c r="B1173" t="s">
        <v>248</v>
      </c>
      <c r="C1173" t="s">
        <v>12</v>
      </c>
      <c r="D1173">
        <v>1</v>
      </c>
      <c r="E1173">
        <v>65</v>
      </c>
      <c r="F1173">
        <v>4.1720405224530001E-2</v>
      </c>
      <c r="G1173">
        <v>311</v>
      </c>
      <c r="H1173">
        <v>0.22508862951922001</v>
      </c>
      <c r="I1173">
        <v>278</v>
      </c>
      <c r="L1173">
        <v>0.157538882454549</v>
      </c>
      <c r="M1173">
        <v>8.9181982304776905E-2</v>
      </c>
      <c r="N1173">
        <v>2019</v>
      </c>
      <c r="O1173" t="s">
        <v>13</v>
      </c>
      <c r="P1173" t="s">
        <v>247</v>
      </c>
      <c r="Q1173" t="s">
        <v>15</v>
      </c>
      <c r="R1173" t="s">
        <v>15</v>
      </c>
    </row>
    <row r="1174" spans="1:18" x14ac:dyDescent="0.25">
      <c r="A1174" t="s">
        <v>249</v>
      </c>
      <c r="B1174" t="s">
        <v>250</v>
      </c>
      <c r="C1174" t="s">
        <v>12</v>
      </c>
      <c r="D1174">
        <v>2</v>
      </c>
      <c r="E1174">
        <v>19</v>
      </c>
      <c r="F1174">
        <v>0</v>
      </c>
      <c r="G1174">
        <v>34</v>
      </c>
      <c r="H1174">
        <v>8.8261316453186606E-2</v>
      </c>
      <c r="I1174">
        <v>24</v>
      </c>
      <c r="L1174">
        <v>2.6071597369502399E-3</v>
      </c>
      <c r="M1174">
        <v>0</v>
      </c>
      <c r="N1174">
        <v>2015</v>
      </c>
      <c r="O1174" t="s">
        <v>13</v>
      </c>
      <c r="P1174" t="s">
        <v>251</v>
      </c>
      <c r="Q1174" t="s">
        <v>33</v>
      </c>
      <c r="R1174" t="s">
        <v>34</v>
      </c>
    </row>
    <row r="1175" spans="1:18" x14ac:dyDescent="0.25">
      <c r="A1175" t="s">
        <v>249</v>
      </c>
      <c r="B1175" t="s">
        <v>250</v>
      </c>
      <c r="C1175" t="s">
        <v>12</v>
      </c>
      <c r="D1175">
        <v>2</v>
      </c>
      <c r="E1175">
        <v>25</v>
      </c>
      <c r="F1175">
        <v>4.6728971962616802E-3</v>
      </c>
      <c r="G1175">
        <v>214</v>
      </c>
      <c r="H1175">
        <v>7.9216154953269405E-2</v>
      </c>
      <c r="I1175">
        <v>147</v>
      </c>
      <c r="L1175">
        <v>7.4197603681717302E-3</v>
      </c>
      <c r="M1175">
        <v>5.2182911313745197E-3</v>
      </c>
      <c r="N1175">
        <v>2015</v>
      </c>
      <c r="O1175" t="s">
        <v>13</v>
      </c>
      <c r="P1175" t="s">
        <v>251</v>
      </c>
      <c r="Q1175" t="s">
        <v>33</v>
      </c>
      <c r="R1175" t="s">
        <v>34</v>
      </c>
    </row>
    <row r="1176" spans="1:18" x14ac:dyDescent="0.25">
      <c r="A1176" t="s">
        <v>249</v>
      </c>
      <c r="B1176" t="s">
        <v>250</v>
      </c>
      <c r="C1176" t="s">
        <v>12</v>
      </c>
      <c r="D1176">
        <v>2</v>
      </c>
      <c r="E1176">
        <v>35</v>
      </c>
      <c r="F1176">
        <v>6.3725490196078399E-2</v>
      </c>
      <c r="G1176">
        <v>204</v>
      </c>
      <c r="H1176">
        <v>0.12170363312226901</v>
      </c>
      <c r="I1176">
        <v>140</v>
      </c>
      <c r="L1176">
        <v>8.1032525461803891E-3</v>
      </c>
      <c r="M1176">
        <v>1.2167374046004801E-2</v>
      </c>
      <c r="N1176">
        <v>2015</v>
      </c>
      <c r="O1176" t="s">
        <v>13</v>
      </c>
      <c r="P1176" t="s">
        <v>251</v>
      </c>
      <c r="Q1176" t="s">
        <v>33</v>
      </c>
      <c r="R1176" t="s">
        <v>34</v>
      </c>
    </row>
    <row r="1177" spans="1:18" x14ac:dyDescent="0.25">
      <c r="A1177" t="s">
        <v>249</v>
      </c>
      <c r="B1177" t="s">
        <v>250</v>
      </c>
      <c r="C1177" t="s">
        <v>12</v>
      </c>
      <c r="D1177">
        <v>2</v>
      </c>
      <c r="E1177">
        <v>45</v>
      </c>
      <c r="F1177">
        <v>0.101864789148264</v>
      </c>
      <c r="G1177">
        <v>108</v>
      </c>
      <c r="H1177">
        <v>0.230776809671979</v>
      </c>
      <c r="I1177">
        <v>76</v>
      </c>
      <c r="L1177">
        <v>1.4614917355599701E-2</v>
      </c>
      <c r="M1177">
        <v>1.2000762792423099E-2</v>
      </c>
      <c r="N1177">
        <v>2015</v>
      </c>
      <c r="O1177" t="s">
        <v>13</v>
      </c>
      <c r="P1177" t="s">
        <v>251</v>
      </c>
      <c r="Q1177" t="s">
        <v>33</v>
      </c>
      <c r="R1177" t="s">
        <v>34</v>
      </c>
    </row>
    <row r="1178" spans="1:18" x14ac:dyDescent="0.25">
      <c r="A1178" t="s">
        <v>249</v>
      </c>
      <c r="B1178" t="s">
        <v>250</v>
      </c>
      <c r="C1178" t="s">
        <v>12</v>
      </c>
      <c r="D1178">
        <v>2</v>
      </c>
      <c r="E1178">
        <v>55</v>
      </c>
      <c r="F1178">
        <v>0.21212121212121199</v>
      </c>
      <c r="G1178">
        <v>99</v>
      </c>
      <c r="H1178">
        <v>0.323009303772894</v>
      </c>
      <c r="I1178">
        <v>63</v>
      </c>
      <c r="L1178">
        <v>1.06657453357698E-2</v>
      </c>
      <c r="M1178">
        <v>7.67558296496879E-3</v>
      </c>
      <c r="N1178">
        <v>2015</v>
      </c>
      <c r="O1178" t="s">
        <v>13</v>
      </c>
      <c r="P1178" t="s">
        <v>251</v>
      </c>
      <c r="Q1178" t="s">
        <v>33</v>
      </c>
      <c r="R1178" t="s">
        <v>34</v>
      </c>
    </row>
    <row r="1179" spans="1:18" x14ac:dyDescent="0.25">
      <c r="A1179" t="s">
        <v>249</v>
      </c>
      <c r="B1179" t="s">
        <v>250</v>
      </c>
      <c r="C1179" t="s">
        <v>12</v>
      </c>
      <c r="D1179">
        <v>2</v>
      </c>
      <c r="E1179">
        <v>65</v>
      </c>
      <c r="F1179">
        <v>0.2</v>
      </c>
      <c r="G1179">
        <v>45</v>
      </c>
      <c r="H1179">
        <v>0.32176145861107203</v>
      </c>
      <c r="I1179">
        <v>28</v>
      </c>
      <c r="L1179">
        <v>2.1490427480144399E-2</v>
      </c>
      <c r="M1179">
        <v>1.55658513169227E-2</v>
      </c>
      <c r="N1179">
        <v>2015</v>
      </c>
      <c r="O1179" t="s">
        <v>13</v>
      </c>
      <c r="P1179" t="s">
        <v>251</v>
      </c>
      <c r="Q1179" t="s">
        <v>33</v>
      </c>
      <c r="R1179" t="s">
        <v>34</v>
      </c>
    </row>
    <row r="1180" spans="1:18" x14ac:dyDescent="0.25">
      <c r="A1180" t="s">
        <v>249</v>
      </c>
      <c r="B1180" t="s">
        <v>250</v>
      </c>
      <c r="C1180" t="s">
        <v>12</v>
      </c>
      <c r="D1180">
        <v>1</v>
      </c>
      <c r="E1180">
        <v>19</v>
      </c>
      <c r="F1180">
        <v>0</v>
      </c>
      <c r="G1180">
        <v>41</v>
      </c>
      <c r="H1180">
        <v>3.8499253742326101E-2</v>
      </c>
      <c r="I1180">
        <v>29</v>
      </c>
      <c r="L1180">
        <v>5.13826736178592E-3</v>
      </c>
      <c r="M1180">
        <v>0</v>
      </c>
      <c r="N1180">
        <v>2015</v>
      </c>
      <c r="O1180" t="s">
        <v>13</v>
      </c>
      <c r="P1180" t="s">
        <v>251</v>
      </c>
      <c r="Q1180" t="s">
        <v>33</v>
      </c>
      <c r="R1180" t="s">
        <v>34</v>
      </c>
    </row>
    <row r="1181" spans="1:18" x14ac:dyDescent="0.25">
      <c r="A1181" t="s">
        <v>249</v>
      </c>
      <c r="B1181" t="s">
        <v>250</v>
      </c>
      <c r="C1181" t="s">
        <v>12</v>
      </c>
      <c r="D1181">
        <v>1</v>
      </c>
      <c r="E1181">
        <v>25</v>
      </c>
      <c r="F1181">
        <v>8.6956521739130401E-3</v>
      </c>
      <c r="G1181">
        <v>230</v>
      </c>
      <c r="H1181">
        <v>4.9859523392307099E-2</v>
      </c>
      <c r="I1181">
        <v>153</v>
      </c>
      <c r="L1181">
        <v>1.11766275053173E-2</v>
      </c>
      <c r="M1181">
        <v>1.4577109871625299E-2</v>
      </c>
      <c r="N1181">
        <v>2015</v>
      </c>
      <c r="O1181" t="s">
        <v>13</v>
      </c>
      <c r="P1181" t="s">
        <v>251</v>
      </c>
      <c r="Q1181" t="s">
        <v>33</v>
      </c>
      <c r="R1181" t="s">
        <v>34</v>
      </c>
    </row>
    <row r="1182" spans="1:18" x14ac:dyDescent="0.25">
      <c r="A1182" t="s">
        <v>249</v>
      </c>
      <c r="B1182" t="s">
        <v>250</v>
      </c>
      <c r="C1182" t="s">
        <v>12</v>
      </c>
      <c r="D1182">
        <v>1</v>
      </c>
      <c r="E1182">
        <v>35</v>
      </c>
      <c r="F1182">
        <v>3.5087719298245598E-2</v>
      </c>
      <c r="G1182">
        <v>171</v>
      </c>
      <c r="H1182">
        <v>0.12520142701164499</v>
      </c>
      <c r="I1182">
        <v>125</v>
      </c>
      <c r="L1182">
        <v>5.4863111023627396E-3</v>
      </c>
      <c r="M1182">
        <v>5.7871254074030997E-3</v>
      </c>
      <c r="N1182">
        <v>2015</v>
      </c>
      <c r="O1182" t="s">
        <v>13</v>
      </c>
      <c r="P1182" t="s">
        <v>251</v>
      </c>
      <c r="Q1182" t="s">
        <v>33</v>
      </c>
      <c r="R1182" t="s">
        <v>34</v>
      </c>
    </row>
    <row r="1183" spans="1:18" x14ac:dyDescent="0.25">
      <c r="A1183" t="s">
        <v>249</v>
      </c>
      <c r="B1183" t="s">
        <v>250</v>
      </c>
      <c r="C1183" t="s">
        <v>12</v>
      </c>
      <c r="D1183">
        <v>1</v>
      </c>
      <c r="E1183">
        <v>45</v>
      </c>
      <c r="F1183">
        <v>9.9455142605610294E-2</v>
      </c>
      <c r="G1183">
        <v>110</v>
      </c>
      <c r="H1183">
        <v>0.21349464993912101</v>
      </c>
      <c r="I1183">
        <v>74</v>
      </c>
      <c r="L1183">
        <v>9.5211861865997904E-3</v>
      </c>
      <c r="M1183">
        <v>8.9837173535614896E-3</v>
      </c>
      <c r="N1183">
        <v>2015</v>
      </c>
      <c r="O1183" t="s">
        <v>13</v>
      </c>
      <c r="P1183" t="s">
        <v>251</v>
      </c>
      <c r="Q1183" t="s">
        <v>33</v>
      </c>
      <c r="R1183" t="s">
        <v>34</v>
      </c>
    </row>
    <row r="1184" spans="1:18" x14ac:dyDescent="0.25">
      <c r="A1184" t="s">
        <v>249</v>
      </c>
      <c r="B1184" t="s">
        <v>250</v>
      </c>
      <c r="C1184" t="s">
        <v>12</v>
      </c>
      <c r="D1184">
        <v>1</v>
      </c>
      <c r="E1184">
        <v>55</v>
      </c>
      <c r="F1184">
        <v>0.217391304347826</v>
      </c>
      <c r="G1184">
        <v>69</v>
      </c>
      <c r="H1184">
        <v>0.25010921130877001</v>
      </c>
      <c r="I1184">
        <v>33</v>
      </c>
      <c r="L1184">
        <v>6.06138355484409E-3</v>
      </c>
      <c r="M1184">
        <v>6.9855647265946097E-3</v>
      </c>
      <c r="N1184">
        <v>2015</v>
      </c>
      <c r="O1184" t="s">
        <v>13</v>
      </c>
      <c r="P1184" t="s">
        <v>251</v>
      </c>
      <c r="Q1184" t="s">
        <v>33</v>
      </c>
      <c r="R1184" t="s">
        <v>34</v>
      </c>
    </row>
    <row r="1185" spans="1:18" x14ac:dyDescent="0.25">
      <c r="A1185" t="s">
        <v>249</v>
      </c>
      <c r="B1185" t="s">
        <v>250</v>
      </c>
      <c r="C1185" t="s">
        <v>12</v>
      </c>
      <c r="D1185">
        <v>1</v>
      </c>
      <c r="E1185">
        <v>65</v>
      </c>
      <c r="F1185">
        <v>0</v>
      </c>
      <c r="G1185">
        <v>28</v>
      </c>
      <c r="H1185">
        <v>0.10187087110387399</v>
      </c>
      <c r="I1185">
        <v>24</v>
      </c>
      <c r="L1185">
        <v>5.69729592744821E-2</v>
      </c>
      <c r="M1185">
        <v>0</v>
      </c>
      <c r="N1185">
        <v>2015</v>
      </c>
      <c r="O1185" t="s">
        <v>13</v>
      </c>
      <c r="P1185" t="s">
        <v>251</v>
      </c>
      <c r="Q1185" t="s">
        <v>33</v>
      </c>
      <c r="R1185" t="s">
        <v>34</v>
      </c>
    </row>
    <row r="1186" spans="1:18" x14ac:dyDescent="0.25">
      <c r="A1186" t="s">
        <v>252</v>
      </c>
      <c r="B1186" t="s">
        <v>253</v>
      </c>
      <c r="C1186" t="s">
        <v>12</v>
      </c>
      <c r="D1186">
        <v>2</v>
      </c>
      <c r="E1186">
        <v>19</v>
      </c>
      <c r="F1186">
        <v>0</v>
      </c>
      <c r="G1186">
        <v>84</v>
      </c>
      <c r="H1186">
        <v>2.1679665948584399E-2</v>
      </c>
      <c r="I1186">
        <v>76</v>
      </c>
      <c r="L1186">
        <v>7.2144058615287707E-2</v>
      </c>
      <c r="M1186">
        <v>0</v>
      </c>
      <c r="N1186">
        <v>2017</v>
      </c>
      <c r="O1186" t="s">
        <v>13</v>
      </c>
      <c r="P1186" t="s">
        <v>254</v>
      </c>
      <c r="Q1186" t="s">
        <v>19</v>
      </c>
      <c r="R1186" t="s">
        <v>20</v>
      </c>
    </row>
    <row r="1187" spans="1:18" x14ac:dyDescent="0.25">
      <c r="A1187" t="s">
        <v>252</v>
      </c>
      <c r="B1187" t="s">
        <v>253</v>
      </c>
      <c r="C1187" t="s">
        <v>12</v>
      </c>
      <c r="D1187">
        <v>2</v>
      </c>
      <c r="E1187">
        <v>25</v>
      </c>
      <c r="F1187">
        <v>2.75451163025806E-3</v>
      </c>
      <c r="G1187">
        <v>651</v>
      </c>
      <c r="H1187">
        <v>6.7133223657103294E-2</v>
      </c>
      <c r="I1187">
        <v>599</v>
      </c>
      <c r="L1187">
        <v>5.2574638312431199E-2</v>
      </c>
      <c r="M1187">
        <v>3.1954181018537697E-2</v>
      </c>
      <c r="N1187">
        <v>2017</v>
      </c>
      <c r="O1187" t="s">
        <v>13</v>
      </c>
      <c r="P1187" t="s">
        <v>254</v>
      </c>
      <c r="Q1187" t="s">
        <v>19</v>
      </c>
      <c r="R1187" t="s">
        <v>20</v>
      </c>
    </row>
    <row r="1188" spans="1:18" x14ac:dyDescent="0.25">
      <c r="A1188" t="s">
        <v>252</v>
      </c>
      <c r="B1188" t="s">
        <v>253</v>
      </c>
      <c r="C1188" t="s">
        <v>12</v>
      </c>
      <c r="D1188">
        <v>2</v>
      </c>
      <c r="E1188">
        <v>35</v>
      </c>
      <c r="F1188">
        <v>8.62421720625689E-3</v>
      </c>
      <c r="G1188">
        <v>914</v>
      </c>
      <c r="H1188">
        <v>0.12042793708911</v>
      </c>
      <c r="I1188">
        <v>838</v>
      </c>
      <c r="L1188">
        <v>6.1022580476077497E-2</v>
      </c>
      <c r="M1188">
        <v>3.26547481015729E-2</v>
      </c>
      <c r="N1188">
        <v>2017</v>
      </c>
      <c r="O1188" t="s">
        <v>13</v>
      </c>
      <c r="P1188" t="s">
        <v>254</v>
      </c>
      <c r="Q1188" t="s">
        <v>19</v>
      </c>
      <c r="R1188" t="s">
        <v>20</v>
      </c>
    </row>
    <row r="1189" spans="1:18" x14ac:dyDescent="0.25">
      <c r="A1189" t="s">
        <v>252</v>
      </c>
      <c r="B1189" t="s">
        <v>253</v>
      </c>
      <c r="C1189" t="s">
        <v>12</v>
      </c>
      <c r="D1189">
        <v>2</v>
      </c>
      <c r="E1189">
        <v>45</v>
      </c>
      <c r="F1189">
        <v>6.1745146877706603E-2</v>
      </c>
      <c r="G1189">
        <v>625</v>
      </c>
      <c r="H1189">
        <v>0.207122995664345</v>
      </c>
      <c r="I1189">
        <v>528</v>
      </c>
      <c r="L1189">
        <v>5.0018643266744801E-2</v>
      </c>
      <c r="M1189">
        <v>3.40330263540016E-2</v>
      </c>
      <c r="N1189">
        <v>2017</v>
      </c>
      <c r="O1189" t="s">
        <v>13</v>
      </c>
      <c r="P1189" t="s">
        <v>254</v>
      </c>
      <c r="Q1189" t="s">
        <v>19</v>
      </c>
      <c r="R1189" t="s">
        <v>20</v>
      </c>
    </row>
    <row r="1190" spans="1:18" x14ac:dyDescent="0.25">
      <c r="A1190" t="s">
        <v>252</v>
      </c>
      <c r="B1190" t="s">
        <v>253</v>
      </c>
      <c r="C1190" t="s">
        <v>12</v>
      </c>
      <c r="D1190">
        <v>2</v>
      </c>
      <c r="E1190">
        <v>55</v>
      </c>
      <c r="F1190">
        <v>0.20971657194420701</v>
      </c>
      <c r="G1190">
        <v>384</v>
      </c>
      <c r="H1190">
        <v>0.25200426072891402</v>
      </c>
      <c r="I1190">
        <v>292</v>
      </c>
      <c r="L1190">
        <v>4.1021120626617003E-2</v>
      </c>
      <c r="M1190">
        <v>4.1102465722657598E-2</v>
      </c>
      <c r="N1190">
        <v>2017</v>
      </c>
      <c r="O1190" t="s">
        <v>13</v>
      </c>
      <c r="P1190" t="s">
        <v>254</v>
      </c>
      <c r="Q1190" t="s">
        <v>19</v>
      </c>
      <c r="R1190" t="s">
        <v>20</v>
      </c>
    </row>
    <row r="1191" spans="1:18" x14ac:dyDescent="0.25">
      <c r="A1191" t="s">
        <v>252</v>
      </c>
      <c r="B1191" t="s">
        <v>253</v>
      </c>
      <c r="C1191" t="s">
        <v>12</v>
      </c>
      <c r="D1191">
        <v>2</v>
      </c>
      <c r="E1191">
        <v>65</v>
      </c>
      <c r="F1191">
        <v>0.31358457736081102</v>
      </c>
      <c r="G1191">
        <v>225</v>
      </c>
      <c r="H1191">
        <v>0.32407420913047902</v>
      </c>
      <c r="I1191">
        <v>150</v>
      </c>
      <c r="L1191">
        <v>3.2495948427620699E-2</v>
      </c>
      <c r="M1191">
        <v>2.6353213184051701E-2</v>
      </c>
      <c r="N1191">
        <v>2017</v>
      </c>
      <c r="O1191" t="s">
        <v>13</v>
      </c>
      <c r="P1191" t="s">
        <v>254</v>
      </c>
      <c r="Q1191" t="s">
        <v>19</v>
      </c>
      <c r="R1191" t="s">
        <v>20</v>
      </c>
    </row>
    <row r="1192" spans="1:18" x14ac:dyDescent="0.25">
      <c r="A1192" t="s">
        <v>252</v>
      </c>
      <c r="B1192" t="s">
        <v>253</v>
      </c>
      <c r="C1192" t="s">
        <v>12</v>
      </c>
      <c r="D1192">
        <v>2</v>
      </c>
      <c r="E1192">
        <v>75</v>
      </c>
      <c r="F1192">
        <v>0.46217913164610303</v>
      </c>
      <c r="G1192">
        <v>90</v>
      </c>
      <c r="H1192">
        <v>0.28709287041233</v>
      </c>
      <c r="I1192">
        <v>58</v>
      </c>
      <c r="L1192">
        <v>1.19844067468009E-2</v>
      </c>
      <c r="M1192">
        <v>1.69574527835771E-2</v>
      </c>
      <c r="N1192">
        <v>2017</v>
      </c>
      <c r="O1192" t="s">
        <v>13</v>
      </c>
      <c r="P1192" t="s">
        <v>254</v>
      </c>
      <c r="Q1192" t="s">
        <v>19</v>
      </c>
      <c r="R1192" t="s">
        <v>20</v>
      </c>
    </row>
    <row r="1193" spans="1:18" x14ac:dyDescent="0.25">
      <c r="A1193" t="s">
        <v>252</v>
      </c>
      <c r="B1193" t="s">
        <v>253</v>
      </c>
      <c r="C1193" t="s">
        <v>12</v>
      </c>
      <c r="D1193">
        <v>2</v>
      </c>
      <c r="E1193">
        <v>84.91</v>
      </c>
      <c r="F1193">
        <v>0.20867324296051801</v>
      </c>
      <c r="G1193">
        <v>24</v>
      </c>
      <c r="H1193">
        <v>0.38854813777354702</v>
      </c>
      <c r="I1193">
        <v>17</v>
      </c>
      <c r="L1193">
        <v>2.1994906894379499E-2</v>
      </c>
      <c r="M1193">
        <v>1.0323379232769001E-2</v>
      </c>
      <c r="N1193">
        <v>2017</v>
      </c>
      <c r="O1193" t="s">
        <v>13</v>
      </c>
      <c r="P1193" t="s">
        <v>254</v>
      </c>
      <c r="Q1193" t="s">
        <v>19</v>
      </c>
      <c r="R1193" t="s">
        <v>20</v>
      </c>
    </row>
    <row r="1194" spans="1:18" x14ac:dyDescent="0.25">
      <c r="A1194" t="s">
        <v>252</v>
      </c>
      <c r="B1194" t="s">
        <v>253</v>
      </c>
      <c r="C1194" t="s">
        <v>12</v>
      </c>
      <c r="D1194">
        <v>1</v>
      </c>
      <c r="E1194">
        <v>19</v>
      </c>
      <c r="F1194">
        <v>0</v>
      </c>
      <c r="G1194">
        <v>95</v>
      </c>
      <c r="H1194">
        <v>3.05561150693591E-2</v>
      </c>
      <c r="I1194">
        <v>90</v>
      </c>
      <c r="L1194">
        <v>6.8069291598816903E-2</v>
      </c>
      <c r="M1194">
        <v>0</v>
      </c>
      <c r="N1194">
        <v>2017</v>
      </c>
      <c r="O1194" t="s">
        <v>13</v>
      </c>
      <c r="P1194" t="s">
        <v>254</v>
      </c>
      <c r="Q1194" t="s">
        <v>19</v>
      </c>
      <c r="R1194" t="s">
        <v>20</v>
      </c>
    </row>
    <row r="1195" spans="1:18" x14ac:dyDescent="0.25">
      <c r="A1195" t="s">
        <v>252</v>
      </c>
      <c r="B1195" t="s">
        <v>253</v>
      </c>
      <c r="C1195" t="s">
        <v>12</v>
      </c>
      <c r="D1195">
        <v>1</v>
      </c>
      <c r="E1195">
        <v>25</v>
      </c>
      <c r="F1195">
        <v>3.8053206859607401E-3</v>
      </c>
      <c r="G1195">
        <v>729</v>
      </c>
      <c r="H1195">
        <v>5.5019439164507397E-2</v>
      </c>
      <c r="I1195">
        <v>678</v>
      </c>
      <c r="L1195">
        <v>4.8786688871504599E-2</v>
      </c>
      <c r="M1195">
        <v>3.8408175662766997E-2</v>
      </c>
      <c r="N1195">
        <v>2017</v>
      </c>
      <c r="O1195" t="s">
        <v>13</v>
      </c>
      <c r="P1195" t="s">
        <v>254</v>
      </c>
      <c r="Q1195" t="s">
        <v>19</v>
      </c>
      <c r="R1195" t="s">
        <v>20</v>
      </c>
    </row>
    <row r="1196" spans="1:18" x14ac:dyDescent="0.25">
      <c r="A1196" t="s">
        <v>252</v>
      </c>
      <c r="B1196" t="s">
        <v>253</v>
      </c>
      <c r="C1196" t="s">
        <v>12</v>
      </c>
      <c r="D1196">
        <v>1</v>
      </c>
      <c r="E1196">
        <v>35</v>
      </c>
      <c r="F1196">
        <v>1.7745657488838801E-2</v>
      </c>
      <c r="G1196">
        <v>1162</v>
      </c>
      <c r="H1196">
        <v>0.107877906789107</v>
      </c>
      <c r="I1196">
        <v>1071</v>
      </c>
      <c r="L1196">
        <v>3.3784641291167601E-2</v>
      </c>
      <c r="M1196">
        <v>2.7006796851168101E-2</v>
      </c>
      <c r="N1196">
        <v>2017</v>
      </c>
      <c r="O1196" t="s">
        <v>13</v>
      </c>
      <c r="P1196" t="s">
        <v>254</v>
      </c>
      <c r="Q1196" t="s">
        <v>19</v>
      </c>
      <c r="R1196" t="s">
        <v>20</v>
      </c>
    </row>
    <row r="1197" spans="1:18" x14ac:dyDescent="0.25">
      <c r="A1197" t="s">
        <v>252</v>
      </c>
      <c r="B1197" t="s">
        <v>253</v>
      </c>
      <c r="C1197" t="s">
        <v>12</v>
      </c>
      <c r="D1197">
        <v>1</v>
      </c>
      <c r="E1197">
        <v>45</v>
      </c>
      <c r="F1197">
        <v>0.110513505739051</v>
      </c>
      <c r="G1197">
        <v>764</v>
      </c>
      <c r="H1197">
        <v>0.19902047312117199</v>
      </c>
      <c r="I1197">
        <v>677</v>
      </c>
      <c r="L1197">
        <v>2.4333032556401402E-2</v>
      </c>
      <c r="M1197">
        <v>2.3642209765599598E-2</v>
      </c>
      <c r="N1197">
        <v>2017</v>
      </c>
      <c r="O1197" t="s">
        <v>13</v>
      </c>
      <c r="P1197" t="s">
        <v>254</v>
      </c>
      <c r="Q1197" t="s">
        <v>19</v>
      </c>
      <c r="R1197" t="s">
        <v>20</v>
      </c>
    </row>
    <row r="1198" spans="1:18" x14ac:dyDescent="0.25">
      <c r="A1198" t="s">
        <v>252</v>
      </c>
      <c r="B1198" t="s">
        <v>253</v>
      </c>
      <c r="C1198" t="s">
        <v>12</v>
      </c>
      <c r="D1198">
        <v>1</v>
      </c>
      <c r="E1198">
        <v>55</v>
      </c>
      <c r="F1198">
        <v>0.21735023255119901</v>
      </c>
      <c r="G1198">
        <v>324</v>
      </c>
      <c r="H1198">
        <v>0.24965334122500399</v>
      </c>
      <c r="I1198">
        <v>255</v>
      </c>
      <c r="L1198">
        <v>2.5867766098391799E-2</v>
      </c>
      <c r="M1198">
        <v>2.9347159912551199E-2</v>
      </c>
      <c r="N1198">
        <v>2017</v>
      </c>
      <c r="O1198" t="s">
        <v>13</v>
      </c>
      <c r="P1198" t="s">
        <v>254</v>
      </c>
      <c r="Q1198" t="s">
        <v>19</v>
      </c>
      <c r="R1198" t="s">
        <v>20</v>
      </c>
    </row>
    <row r="1199" spans="1:18" x14ac:dyDescent="0.25">
      <c r="A1199" t="s">
        <v>252</v>
      </c>
      <c r="B1199" t="s">
        <v>253</v>
      </c>
      <c r="C1199" t="s">
        <v>12</v>
      </c>
      <c r="D1199">
        <v>1</v>
      </c>
      <c r="E1199">
        <v>65</v>
      </c>
      <c r="F1199">
        <v>0.21121742484206199</v>
      </c>
      <c r="G1199">
        <v>192</v>
      </c>
      <c r="H1199">
        <v>0.30739272061827</v>
      </c>
      <c r="I1199">
        <v>147</v>
      </c>
      <c r="L1199">
        <v>5.24146403876493E-2</v>
      </c>
      <c r="M1199">
        <v>3.9463930628146203E-2</v>
      </c>
      <c r="N1199">
        <v>2017</v>
      </c>
      <c r="O1199" t="s">
        <v>13</v>
      </c>
      <c r="P1199" t="s">
        <v>254</v>
      </c>
      <c r="Q1199" t="s">
        <v>19</v>
      </c>
      <c r="R1199" t="s">
        <v>20</v>
      </c>
    </row>
    <row r="1200" spans="1:18" x14ac:dyDescent="0.25">
      <c r="A1200" t="s">
        <v>252</v>
      </c>
      <c r="B1200" t="s">
        <v>253</v>
      </c>
      <c r="C1200" t="s">
        <v>12</v>
      </c>
      <c r="D1200">
        <v>1</v>
      </c>
      <c r="E1200">
        <v>75</v>
      </c>
      <c r="F1200">
        <v>0.24493497961109401</v>
      </c>
      <c r="G1200">
        <v>79</v>
      </c>
      <c r="H1200">
        <v>0.30725072121382502</v>
      </c>
      <c r="I1200">
        <v>60</v>
      </c>
      <c r="L1200">
        <v>3.7785948015375798E-2</v>
      </c>
      <c r="M1200">
        <v>2.9178523774661999E-2</v>
      </c>
      <c r="N1200">
        <v>2017</v>
      </c>
      <c r="O1200" t="s">
        <v>13</v>
      </c>
      <c r="P1200" t="s">
        <v>254</v>
      </c>
      <c r="Q1200" t="s">
        <v>19</v>
      </c>
      <c r="R1200" t="s">
        <v>20</v>
      </c>
    </row>
    <row r="1201" spans="1:18" x14ac:dyDescent="0.25">
      <c r="A1201" t="s">
        <v>252</v>
      </c>
      <c r="B1201" t="s">
        <v>253</v>
      </c>
      <c r="C1201" t="s">
        <v>12</v>
      </c>
      <c r="D1201">
        <v>1</v>
      </c>
      <c r="E1201">
        <v>84.91</v>
      </c>
      <c r="F1201">
        <v>8.58002066107309E-2</v>
      </c>
      <c r="G1201">
        <v>20</v>
      </c>
      <c r="H1201">
        <v>0.19560350587259501</v>
      </c>
      <c r="I1201">
        <v>17</v>
      </c>
      <c r="L1201">
        <v>0.13823878757955901</v>
      </c>
      <c r="M1201">
        <v>0.12851355588381499</v>
      </c>
      <c r="N1201">
        <v>2017</v>
      </c>
      <c r="O1201" t="s">
        <v>13</v>
      </c>
      <c r="P1201" t="s">
        <v>254</v>
      </c>
      <c r="Q1201" t="s">
        <v>19</v>
      </c>
      <c r="R1201" t="s">
        <v>20</v>
      </c>
    </row>
    <row r="1202" spans="1:18" x14ac:dyDescent="0.25">
      <c r="A1202" t="s">
        <v>255</v>
      </c>
      <c r="B1202" t="s">
        <v>256</v>
      </c>
      <c r="C1202" t="s">
        <v>12</v>
      </c>
      <c r="D1202">
        <v>2</v>
      </c>
      <c r="E1202">
        <v>21.5</v>
      </c>
      <c r="J1202">
        <v>5.3545709659115004E-3</v>
      </c>
      <c r="K1202">
        <v>764</v>
      </c>
      <c r="L1202">
        <v>4.1759345807783101E-2</v>
      </c>
      <c r="M1202">
        <v>0</v>
      </c>
      <c r="N1202">
        <v>2005</v>
      </c>
      <c r="O1202" t="s">
        <v>41</v>
      </c>
      <c r="P1202" t="s">
        <v>257</v>
      </c>
      <c r="Q1202" t="s">
        <v>169</v>
      </c>
      <c r="R1202" t="s">
        <v>170</v>
      </c>
    </row>
    <row r="1203" spans="1:18" x14ac:dyDescent="0.25">
      <c r="A1203" t="s">
        <v>255</v>
      </c>
      <c r="B1203" t="s">
        <v>256</v>
      </c>
      <c r="C1203" t="s">
        <v>12</v>
      </c>
      <c r="D1203">
        <v>1</v>
      </c>
      <c r="E1203">
        <v>21.5</v>
      </c>
      <c r="J1203">
        <v>5.1870605631405197E-3</v>
      </c>
      <c r="K1203">
        <v>927</v>
      </c>
      <c r="L1203">
        <v>1.9055275945383199E-2</v>
      </c>
      <c r="M1203">
        <v>0</v>
      </c>
      <c r="N1203">
        <v>2005</v>
      </c>
      <c r="O1203" t="s">
        <v>41</v>
      </c>
      <c r="P1203" t="s">
        <v>257</v>
      </c>
      <c r="Q1203" t="s">
        <v>169</v>
      </c>
      <c r="R1203" t="s">
        <v>170</v>
      </c>
    </row>
    <row r="1204" spans="1:18" x14ac:dyDescent="0.25">
      <c r="A1204" t="s">
        <v>255</v>
      </c>
      <c r="B1204" t="s">
        <v>258</v>
      </c>
      <c r="C1204" t="s">
        <v>12</v>
      </c>
      <c r="D1204">
        <v>2</v>
      </c>
      <c r="E1204">
        <v>37.5</v>
      </c>
      <c r="J1204">
        <v>8.39147549135352E-2</v>
      </c>
      <c r="K1204">
        <v>96</v>
      </c>
      <c r="L1204">
        <v>1.1363260889565E-2</v>
      </c>
      <c r="M1204">
        <v>0</v>
      </c>
      <c r="N1204">
        <v>2005</v>
      </c>
      <c r="O1204" t="s">
        <v>41</v>
      </c>
      <c r="P1204" t="s">
        <v>257</v>
      </c>
      <c r="Q1204" t="s">
        <v>169</v>
      </c>
      <c r="R1204" t="s">
        <v>170</v>
      </c>
    </row>
    <row r="1205" spans="1:18" x14ac:dyDescent="0.25">
      <c r="A1205" t="s">
        <v>255</v>
      </c>
      <c r="B1205" t="s">
        <v>258</v>
      </c>
      <c r="C1205" t="s">
        <v>12</v>
      </c>
      <c r="D1205">
        <v>2</v>
      </c>
      <c r="E1205">
        <v>45</v>
      </c>
      <c r="J1205">
        <v>9.5759946238495194E-2</v>
      </c>
      <c r="K1205">
        <v>1087</v>
      </c>
      <c r="L1205">
        <v>1.1067621443750101E-2</v>
      </c>
      <c r="M1205">
        <v>0</v>
      </c>
      <c r="N1205">
        <v>2005</v>
      </c>
      <c r="O1205" t="s">
        <v>41</v>
      </c>
      <c r="P1205" t="s">
        <v>257</v>
      </c>
      <c r="Q1205" t="s">
        <v>169</v>
      </c>
      <c r="R1205" t="s">
        <v>170</v>
      </c>
    </row>
    <row r="1206" spans="1:18" x14ac:dyDescent="0.25">
      <c r="A1206" t="s">
        <v>255</v>
      </c>
      <c r="B1206" t="s">
        <v>258</v>
      </c>
      <c r="C1206" t="s">
        <v>12</v>
      </c>
      <c r="D1206">
        <v>2</v>
      </c>
      <c r="E1206">
        <v>55</v>
      </c>
      <c r="J1206">
        <v>0.162559690322329</v>
      </c>
      <c r="K1206">
        <v>598</v>
      </c>
      <c r="L1206">
        <v>1.14003701230734E-2</v>
      </c>
      <c r="M1206">
        <v>0</v>
      </c>
      <c r="N1206">
        <v>2005</v>
      </c>
      <c r="O1206" t="s">
        <v>41</v>
      </c>
      <c r="P1206" t="s">
        <v>257</v>
      </c>
      <c r="Q1206" t="s">
        <v>169</v>
      </c>
      <c r="R1206" t="s">
        <v>170</v>
      </c>
    </row>
    <row r="1207" spans="1:18" x14ac:dyDescent="0.25">
      <c r="A1207" t="s">
        <v>255</v>
      </c>
      <c r="B1207" t="s">
        <v>258</v>
      </c>
      <c r="C1207" t="s">
        <v>12</v>
      </c>
      <c r="D1207">
        <v>2</v>
      </c>
      <c r="E1207">
        <v>65</v>
      </c>
      <c r="J1207">
        <v>0.16643788517765101</v>
      </c>
      <c r="K1207">
        <v>91</v>
      </c>
      <c r="L1207">
        <v>1.18045551547697E-2</v>
      </c>
      <c r="M1207">
        <v>0</v>
      </c>
      <c r="N1207">
        <v>2005</v>
      </c>
      <c r="O1207" t="s">
        <v>41</v>
      </c>
      <c r="P1207" t="s">
        <v>257</v>
      </c>
      <c r="Q1207" t="s">
        <v>169</v>
      </c>
      <c r="R1207" t="s">
        <v>170</v>
      </c>
    </row>
    <row r="1208" spans="1:18" x14ac:dyDescent="0.25">
      <c r="A1208" t="s">
        <v>259</v>
      </c>
      <c r="B1208" t="s">
        <v>260</v>
      </c>
      <c r="C1208" t="s">
        <v>12</v>
      </c>
      <c r="D1208">
        <v>2</v>
      </c>
      <c r="E1208">
        <v>27.5</v>
      </c>
      <c r="F1208">
        <v>2.6838435192329198E-2</v>
      </c>
      <c r="G1208">
        <v>81</v>
      </c>
      <c r="H1208">
        <v>6.8718452337997699E-2</v>
      </c>
      <c r="I1208">
        <v>70</v>
      </c>
      <c r="L1208">
        <v>3.16339214853366E-2</v>
      </c>
      <c r="M1208">
        <v>5.1855419887507699E-2</v>
      </c>
      <c r="N1208">
        <v>2012</v>
      </c>
      <c r="O1208" t="s">
        <v>13</v>
      </c>
      <c r="P1208" t="s">
        <v>261</v>
      </c>
      <c r="Q1208" t="s">
        <v>33</v>
      </c>
      <c r="R1208" t="s">
        <v>34</v>
      </c>
    </row>
    <row r="1209" spans="1:18" x14ac:dyDescent="0.25">
      <c r="A1209" t="s">
        <v>259</v>
      </c>
      <c r="B1209" t="s">
        <v>260</v>
      </c>
      <c r="C1209" t="s">
        <v>12</v>
      </c>
      <c r="D1209">
        <v>2</v>
      </c>
      <c r="E1209">
        <v>35</v>
      </c>
      <c r="F1209">
        <v>5.2761748702325903E-2</v>
      </c>
      <c r="G1209">
        <v>243</v>
      </c>
      <c r="H1209">
        <v>0.112930587206554</v>
      </c>
      <c r="I1209">
        <v>183</v>
      </c>
      <c r="L1209">
        <v>2.2380382100639699E-2</v>
      </c>
      <c r="M1209">
        <v>2.9387865495929401E-2</v>
      </c>
      <c r="N1209">
        <v>2012</v>
      </c>
      <c r="O1209" t="s">
        <v>13</v>
      </c>
      <c r="P1209" t="s">
        <v>261</v>
      </c>
      <c r="Q1209" t="s">
        <v>33</v>
      </c>
      <c r="R1209" t="s">
        <v>34</v>
      </c>
    </row>
    <row r="1210" spans="1:18" x14ac:dyDescent="0.25">
      <c r="A1210" t="s">
        <v>259</v>
      </c>
      <c r="B1210" t="s">
        <v>260</v>
      </c>
      <c r="C1210" t="s">
        <v>12</v>
      </c>
      <c r="D1210">
        <v>2</v>
      </c>
      <c r="E1210">
        <v>45</v>
      </c>
      <c r="F1210">
        <v>5.29801365987152E-2</v>
      </c>
      <c r="G1210">
        <v>375</v>
      </c>
      <c r="H1210">
        <v>0.20382036979840201</v>
      </c>
      <c r="I1210">
        <v>296</v>
      </c>
      <c r="L1210">
        <v>3.0831512238150002E-2</v>
      </c>
      <c r="M1210">
        <v>1.94585674684556E-2</v>
      </c>
      <c r="N1210">
        <v>2012</v>
      </c>
      <c r="O1210" t="s">
        <v>13</v>
      </c>
      <c r="P1210" t="s">
        <v>261</v>
      </c>
      <c r="Q1210" t="s">
        <v>33</v>
      </c>
      <c r="R1210" t="s">
        <v>34</v>
      </c>
    </row>
    <row r="1211" spans="1:18" x14ac:dyDescent="0.25">
      <c r="A1211" t="s">
        <v>259</v>
      </c>
      <c r="B1211" t="s">
        <v>260</v>
      </c>
      <c r="C1211" t="s">
        <v>12</v>
      </c>
      <c r="D1211">
        <v>2</v>
      </c>
      <c r="E1211">
        <v>55</v>
      </c>
      <c r="F1211">
        <v>0.155002089009219</v>
      </c>
      <c r="G1211">
        <v>313</v>
      </c>
      <c r="H1211">
        <v>0.24329018322037299</v>
      </c>
      <c r="I1211">
        <v>224</v>
      </c>
      <c r="L1211">
        <v>3.0166512393384401E-2</v>
      </c>
      <c r="M1211">
        <v>2.6190468598892701E-2</v>
      </c>
      <c r="N1211">
        <v>2012</v>
      </c>
      <c r="O1211" t="s">
        <v>13</v>
      </c>
      <c r="P1211" t="s">
        <v>261</v>
      </c>
      <c r="Q1211" t="s">
        <v>33</v>
      </c>
      <c r="R1211" t="s">
        <v>34</v>
      </c>
    </row>
    <row r="1212" spans="1:18" x14ac:dyDescent="0.25">
      <c r="A1212" t="s">
        <v>259</v>
      </c>
      <c r="B1212" t="s">
        <v>260</v>
      </c>
      <c r="C1212" t="s">
        <v>12</v>
      </c>
      <c r="D1212">
        <v>2</v>
      </c>
      <c r="E1212">
        <v>62.5</v>
      </c>
      <c r="F1212">
        <v>0.25958466284803899</v>
      </c>
      <c r="G1212">
        <v>112</v>
      </c>
      <c r="H1212">
        <v>0.35483305151941602</v>
      </c>
      <c r="I1212">
        <v>70</v>
      </c>
      <c r="L1212">
        <v>1.9908223197723299E-2</v>
      </c>
      <c r="M1212">
        <v>1.2120570793781101E-2</v>
      </c>
      <c r="N1212">
        <v>2012</v>
      </c>
      <c r="O1212" t="s">
        <v>13</v>
      </c>
      <c r="P1212" t="s">
        <v>261</v>
      </c>
      <c r="Q1212" t="s">
        <v>33</v>
      </c>
      <c r="R1212" t="s">
        <v>34</v>
      </c>
    </row>
    <row r="1213" spans="1:18" x14ac:dyDescent="0.25">
      <c r="A1213" t="s">
        <v>259</v>
      </c>
      <c r="B1213" t="s">
        <v>260</v>
      </c>
      <c r="C1213" t="s">
        <v>12</v>
      </c>
      <c r="D1213">
        <v>1</v>
      </c>
      <c r="E1213">
        <v>27.5</v>
      </c>
      <c r="F1213">
        <v>0</v>
      </c>
      <c r="G1213">
        <v>90</v>
      </c>
      <c r="H1213">
        <v>8.5503699588291598E-2</v>
      </c>
      <c r="I1213">
        <v>69</v>
      </c>
      <c r="L1213">
        <v>3.2718610706202397E-2</v>
      </c>
      <c r="M1213">
        <v>0</v>
      </c>
      <c r="N1213">
        <v>2012</v>
      </c>
      <c r="O1213" t="s">
        <v>13</v>
      </c>
      <c r="P1213" t="s">
        <v>261</v>
      </c>
      <c r="Q1213" t="s">
        <v>33</v>
      </c>
      <c r="R1213" t="s">
        <v>34</v>
      </c>
    </row>
    <row r="1214" spans="1:18" x14ac:dyDescent="0.25">
      <c r="A1214" t="s">
        <v>259</v>
      </c>
      <c r="B1214" t="s">
        <v>260</v>
      </c>
      <c r="C1214" t="s">
        <v>12</v>
      </c>
      <c r="D1214">
        <v>1</v>
      </c>
      <c r="E1214">
        <v>35</v>
      </c>
      <c r="F1214">
        <v>2.6061058510126599E-2</v>
      </c>
      <c r="G1214">
        <v>240</v>
      </c>
      <c r="H1214">
        <v>0.16038266904435799</v>
      </c>
      <c r="I1214">
        <v>192</v>
      </c>
      <c r="L1214">
        <v>2.7192263073315098E-2</v>
      </c>
      <c r="M1214">
        <v>1.6303205957581099E-2</v>
      </c>
      <c r="N1214">
        <v>2012</v>
      </c>
      <c r="O1214" t="s">
        <v>13</v>
      </c>
      <c r="P1214" t="s">
        <v>261</v>
      </c>
      <c r="Q1214" t="s">
        <v>33</v>
      </c>
      <c r="R1214" t="s">
        <v>34</v>
      </c>
    </row>
    <row r="1215" spans="1:18" x14ac:dyDescent="0.25">
      <c r="A1215" t="s">
        <v>259</v>
      </c>
      <c r="B1215" t="s">
        <v>260</v>
      </c>
      <c r="C1215" t="s">
        <v>12</v>
      </c>
      <c r="D1215">
        <v>1</v>
      </c>
      <c r="E1215">
        <v>45</v>
      </c>
      <c r="F1215">
        <v>3.4891834566941199E-2</v>
      </c>
      <c r="G1215">
        <v>330</v>
      </c>
      <c r="H1215">
        <v>0.26454871164326299</v>
      </c>
      <c r="I1215">
        <v>251</v>
      </c>
      <c r="L1215">
        <v>2.2130202071337202E-2</v>
      </c>
      <c r="M1215">
        <v>8.1035452669973602E-3</v>
      </c>
      <c r="N1215">
        <v>2012</v>
      </c>
      <c r="O1215" t="s">
        <v>13</v>
      </c>
      <c r="P1215" t="s">
        <v>261</v>
      </c>
      <c r="Q1215" t="s">
        <v>33</v>
      </c>
      <c r="R1215" t="s">
        <v>34</v>
      </c>
    </row>
    <row r="1216" spans="1:18" x14ac:dyDescent="0.25">
      <c r="A1216" t="s">
        <v>259</v>
      </c>
      <c r="B1216" t="s">
        <v>260</v>
      </c>
      <c r="C1216" t="s">
        <v>12</v>
      </c>
      <c r="D1216">
        <v>1</v>
      </c>
      <c r="E1216">
        <v>55</v>
      </c>
      <c r="F1216">
        <v>0.119189514260975</v>
      </c>
      <c r="G1216">
        <v>289</v>
      </c>
      <c r="H1216">
        <v>0.26365130413897098</v>
      </c>
      <c r="I1216">
        <v>207</v>
      </c>
      <c r="L1216">
        <v>3.2014386866980798E-2</v>
      </c>
      <c r="M1216">
        <v>2.1130086377701002E-2</v>
      </c>
      <c r="N1216">
        <v>2012</v>
      </c>
      <c r="O1216" t="s">
        <v>13</v>
      </c>
      <c r="P1216" t="s">
        <v>261</v>
      </c>
      <c r="Q1216" t="s">
        <v>33</v>
      </c>
      <c r="R1216" t="s">
        <v>34</v>
      </c>
    </row>
    <row r="1217" spans="1:18" x14ac:dyDescent="0.25">
      <c r="A1217" t="s">
        <v>259</v>
      </c>
      <c r="B1217" t="s">
        <v>260</v>
      </c>
      <c r="C1217" t="s">
        <v>12</v>
      </c>
      <c r="D1217">
        <v>1</v>
      </c>
      <c r="E1217">
        <v>62.5</v>
      </c>
      <c r="F1217">
        <v>0.23976024123297501</v>
      </c>
      <c r="G1217">
        <v>89</v>
      </c>
      <c r="H1217">
        <v>0.308728186216432</v>
      </c>
      <c r="I1217">
        <v>55</v>
      </c>
      <c r="L1217">
        <v>2.5293603577098901E-2</v>
      </c>
      <c r="M1217">
        <v>1.8917780526905299E-2</v>
      </c>
      <c r="N1217">
        <v>2012</v>
      </c>
      <c r="O1217" t="s">
        <v>13</v>
      </c>
      <c r="P1217" t="s">
        <v>261</v>
      </c>
      <c r="Q1217" t="s">
        <v>33</v>
      </c>
      <c r="R1217" t="s">
        <v>34</v>
      </c>
    </row>
    <row r="1218" spans="1:18" x14ac:dyDescent="0.25">
      <c r="A1218" t="s">
        <v>259</v>
      </c>
      <c r="B1218" t="s">
        <v>262</v>
      </c>
      <c r="C1218" t="s">
        <v>12</v>
      </c>
      <c r="D1218">
        <v>2</v>
      </c>
      <c r="E1218">
        <v>19</v>
      </c>
      <c r="F1218">
        <v>0</v>
      </c>
      <c r="G1218">
        <v>13</v>
      </c>
      <c r="H1218">
        <v>2.4198176520380098E-3</v>
      </c>
      <c r="I1218">
        <v>12</v>
      </c>
      <c r="L1218">
        <v>9.7466883739416796E-2</v>
      </c>
      <c r="M1218">
        <v>0</v>
      </c>
      <c r="N1218">
        <v>2016</v>
      </c>
      <c r="O1218" t="s">
        <v>13</v>
      </c>
      <c r="P1218" t="s">
        <v>261</v>
      </c>
      <c r="Q1218" t="s">
        <v>33</v>
      </c>
      <c r="R1218" t="s">
        <v>34</v>
      </c>
    </row>
    <row r="1219" spans="1:18" x14ac:dyDescent="0.25">
      <c r="A1219" t="s">
        <v>259</v>
      </c>
      <c r="B1219" t="s">
        <v>262</v>
      </c>
      <c r="C1219" t="s">
        <v>12</v>
      </c>
      <c r="D1219">
        <v>2</v>
      </c>
      <c r="E1219">
        <v>25</v>
      </c>
      <c r="F1219">
        <v>0.01</v>
      </c>
      <c r="G1219">
        <v>100</v>
      </c>
      <c r="H1219">
        <v>7.4516354104651704E-3</v>
      </c>
      <c r="I1219">
        <v>68</v>
      </c>
      <c r="L1219">
        <v>3.1605351578944903E-2</v>
      </c>
      <c r="M1219">
        <v>0.28816679575186299</v>
      </c>
      <c r="N1219">
        <v>2016</v>
      </c>
      <c r="O1219" t="s">
        <v>13</v>
      </c>
      <c r="P1219" t="s">
        <v>261</v>
      </c>
      <c r="Q1219" t="s">
        <v>33</v>
      </c>
      <c r="R1219" t="s">
        <v>34</v>
      </c>
    </row>
    <row r="1220" spans="1:18" x14ac:dyDescent="0.25">
      <c r="A1220" t="s">
        <v>259</v>
      </c>
      <c r="B1220" t="s">
        <v>262</v>
      </c>
      <c r="C1220" t="s">
        <v>12</v>
      </c>
      <c r="D1220">
        <v>2</v>
      </c>
      <c r="E1220">
        <v>35</v>
      </c>
      <c r="F1220">
        <v>1.9354838709677399E-2</v>
      </c>
      <c r="G1220">
        <v>155</v>
      </c>
      <c r="H1220">
        <v>9.0382134232527403E-2</v>
      </c>
      <c r="I1220">
        <v>120</v>
      </c>
      <c r="L1220">
        <v>3.34522881082331E-3</v>
      </c>
      <c r="M1220">
        <v>3.7412333847227099E-3</v>
      </c>
      <c r="N1220">
        <v>2016</v>
      </c>
      <c r="O1220" t="s">
        <v>13</v>
      </c>
      <c r="P1220" t="s">
        <v>261</v>
      </c>
      <c r="Q1220" t="s">
        <v>33</v>
      </c>
      <c r="R1220" t="s">
        <v>34</v>
      </c>
    </row>
    <row r="1221" spans="1:18" x14ac:dyDescent="0.25">
      <c r="A1221" t="s">
        <v>259</v>
      </c>
      <c r="B1221" t="s">
        <v>262</v>
      </c>
      <c r="C1221" t="s">
        <v>12</v>
      </c>
      <c r="D1221">
        <v>2</v>
      </c>
      <c r="E1221">
        <v>45</v>
      </c>
      <c r="F1221">
        <v>5.4187192118226597E-2</v>
      </c>
      <c r="G1221">
        <v>203</v>
      </c>
      <c r="H1221">
        <v>0.10073985244353099</v>
      </c>
      <c r="I1221">
        <v>158</v>
      </c>
      <c r="L1221">
        <v>8.6110819925163395E-3</v>
      </c>
      <c r="M1221">
        <v>1.4117986292754899E-2</v>
      </c>
      <c r="N1221">
        <v>2016</v>
      </c>
      <c r="O1221" t="s">
        <v>13</v>
      </c>
      <c r="P1221" t="s">
        <v>261</v>
      </c>
      <c r="Q1221" t="s">
        <v>33</v>
      </c>
      <c r="R1221" t="s">
        <v>34</v>
      </c>
    </row>
    <row r="1222" spans="1:18" x14ac:dyDescent="0.25">
      <c r="A1222" t="s">
        <v>259</v>
      </c>
      <c r="B1222" t="s">
        <v>262</v>
      </c>
      <c r="C1222" t="s">
        <v>12</v>
      </c>
      <c r="D1222">
        <v>2</v>
      </c>
      <c r="E1222">
        <v>55</v>
      </c>
      <c r="F1222">
        <v>0.149484536082474</v>
      </c>
      <c r="G1222">
        <v>194</v>
      </c>
      <c r="H1222">
        <v>0.15691645314145999</v>
      </c>
      <c r="I1222">
        <v>143</v>
      </c>
      <c r="L1222">
        <v>5.9455033273624197E-3</v>
      </c>
      <c r="M1222">
        <v>1.0531065827026899E-2</v>
      </c>
      <c r="N1222">
        <v>2016</v>
      </c>
      <c r="O1222" t="s">
        <v>13</v>
      </c>
      <c r="P1222" t="s">
        <v>261</v>
      </c>
      <c r="Q1222" t="s">
        <v>33</v>
      </c>
      <c r="R1222" t="s">
        <v>34</v>
      </c>
    </row>
    <row r="1223" spans="1:18" x14ac:dyDescent="0.25">
      <c r="A1223" t="s">
        <v>259</v>
      </c>
      <c r="B1223" t="s">
        <v>262</v>
      </c>
      <c r="C1223" t="s">
        <v>12</v>
      </c>
      <c r="D1223">
        <v>2</v>
      </c>
      <c r="E1223">
        <v>65</v>
      </c>
      <c r="F1223">
        <v>0.20168067226890801</v>
      </c>
      <c r="G1223">
        <v>119</v>
      </c>
      <c r="H1223">
        <v>0.14629971451948601</v>
      </c>
      <c r="I1223">
        <v>83</v>
      </c>
      <c r="L1223">
        <v>9.0990264168645894E-3</v>
      </c>
      <c r="M1223">
        <v>2.1192364131442501E-2</v>
      </c>
      <c r="N1223">
        <v>2016</v>
      </c>
      <c r="O1223" t="s">
        <v>13</v>
      </c>
      <c r="P1223" t="s">
        <v>261</v>
      </c>
      <c r="Q1223" t="s">
        <v>33</v>
      </c>
      <c r="R1223" t="s">
        <v>34</v>
      </c>
    </row>
    <row r="1224" spans="1:18" x14ac:dyDescent="0.25">
      <c r="A1224" t="s">
        <v>259</v>
      </c>
      <c r="B1224" t="s">
        <v>262</v>
      </c>
      <c r="C1224" t="s">
        <v>12</v>
      </c>
      <c r="D1224">
        <v>2</v>
      </c>
      <c r="E1224">
        <v>75</v>
      </c>
      <c r="F1224">
        <v>0.25</v>
      </c>
      <c r="G1224">
        <v>48</v>
      </c>
      <c r="H1224">
        <v>9.9022377797121697E-2</v>
      </c>
      <c r="I1224">
        <v>32</v>
      </c>
      <c r="L1224">
        <v>9.8144127533391495E-3</v>
      </c>
      <c r="M1224">
        <v>4.1967391614816697E-2</v>
      </c>
      <c r="N1224">
        <v>2016</v>
      </c>
      <c r="O1224" t="s">
        <v>13</v>
      </c>
      <c r="P1224" t="s">
        <v>261</v>
      </c>
      <c r="Q1224" t="s">
        <v>33</v>
      </c>
      <c r="R1224" t="s">
        <v>34</v>
      </c>
    </row>
    <row r="1225" spans="1:18" x14ac:dyDescent="0.25">
      <c r="A1225" t="s">
        <v>259</v>
      </c>
      <c r="B1225" t="s">
        <v>262</v>
      </c>
      <c r="C1225" t="s">
        <v>12</v>
      </c>
      <c r="D1225">
        <v>2</v>
      </c>
      <c r="E1225">
        <v>84.91</v>
      </c>
      <c r="F1225">
        <v>0</v>
      </c>
      <c r="G1225">
        <v>22</v>
      </c>
      <c r="H1225">
        <v>0.21042858333622699</v>
      </c>
      <c r="I1225">
        <v>19</v>
      </c>
      <c r="L1225">
        <v>2.0684628955455898E-2</v>
      </c>
      <c r="M1225">
        <v>0</v>
      </c>
      <c r="N1225">
        <v>2016</v>
      </c>
      <c r="O1225" t="s">
        <v>13</v>
      </c>
      <c r="P1225" t="s">
        <v>261</v>
      </c>
      <c r="Q1225" t="s">
        <v>33</v>
      </c>
      <c r="R1225" t="s">
        <v>34</v>
      </c>
    </row>
    <row r="1226" spans="1:18" x14ac:dyDescent="0.25">
      <c r="A1226" t="s">
        <v>259</v>
      </c>
      <c r="B1226" t="s">
        <v>262</v>
      </c>
      <c r="C1226" t="s">
        <v>12</v>
      </c>
      <c r="D1226">
        <v>1</v>
      </c>
      <c r="E1226">
        <v>19</v>
      </c>
      <c r="F1226">
        <v>0</v>
      </c>
      <c r="G1226">
        <v>18</v>
      </c>
      <c r="H1226">
        <v>7.8895294231715096E-2</v>
      </c>
      <c r="I1226">
        <v>13</v>
      </c>
      <c r="L1226">
        <v>6.8352244831166296E-4</v>
      </c>
      <c r="M1226">
        <v>0</v>
      </c>
      <c r="N1226">
        <v>2016</v>
      </c>
      <c r="O1226" t="s">
        <v>13</v>
      </c>
      <c r="P1226" t="s">
        <v>261</v>
      </c>
      <c r="Q1226" t="s">
        <v>33</v>
      </c>
      <c r="R1226" t="s">
        <v>34</v>
      </c>
    </row>
    <row r="1227" spans="1:18" x14ac:dyDescent="0.25">
      <c r="A1227" t="s">
        <v>259</v>
      </c>
      <c r="B1227" t="s">
        <v>262</v>
      </c>
      <c r="C1227" t="s">
        <v>12</v>
      </c>
      <c r="D1227">
        <v>1</v>
      </c>
      <c r="E1227">
        <v>25</v>
      </c>
      <c r="F1227">
        <v>0</v>
      </c>
      <c r="G1227">
        <v>116</v>
      </c>
      <c r="H1227">
        <v>3.7071706942723701E-2</v>
      </c>
      <c r="I1227">
        <v>90</v>
      </c>
      <c r="L1227">
        <v>5.0481975239349101E-3</v>
      </c>
      <c r="M1227">
        <v>0</v>
      </c>
      <c r="N1227">
        <v>2016</v>
      </c>
      <c r="O1227" t="s">
        <v>13</v>
      </c>
      <c r="P1227" t="s">
        <v>261</v>
      </c>
      <c r="Q1227" t="s">
        <v>33</v>
      </c>
      <c r="R1227" t="s">
        <v>34</v>
      </c>
    </row>
    <row r="1228" spans="1:18" x14ac:dyDescent="0.25">
      <c r="A1228" t="s">
        <v>259</v>
      </c>
      <c r="B1228" t="s">
        <v>262</v>
      </c>
      <c r="C1228" t="s">
        <v>12</v>
      </c>
      <c r="D1228">
        <v>1</v>
      </c>
      <c r="E1228">
        <v>35</v>
      </c>
      <c r="F1228">
        <v>5.9880239520958096E-3</v>
      </c>
      <c r="G1228">
        <v>167</v>
      </c>
      <c r="H1228">
        <v>3.4801452009786703E-2</v>
      </c>
      <c r="I1228">
        <v>121</v>
      </c>
      <c r="L1228">
        <v>1.6619197537490301E-2</v>
      </c>
      <c r="M1228">
        <v>2.35999575375632E-2</v>
      </c>
      <c r="N1228">
        <v>2016</v>
      </c>
      <c r="O1228" t="s">
        <v>13</v>
      </c>
      <c r="P1228" t="s">
        <v>261</v>
      </c>
      <c r="Q1228" t="s">
        <v>33</v>
      </c>
      <c r="R1228" t="s">
        <v>34</v>
      </c>
    </row>
    <row r="1229" spans="1:18" x14ac:dyDescent="0.25">
      <c r="A1229" t="s">
        <v>259</v>
      </c>
      <c r="B1229" t="s">
        <v>262</v>
      </c>
      <c r="C1229" t="s">
        <v>12</v>
      </c>
      <c r="D1229">
        <v>1</v>
      </c>
      <c r="E1229">
        <v>45</v>
      </c>
      <c r="F1229">
        <v>4.8128342245989303E-2</v>
      </c>
      <c r="G1229">
        <v>187</v>
      </c>
      <c r="H1229">
        <v>0.17726071334029</v>
      </c>
      <c r="I1229">
        <v>147</v>
      </c>
      <c r="L1229">
        <v>3.65077096051269E-3</v>
      </c>
      <c r="M1229">
        <v>3.0174479023814902E-3</v>
      </c>
      <c r="N1229">
        <v>2016</v>
      </c>
      <c r="O1229" t="s">
        <v>13</v>
      </c>
      <c r="P1229" t="s">
        <v>261</v>
      </c>
      <c r="Q1229" t="s">
        <v>33</v>
      </c>
      <c r="R1229" t="s">
        <v>34</v>
      </c>
    </row>
    <row r="1230" spans="1:18" x14ac:dyDescent="0.25">
      <c r="A1230" t="s">
        <v>259</v>
      </c>
      <c r="B1230" t="s">
        <v>262</v>
      </c>
      <c r="C1230" t="s">
        <v>12</v>
      </c>
      <c r="D1230">
        <v>1</v>
      </c>
      <c r="E1230">
        <v>55</v>
      </c>
      <c r="F1230">
        <v>6.4220183486238494E-2</v>
      </c>
      <c r="G1230">
        <v>218</v>
      </c>
      <c r="H1230">
        <v>0.10631629054028</v>
      </c>
      <c r="I1230">
        <v>169</v>
      </c>
      <c r="L1230">
        <v>7.9148235426062807E-3</v>
      </c>
      <c r="M1230">
        <v>1.33458492273839E-2</v>
      </c>
      <c r="N1230">
        <v>2016</v>
      </c>
      <c r="O1230" t="s">
        <v>13</v>
      </c>
      <c r="P1230" t="s">
        <v>261</v>
      </c>
      <c r="Q1230" t="s">
        <v>33</v>
      </c>
      <c r="R1230" t="s">
        <v>34</v>
      </c>
    </row>
    <row r="1231" spans="1:18" x14ac:dyDescent="0.25">
      <c r="A1231" t="s">
        <v>259</v>
      </c>
      <c r="B1231" t="s">
        <v>262</v>
      </c>
      <c r="C1231" t="s">
        <v>12</v>
      </c>
      <c r="D1231">
        <v>1</v>
      </c>
      <c r="E1231">
        <v>65</v>
      </c>
      <c r="F1231">
        <v>0.196850393700787</v>
      </c>
      <c r="G1231">
        <v>127</v>
      </c>
      <c r="H1231">
        <v>0.16113676868499799</v>
      </c>
      <c r="I1231">
        <v>79</v>
      </c>
      <c r="L1231">
        <v>3.9853259712318602E-3</v>
      </c>
      <c r="M1231">
        <v>8.4587347017785093E-3</v>
      </c>
      <c r="N1231">
        <v>2016</v>
      </c>
      <c r="O1231" t="s">
        <v>13</v>
      </c>
      <c r="P1231" t="s">
        <v>261</v>
      </c>
      <c r="Q1231" t="s">
        <v>33</v>
      </c>
      <c r="R1231" t="s">
        <v>34</v>
      </c>
    </row>
    <row r="1232" spans="1:18" x14ac:dyDescent="0.25">
      <c r="A1232" t="s">
        <v>259</v>
      </c>
      <c r="B1232" t="s">
        <v>262</v>
      </c>
      <c r="C1232" t="s">
        <v>12</v>
      </c>
      <c r="D1232">
        <v>1</v>
      </c>
      <c r="E1232">
        <v>75</v>
      </c>
      <c r="F1232">
        <v>0.28571428571428598</v>
      </c>
      <c r="G1232">
        <v>35</v>
      </c>
      <c r="H1232">
        <v>0.155418900957561</v>
      </c>
      <c r="I1232">
        <v>24</v>
      </c>
      <c r="L1232">
        <v>4.62356911851466E-3</v>
      </c>
      <c r="M1232">
        <v>1.3239747330953001E-2</v>
      </c>
      <c r="N1232">
        <v>2016</v>
      </c>
      <c r="O1232" t="s">
        <v>13</v>
      </c>
      <c r="P1232" t="s">
        <v>261</v>
      </c>
      <c r="Q1232" t="s">
        <v>33</v>
      </c>
      <c r="R1232" t="s">
        <v>34</v>
      </c>
    </row>
    <row r="1233" spans="1:18" x14ac:dyDescent="0.25">
      <c r="A1233" t="s">
        <v>259</v>
      </c>
      <c r="B1233" t="s">
        <v>262</v>
      </c>
      <c r="C1233" t="s">
        <v>12</v>
      </c>
      <c r="D1233">
        <v>1</v>
      </c>
      <c r="E1233">
        <v>84.91</v>
      </c>
      <c r="F1233">
        <v>0.25</v>
      </c>
      <c r="G1233">
        <v>4</v>
      </c>
      <c r="H1233">
        <v>2.2551602409443101E-2</v>
      </c>
      <c r="I1233">
        <v>3</v>
      </c>
      <c r="L1233">
        <v>6.3915469440774799E-3</v>
      </c>
      <c r="M1233">
        <v>0.19424816011526999</v>
      </c>
      <c r="N1233">
        <v>2016</v>
      </c>
      <c r="O1233" t="s">
        <v>13</v>
      </c>
      <c r="P1233" t="s">
        <v>261</v>
      </c>
      <c r="Q1233" t="s">
        <v>33</v>
      </c>
      <c r="R1233" t="s">
        <v>34</v>
      </c>
    </row>
    <row r="1234" spans="1:18" x14ac:dyDescent="0.25">
      <c r="A1234" t="s">
        <v>263</v>
      </c>
      <c r="B1234" t="s">
        <v>264</v>
      </c>
      <c r="C1234" t="s">
        <v>12</v>
      </c>
      <c r="D1234">
        <v>2</v>
      </c>
      <c r="E1234">
        <v>19</v>
      </c>
      <c r="F1234">
        <v>0</v>
      </c>
      <c r="G1234">
        <v>136</v>
      </c>
      <c r="H1234">
        <v>2.16484434173854E-2</v>
      </c>
      <c r="I1234">
        <v>125</v>
      </c>
      <c r="L1234">
        <v>1.7893546948595698E-2</v>
      </c>
      <c r="M1234">
        <v>0</v>
      </c>
      <c r="N1234">
        <v>2010</v>
      </c>
      <c r="O1234" t="s">
        <v>13</v>
      </c>
      <c r="P1234" t="s">
        <v>265</v>
      </c>
      <c r="Q1234" t="s">
        <v>19</v>
      </c>
      <c r="R1234" t="s">
        <v>20</v>
      </c>
    </row>
    <row r="1235" spans="1:18" x14ac:dyDescent="0.25">
      <c r="A1235" t="s">
        <v>263</v>
      </c>
      <c r="B1235" t="s">
        <v>264</v>
      </c>
      <c r="C1235" t="s">
        <v>12</v>
      </c>
      <c r="D1235">
        <v>2</v>
      </c>
      <c r="E1235">
        <v>25</v>
      </c>
      <c r="F1235">
        <v>2.9717682020802402E-3</v>
      </c>
      <c r="G1235">
        <v>673</v>
      </c>
      <c r="H1235">
        <v>1.9911169453959699E-2</v>
      </c>
      <c r="I1235">
        <v>624</v>
      </c>
      <c r="L1235">
        <v>2.94843245284187E-2</v>
      </c>
      <c r="M1235">
        <v>4.8037273199857698E-2</v>
      </c>
      <c r="N1235">
        <v>2010</v>
      </c>
      <c r="O1235" t="s">
        <v>13</v>
      </c>
      <c r="P1235" t="s">
        <v>265</v>
      </c>
      <c r="Q1235" t="s">
        <v>19</v>
      </c>
      <c r="R1235" t="s">
        <v>20</v>
      </c>
    </row>
    <row r="1236" spans="1:18" x14ac:dyDescent="0.25">
      <c r="A1236" t="s">
        <v>263</v>
      </c>
      <c r="B1236" t="s">
        <v>264</v>
      </c>
      <c r="C1236" t="s">
        <v>12</v>
      </c>
      <c r="D1236">
        <v>2</v>
      </c>
      <c r="E1236">
        <v>35</v>
      </c>
      <c r="F1236">
        <v>2.6150627615062799E-2</v>
      </c>
      <c r="G1236">
        <v>956</v>
      </c>
      <c r="H1236">
        <v>4.76151661846781E-2</v>
      </c>
      <c r="I1236">
        <v>886</v>
      </c>
      <c r="L1236">
        <v>2.1784827389075102E-2</v>
      </c>
      <c r="M1236">
        <v>5.1444598406935299E-2</v>
      </c>
      <c r="N1236">
        <v>2010</v>
      </c>
      <c r="O1236" t="s">
        <v>13</v>
      </c>
      <c r="P1236" t="s">
        <v>265</v>
      </c>
      <c r="Q1236" t="s">
        <v>19</v>
      </c>
      <c r="R1236" t="s">
        <v>20</v>
      </c>
    </row>
    <row r="1237" spans="1:18" x14ac:dyDescent="0.25">
      <c r="A1237" t="s">
        <v>263</v>
      </c>
      <c r="B1237" t="s">
        <v>264</v>
      </c>
      <c r="C1237" t="s">
        <v>12</v>
      </c>
      <c r="D1237">
        <v>2</v>
      </c>
      <c r="E1237">
        <v>45</v>
      </c>
      <c r="F1237">
        <v>8.1951219512195098E-2</v>
      </c>
      <c r="G1237">
        <v>1025</v>
      </c>
      <c r="H1237">
        <v>0.109709933175363</v>
      </c>
      <c r="I1237">
        <v>895</v>
      </c>
      <c r="L1237">
        <v>1.92008168755506E-2</v>
      </c>
      <c r="M1237">
        <v>3.7499382061095703E-2</v>
      </c>
      <c r="N1237">
        <v>2010</v>
      </c>
      <c r="O1237" t="s">
        <v>13</v>
      </c>
      <c r="P1237" t="s">
        <v>265</v>
      </c>
      <c r="Q1237" t="s">
        <v>19</v>
      </c>
      <c r="R1237" t="s">
        <v>20</v>
      </c>
    </row>
    <row r="1238" spans="1:18" x14ac:dyDescent="0.25">
      <c r="A1238" t="s">
        <v>263</v>
      </c>
      <c r="B1238" t="s">
        <v>264</v>
      </c>
      <c r="C1238" t="s">
        <v>12</v>
      </c>
      <c r="D1238">
        <v>2</v>
      </c>
      <c r="E1238">
        <v>55</v>
      </c>
      <c r="F1238">
        <v>0.28413793103448298</v>
      </c>
      <c r="G1238">
        <v>725</v>
      </c>
      <c r="H1238">
        <v>0.18764232180172999</v>
      </c>
      <c r="I1238">
        <v>500</v>
      </c>
      <c r="L1238">
        <v>1.2177834949545699E-2</v>
      </c>
      <c r="M1238">
        <v>2.6274288506448099E-2</v>
      </c>
      <c r="N1238">
        <v>2010</v>
      </c>
      <c r="O1238" t="s">
        <v>13</v>
      </c>
      <c r="P1238" t="s">
        <v>265</v>
      </c>
      <c r="Q1238" t="s">
        <v>19</v>
      </c>
      <c r="R1238" t="s">
        <v>20</v>
      </c>
    </row>
    <row r="1239" spans="1:18" x14ac:dyDescent="0.25">
      <c r="A1239" t="s">
        <v>263</v>
      </c>
      <c r="B1239" t="s">
        <v>264</v>
      </c>
      <c r="C1239" t="s">
        <v>12</v>
      </c>
      <c r="D1239">
        <v>2</v>
      </c>
      <c r="E1239">
        <v>62.5</v>
      </c>
      <c r="F1239">
        <v>0.29467084639498398</v>
      </c>
      <c r="G1239">
        <v>319</v>
      </c>
      <c r="H1239">
        <v>0.237994999126622</v>
      </c>
      <c r="I1239">
        <v>218</v>
      </c>
      <c r="L1239">
        <v>1.6556421041788401E-2</v>
      </c>
      <c r="M1239">
        <v>2.5146274033253001E-2</v>
      </c>
      <c r="N1239">
        <v>2010</v>
      </c>
      <c r="O1239" t="s">
        <v>13</v>
      </c>
      <c r="P1239" t="s">
        <v>265</v>
      </c>
      <c r="Q1239" t="s">
        <v>19</v>
      </c>
      <c r="R1239" t="s">
        <v>20</v>
      </c>
    </row>
    <row r="1240" spans="1:18" x14ac:dyDescent="0.25">
      <c r="A1240" t="s">
        <v>263</v>
      </c>
      <c r="B1240" t="s">
        <v>264</v>
      </c>
      <c r="C1240" t="s">
        <v>12</v>
      </c>
      <c r="D1240">
        <v>1</v>
      </c>
      <c r="E1240">
        <v>19</v>
      </c>
      <c r="F1240">
        <v>5.9880239520958096E-3</v>
      </c>
      <c r="G1240">
        <v>167</v>
      </c>
      <c r="H1240">
        <v>3.2489425989918497E-2</v>
      </c>
      <c r="I1240">
        <v>154</v>
      </c>
      <c r="L1240">
        <v>1.00476667029095E-2</v>
      </c>
      <c r="M1240">
        <v>1.5690670271654598E-2</v>
      </c>
      <c r="N1240">
        <v>2010</v>
      </c>
      <c r="O1240" t="s">
        <v>13</v>
      </c>
      <c r="P1240" t="s">
        <v>265</v>
      </c>
      <c r="Q1240" t="s">
        <v>19</v>
      </c>
      <c r="R1240" t="s">
        <v>20</v>
      </c>
    </row>
    <row r="1241" spans="1:18" x14ac:dyDescent="0.25">
      <c r="A1241" t="s">
        <v>263</v>
      </c>
      <c r="B1241" t="s">
        <v>264</v>
      </c>
      <c r="C1241" t="s">
        <v>12</v>
      </c>
      <c r="D1241">
        <v>1</v>
      </c>
      <c r="E1241">
        <v>25</v>
      </c>
      <c r="F1241">
        <v>9.3984962406014998E-3</v>
      </c>
      <c r="G1241">
        <v>532</v>
      </c>
      <c r="H1241">
        <v>3.8282600042671699E-2</v>
      </c>
      <c r="I1241">
        <v>480</v>
      </c>
      <c r="L1241">
        <v>1.2846401380094999E-2</v>
      </c>
      <c r="M1241">
        <v>2.15641834881454E-2</v>
      </c>
      <c r="N1241">
        <v>2010</v>
      </c>
      <c r="O1241" t="s">
        <v>13</v>
      </c>
      <c r="P1241" t="s">
        <v>265</v>
      </c>
      <c r="Q1241" t="s">
        <v>19</v>
      </c>
      <c r="R1241" t="s">
        <v>20</v>
      </c>
    </row>
    <row r="1242" spans="1:18" x14ac:dyDescent="0.25">
      <c r="A1242" t="s">
        <v>263</v>
      </c>
      <c r="B1242" t="s">
        <v>264</v>
      </c>
      <c r="C1242" t="s">
        <v>12</v>
      </c>
      <c r="D1242">
        <v>1</v>
      </c>
      <c r="E1242">
        <v>35</v>
      </c>
      <c r="F1242">
        <v>3.1558185404339301E-2</v>
      </c>
      <c r="G1242">
        <v>507</v>
      </c>
      <c r="H1242">
        <v>6.9978892088552694E-2</v>
      </c>
      <c r="I1242">
        <v>438</v>
      </c>
      <c r="L1242">
        <v>1.5340096426395999E-2</v>
      </c>
      <c r="M1242">
        <v>2.7504391246047401E-2</v>
      </c>
      <c r="N1242">
        <v>2010</v>
      </c>
      <c r="O1242" t="s">
        <v>13</v>
      </c>
      <c r="P1242" t="s">
        <v>265</v>
      </c>
      <c r="Q1242" t="s">
        <v>19</v>
      </c>
      <c r="R1242" t="s">
        <v>20</v>
      </c>
    </row>
    <row r="1243" spans="1:18" x14ac:dyDescent="0.25">
      <c r="A1243" t="s">
        <v>263</v>
      </c>
      <c r="B1243" t="s">
        <v>264</v>
      </c>
      <c r="C1243" t="s">
        <v>12</v>
      </c>
      <c r="D1243">
        <v>1</v>
      </c>
      <c r="E1243">
        <v>45</v>
      </c>
      <c r="F1243">
        <v>0.10344827586206901</v>
      </c>
      <c r="G1243">
        <v>522</v>
      </c>
      <c r="H1243">
        <v>0.14171858263138901</v>
      </c>
      <c r="I1243">
        <v>433</v>
      </c>
      <c r="L1243">
        <v>1.04439453152902E-2</v>
      </c>
      <c r="M1243">
        <v>1.70756835155122E-2</v>
      </c>
      <c r="N1243">
        <v>2010</v>
      </c>
      <c r="O1243" t="s">
        <v>13</v>
      </c>
      <c r="P1243" t="s">
        <v>265</v>
      </c>
      <c r="Q1243" t="s">
        <v>19</v>
      </c>
      <c r="R1243" t="s">
        <v>20</v>
      </c>
    </row>
    <row r="1244" spans="1:18" x14ac:dyDescent="0.25">
      <c r="A1244" t="s">
        <v>263</v>
      </c>
      <c r="B1244" t="s">
        <v>264</v>
      </c>
      <c r="C1244" t="s">
        <v>12</v>
      </c>
      <c r="D1244">
        <v>1</v>
      </c>
      <c r="E1244">
        <v>55</v>
      </c>
      <c r="F1244">
        <v>0.25721153846153799</v>
      </c>
      <c r="G1244">
        <v>416</v>
      </c>
      <c r="H1244">
        <v>0.171868227252091</v>
      </c>
      <c r="I1244">
        <v>284</v>
      </c>
      <c r="L1244">
        <v>8.39694942251272E-3</v>
      </c>
      <c r="M1244">
        <v>1.9473943213920802E-2</v>
      </c>
      <c r="N1244">
        <v>2010</v>
      </c>
      <c r="O1244" t="s">
        <v>13</v>
      </c>
      <c r="P1244" t="s">
        <v>265</v>
      </c>
      <c r="Q1244" t="s">
        <v>19</v>
      </c>
      <c r="R1244" t="s">
        <v>20</v>
      </c>
    </row>
    <row r="1245" spans="1:18" x14ac:dyDescent="0.25">
      <c r="A1245" t="s">
        <v>263</v>
      </c>
      <c r="B1245" t="s">
        <v>264</v>
      </c>
      <c r="C1245" t="s">
        <v>12</v>
      </c>
      <c r="D1245">
        <v>1</v>
      </c>
      <c r="E1245">
        <v>62.5</v>
      </c>
      <c r="F1245">
        <v>0.30645161290322598</v>
      </c>
      <c r="G1245">
        <v>186</v>
      </c>
      <c r="H1245">
        <v>0.185502077119923</v>
      </c>
      <c r="I1245">
        <v>122</v>
      </c>
      <c r="L1245">
        <v>1.19092254119781E-2</v>
      </c>
      <c r="M1245">
        <v>2.72767780468933E-2</v>
      </c>
      <c r="N1245">
        <v>2010</v>
      </c>
      <c r="O1245" t="s">
        <v>13</v>
      </c>
      <c r="P1245" t="s">
        <v>265</v>
      </c>
      <c r="Q1245" t="s">
        <v>19</v>
      </c>
      <c r="R1245" t="s">
        <v>20</v>
      </c>
    </row>
    <row r="1246" spans="1:18" x14ac:dyDescent="0.25">
      <c r="A1246" t="s">
        <v>263</v>
      </c>
      <c r="B1246" t="s">
        <v>266</v>
      </c>
      <c r="C1246" t="s">
        <v>12</v>
      </c>
      <c r="D1246">
        <v>2</v>
      </c>
      <c r="E1246">
        <v>19</v>
      </c>
      <c r="F1246">
        <v>0</v>
      </c>
      <c r="G1246">
        <v>158</v>
      </c>
      <c r="H1246">
        <v>1.9388915442472902E-2</v>
      </c>
      <c r="I1246">
        <v>151</v>
      </c>
      <c r="L1246">
        <v>3.9684009269471798E-2</v>
      </c>
      <c r="M1246">
        <v>0</v>
      </c>
      <c r="N1246">
        <v>2022</v>
      </c>
      <c r="O1246" t="s">
        <v>13</v>
      </c>
      <c r="P1246" t="s">
        <v>265</v>
      </c>
      <c r="Q1246" t="s">
        <v>19</v>
      </c>
      <c r="R1246" t="s">
        <v>20</v>
      </c>
    </row>
    <row r="1247" spans="1:18" x14ac:dyDescent="0.25">
      <c r="A1247" t="s">
        <v>263</v>
      </c>
      <c r="B1247" t="s">
        <v>266</v>
      </c>
      <c r="C1247" t="s">
        <v>12</v>
      </c>
      <c r="D1247">
        <v>2</v>
      </c>
      <c r="E1247">
        <v>25</v>
      </c>
      <c r="F1247">
        <v>3.7476742735793401E-3</v>
      </c>
      <c r="G1247">
        <v>713</v>
      </c>
      <c r="H1247">
        <v>2.0264128571633198E-2</v>
      </c>
      <c r="I1247">
        <v>684</v>
      </c>
      <c r="L1247">
        <v>5.8154753924336201E-2</v>
      </c>
      <c r="M1247">
        <v>0.103806781962459</v>
      </c>
      <c r="N1247">
        <v>2022</v>
      </c>
      <c r="O1247" t="s">
        <v>13</v>
      </c>
      <c r="P1247" t="s">
        <v>265</v>
      </c>
      <c r="Q1247" t="s">
        <v>19</v>
      </c>
      <c r="R1247" t="s">
        <v>20</v>
      </c>
    </row>
    <row r="1248" spans="1:18" x14ac:dyDescent="0.25">
      <c r="A1248" t="s">
        <v>263</v>
      </c>
      <c r="B1248" t="s">
        <v>266</v>
      </c>
      <c r="C1248" t="s">
        <v>12</v>
      </c>
      <c r="D1248">
        <v>2</v>
      </c>
      <c r="E1248">
        <v>35</v>
      </c>
      <c r="F1248">
        <v>2.1440443200588698E-2</v>
      </c>
      <c r="G1248">
        <v>797</v>
      </c>
      <c r="H1248">
        <v>4.6389421409493398E-2</v>
      </c>
      <c r="I1248">
        <v>746</v>
      </c>
      <c r="L1248">
        <v>4.5476738361212098E-2</v>
      </c>
      <c r="M1248">
        <v>9.5899360496340597E-2</v>
      </c>
      <c r="N1248">
        <v>2022</v>
      </c>
      <c r="O1248" t="s">
        <v>13</v>
      </c>
      <c r="P1248" t="s">
        <v>265</v>
      </c>
      <c r="Q1248" t="s">
        <v>19</v>
      </c>
      <c r="R1248" t="s">
        <v>20</v>
      </c>
    </row>
    <row r="1249" spans="1:18" x14ac:dyDescent="0.25">
      <c r="A1249" t="s">
        <v>263</v>
      </c>
      <c r="B1249" t="s">
        <v>266</v>
      </c>
      <c r="C1249" t="s">
        <v>12</v>
      </c>
      <c r="D1249">
        <v>2</v>
      </c>
      <c r="E1249">
        <v>45</v>
      </c>
      <c r="F1249">
        <v>8.6831263260978203E-2</v>
      </c>
      <c r="G1249">
        <v>733</v>
      </c>
      <c r="H1249">
        <v>0.11650708773443599</v>
      </c>
      <c r="I1249">
        <v>640</v>
      </c>
      <c r="L1249">
        <v>3.1516748350653101E-2</v>
      </c>
      <c r="M1249">
        <v>5.53470004783672E-2</v>
      </c>
      <c r="N1249">
        <v>2022</v>
      </c>
      <c r="O1249" t="s">
        <v>13</v>
      </c>
      <c r="P1249" t="s">
        <v>265</v>
      </c>
      <c r="Q1249" t="s">
        <v>19</v>
      </c>
      <c r="R1249" t="s">
        <v>20</v>
      </c>
    </row>
    <row r="1250" spans="1:18" x14ac:dyDescent="0.25">
      <c r="A1250" t="s">
        <v>263</v>
      </c>
      <c r="B1250" t="s">
        <v>266</v>
      </c>
      <c r="C1250" t="s">
        <v>12</v>
      </c>
      <c r="D1250">
        <v>2</v>
      </c>
      <c r="E1250">
        <v>55</v>
      </c>
      <c r="F1250">
        <v>0.25712100835864798</v>
      </c>
      <c r="G1250">
        <v>714</v>
      </c>
      <c r="H1250">
        <v>0.177806511800672</v>
      </c>
      <c r="I1250">
        <v>513</v>
      </c>
      <c r="L1250">
        <v>2.6897608597292798E-2</v>
      </c>
      <c r="M1250">
        <v>5.4254396518461201E-2</v>
      </c>
      <c r="N1250">
        <v>2022</v>
      </c>
      <c r="O1250" t="s">
        <v>13</v>
      </c>
      <c r="P1250" t="s">
        <v>265</v>
      </c>
      <c r="Q1250" t="s">
        <v>19</v>
      </c>
      <c r="R1250" t="s">
        <v>20</v>
      </c>
    </row>
    <row r="1251" spans="1:18" x14ac:dyDescent="0.25">
      <c r="A1251" t="s">
        <v>263</v>
      </c>
      <c r="B1251" t="s">
        <v>266</v>
      </c>
      <c r="C1251" t="s">
        <v>12</v>
      </c>
      <c r="D1251">
        <v>2</v>
      </c>
      <c r="E1251">
        <v>65</v>
      </c>
      <c r="F1251">
        <v>0.40784164768161302</v>
      </c>
      <c r="G1251">
        <v>546</v>
      </c>
      <c r="H1251">
        <v>0.23717291335405899</v>
      </c>
      <c r="I1251">
        <v>317</v>
      </c>
      <c r="L1251">
        <v>2.3315728580792498E-2</v>
      </c>
      <c r="M1251">
        <v>4.3924731952506797E-2</v>
      </c>
      <c r="N1251">
        <v>2022</v>
      </c>
      <c r="O1251" t="s">
        <v>13</v>
      </c>
      <c r="P1251" t="s">
        <v>265</v>
      </c>
      <c r="Q1251" t="s">
        <v>19</v>
      </c>
      <c r="R1251" t="s">
        <v>20</v>
      </c>
    </row>
    <row r="1252" spans="1:18" x14ac:dyDescent="0.25">
      <c r="A1252" t="s">
        <v>263</v>
      </c>
      <c r="B1252" t="s">
        <v>266</v>
      </c>
      <c r="C1252" t="s">
        <v>12</v>
      </c>
      <c r="D1252">
        <v>1</v>
      </c>
      <c r="E1252">
        <v>19</v>
      </c>
      <c r="F1252">
        <v>3.5070337452024702E-3</v>
      </c>
      <c r="G1252">
        <v>117</v>
      </c>
      <c r="H1252">
        <v>7.3660327880930299E-3</v>
      </c>
      <c r="I1252">
        <v>112</v>
      </c>
      <c r="L1252">
        <v>6.8110729092047601E-2</v>
      </c>
      <c r="M1252">
        <v>0.32223294543744202</v>
      </c>
      <c r="N1252">
        <v>2022</v>
      </c>
      <c r="O1252" t="s">
        <v>13</v>
      </c>
      <c r="P1252" t="s">
        <v>265</v>
      </c>
      <c r="Q1252" t="s">
        <v>19</v>
      </c>
      <c r="R1252" t="s">
        <v>20</v>
      </c>
    </row>
    <row r="1253" spans="1:18" x14ac:dyDescent="0.25">
      <c r="A1253" t="s">
        <v>263</v>
      </c>
      <c r="B1253" t="s">
        <v>266</v>
      </c>
      <c r="C1253" t="s">
        <v>12</v>
      </c>
      <c r="D1253">
        <v>1</v>
      </c>
      <c r="E1253">
        <v>25</v>
      </c>
      <c r="F1253">
        <v>1.9692002874945398E-3</v>
      </c>
      <c r="G1253">
        <v>417</v>
      </c>
      <c r="H1253">
        <v>1.92257984405712E-2</v>
      </c>
      <c r="I1253">
        <v>394</v>
      </c>
      <c r="L1253">
        <v>4.0299066163630402E-2</v>
      </c>
      <c r="M1253">
        <v>5.5491444119015999E-2</v>
      </c>
      <c r="N1253">
        <v>2022</v>
      </c>
      <c r="O1253" t="s">
        <v>13</v>
      </c>
      <c r="P1253" t="s">
        <v>265</v>
      </c>
      <c r="Q1253" t="s">
        <v>19</v>
      </c>
      <c r="R1253" t="s">
        <v>20</v>
      </c>
    </row>
    <row r="1254" spans="1:18" x14ac:dyDescent="0.25">
      <c r="A1254" t="s">
        <v>263</v>
      </c>
      <c r="B1254" t="s">
        <v>266</v>
      </c>
      <c r="C1254" t="s">
        <v>12</v>
      </c>
      <c r="D1254">
        <v>1</v>
      </c>
      <c r="E1254">
        <v>35</v>
      </c>
      <c r="F1254">
        <v>1.6157480807803201E-2</v>
      </c>
      <c r="G1254">
        <v>341</v>
      </c>
      <c r="H1254">
        <v>6.3562360255254899E-2</v>
      </c>
      <c r="I1254">
        <v>322</v>
      </c>
      <c r="L1254">
        <v>2.57932884175988E-2</v>
      </c>
      <c r="M1254">
        <v>3.4099953878645901E-2</v>
      </c>
      <c r="N1254">
        <v>2022</v>
      </c>
      <c r="O1254" t="s">
        <v>13</v>
      </c>
      <c r="P1254" t="s">
        <v>265</v>
      </c>
      <c r="Q1254" t="s">
        <v>19</v>
      </c>
      <c r="R1254" t="s">
        <v>20</v>
      </c>
    </row>
    <row r="1255" spans="1:18" x14ac:dyDescent="0.25">
      <c r="A1255" t="s">
        <v>263</v>
      </c>
      <c r="B1255" t="s">
        <v>266</v>
      </c>
      <c r="C1255" t="s">
        <v>12</v>
      </c>
      <c r="D1255">
        <v>1</v>
      </c>
      <c r="E1255">
        <v>45</v>
      </c>
      <c r="F1255">
        <v>7.4974793371468298E-2</v>
      </c>
      <c r="G1255">
        <v>347</v>
      </c>
      <c r="H1255">
        <v>6.7601532284423796E-2</v>
      </c>
      <c r="I1255">
        <v>302</v>
      </c>
      <c r="L1255">
        <v>2.1834437925975302E-2</v>
      </c>
      <c r="M1255">
        <v>6.7322373058305005E-2</v>
      </c>
      <c r="N1255">
        <v>2022</v>
      </c>
      <c r="O1255" t="s">
        <v>13</v>
      </c>
      <c r="P1255" t="s">
        <v>265</v>
      </c>
      <c r="Q1255" t="s">
        <v>19</v>
      </c>
      <c r="R1255" t="s">
        <v>20</v>
      </c>
    </row>
    <row r="1256" spans="1:18" x14ac:dyDescent="0.25">
      <c r="A1256" t="s">
        <v>263</v>
      </c>
      <c r="B1256" t="s">
        <v>266</v>
      </c>
      <c r="C1256" t="s">
        <v>12</v>
      </c>
      <c r="D1256">
        <v>1</v>
      </c>
      <c r="E1256">
        <v>55</v>
      </c>
      <c r="F1256">
        <v>0.17388651114723599</v>
      </c>
      <c r="G1256">
        <v>272</v>
      </c>
      <c r="H1256">
        <v>0.13346250351858799</v>
      </c>
      <c r="I1256">
        <v>213</v>
      </c>
      <c r="L1256">
        <v>2.20911705715367E-2</v>
      </c>
      <c r="M1256">
        <v>5.2536467212193197E-2</v>
      </c>
      <c r="N1256">
        <v>2022</v>
      </c>
      <c r="O1256" t="s">
        <v>13</v>
      </c>
      <c r="P1256" t="s">
        <v>265</v>
      </c>
      <c r="Q1256" t="s">
        <v>19</v>
      </c>
      <c r="R1256" t="s">
        <v>20</v>
      </c>
    </row>
    <row r="1257" spans="1:18" x14ac:dyDescent="0.25">
      <c r="A1257" t="s">
        <v>263</v>
      </c>
      <c r="B1257" t="s">
        <v>266</v>
      </c>
      <c r="C1257" t="s">
        <v>12</v>
      </c>
      <c r="D1257">
        <v>1</v>
      </c>
      <c r="E1257">
        <v>65</v>
      </c>
      <c r="F1257">
        <v>0.28708362691260803</v>
      </c>
      <c r="G1257">
        <v>207</v>
      </c>
      <c r="H1257">
        <v>0.237298086591576</v>
      </c>
      <c r="I1257">
        <v>133</v>
      </c>
      <c r="L1257">
        <v>1.4698303492034799E-2</v>
      </c>
      <c r="M1257">
        <v>2.1202503843111599E-2</v>
      </c>
      <c r="N1257">
        <v>2022</v>
      </c>
      <c r="O1257" t="s">
        <v>13</v>
      </c>
      <c r="P1257" t="s">
        <v>265</v>
      </c>
      <c r="Q1257" t="s">
        <v>19</v>
      </c>
      <c r="R1257" t="s">
        <v>20</v>
      </c>
    </row>
    <row r="1258" spans="1:18" x14ac:dyDescent="0.25">
      <c r="A1258" t="s">
        <v>267</v>
      </c>
      <c r="B1258" t="s">
        <v>268</v>
      </c>
      <c r="C1258" t="s">
        <v>12</v>
      </c>
      <c r="D1258">
        <v>2</v>
      </c>
      <c r="E1258">
        <v>19</v>
      </c>
      <c r="J1258">
        <v>5.6703713553804901E-2</v>
      </c>
      <c r="K1258">
        <v>54</v>
      </c>
      <c r="L1258">
        <v>2.2618830002934399E-2</v>
      </c>
      <c r="M1258">
        <v>0</v>
      </c>
      <c r="N1258">
        <v>2010</v>
      </c>
      <c r="O1258" t="s">
        <v>13</v>
      </c>
      <c r="P1258" t="s">
        <v>269</v>
      </c>
      <c r="Q1258" t="s">
        <v>33</v>
      </c>
      <c r="R1258" t="s">
        <v>34</v>
      </c>
    </row>
    <row r="1259" spans="1:18" x14ac:dyDescent="0.25">
      <c r="A1259" t="s">
        <v>267</v>
      </c>
      <c r="B1259" t="s">
        <v>268</v>
      </c>
      <c r="C1259" t="s">
        <v>12</v>
      </c>
      <c r="D1259">
        <v>2</v>
      </c>
      <c r="E1259">
        <v>25</v>
      </c>
      <c r="J1259">
        <v>5.9151639803654697E-2</v>
      </c>
      <c r="K1259">
        <v>257</v>
      </c>
      <c r="L1259">
        <v>2.18593526730528E-2</v>
      </c>
      <c r="M1259">
        <v>0</v>
      </c>
      <c r="N1259">
        <v>2010</v>
      </c>
      <c r="O1259" t="s">
        <v>13</v>
      </c>
      <c r="P1259" t="s">
        <v>269</v>
      </c>
      <c r="Q1259" t="s">
        <v>33</v>
      </c>
      <c r="R1259" t="s">
        <v>34</v>
      </c>
    </row>
    <row r="1260" spans="1:18" x14ac:dyDescent="0.25">
      <c r="A1260" t="s">
        <v>267</v>
      </c>
      <c r="B1260" t="s">
        <v>268</v>
      </c>
      <c r="C1260" t="s">
        <v>12</v>
      </c>
      <c r="D1260">
        <v>2</v>
      </c>
      <c r="E1260">
        <v>35</v>
      </c>
      <c r="J1260">
        <v>8.6357628949652099E-2</v>
      </c>
      <c r="K1260">
        <v>311</v>
      </c>
      <c r="L1260">
        <v>1.9113152289856099E-2</v>
      </c>
      <c r="M1260">
        <v>0</v>
      </c>
      <c r="N1260">
        <v>2010</v>
      </c>
      <c r="O1260" t="s">
        <v>13</v>
      </c>
      <c r="P1260" t="s">
        <v>269</v>
      </c>
      <c r="Q1260" t="s">
        <v>33</v>
      </c>
      <c r="R1260" t="s">
        <v>34</v>
      </c>
    </row>
    <row r="1261" spans="1:18" x14ac:dyDescent="0.25">
      <c r="A1261" t="s">
        <v>267</v>
      </c>
      <c r="B1261" t="s">
        <v>268</v>
      </c>
      <c r="C1261" t="s">
        <v>12</v>
      </c>
      <c r="D1261">
        <v>2</v>
      </c>
      <c r="E1261">
        <v>45</v>
      </c>
      <c r="J1261">
        <v>0.102957563648295</v>
      </c>
      <c r="K1261">
        <v>324</v>
      </c>
      <c r="L1261">
        <v>1.96844783924645E-2</v>
      </c>
      <c r="M1261">
        <v>0</v>
      </c>
      <c r="N1261">
        <v>2010</v>
      </c>
      <c r="O1261" t="s">
        <v>13</v>
      </c>
      <c r="P1261" t="s">
        <v>269</v>
      </c>
      <c r="Q1261" t="s">
        <v>33</v>
      </c>
      <c r="R1261" t="s">
        <v>34</v>
      </c>
    </row>
    <row r="1262" spans="1:18" x14ac:dyDescent="0.25">
      <c r="A1262" t="s">
        <v>267</v>
      </c>
      <c r="B1262" t="s">
        <v>268</v>
      </c>
      <c r="C1262" t="s">
        <v>12</v>
      </c>
      <c r="D1262">
        <v>2</v>
      </c>
      <c r="E1262">
        <v>55</v>
      </c>
      <c r="J1262">
        <v>0.200056697741061</v>
      </c>
      <c r="K1262">
        <v>234</v>
      </c>
      <c r="L1262">
        <v>1.95189665319618E-2</v>
      </c>
      <c r="M1262">
        <v>0</v>
      </c>
      <c r="N1262">
        <v>2010</v>
      </c>
      <c r="O1262" t="s">
        <v>13</v>
      </c>
      <c r="P1262" t="s">
        <v>269</v>
      </c>
      <c r="Q1262" t="s">
        <v>33</v>
      </c>
      <c r="R1262" t="s">
        <v>34</v>
      </c>
    </row>
    <row r="1263" spans="1:18" x14ac:dyDescent="0.25">
      <c r="A1263" t="s">
        <v>267</v>
      </c>
      <c r="B1263" t="s">
        <v>268</v>
      </c>
      <c r="C1263" t="s">
        <v>12</v>
      </c>
      <c r="D1263">
        <v>2</v>
      </c>
      <c r="E1263">
        <v>62.5</v>
      </c>
      <c r="J1263">
        <v>0.170485506658409</v>
      </c>
      <c r="K1263">
        <v>87</v>
      </c>
      <c r="L1263">
        <v>1.8865583866630401E-2</v>
      </c>
      <c r="M1263">
        <v>0</v>
      </c>
      <c r="N1263">
        <v>2010</v>
      </c>
      <c r="O1263" t="s">
        <v>13</v>
      </c>
      <c r="P1263" t="s">
        <v>269</v>
      </c>
      <c r="Q1263" t="s">
        <v>33</v>
      </c>
      <c r="R1263" t="s">
        <v>34</v>
      </c>
    </row>
    <row r="1264" spans="1:18" x14ac:dyDescent="0.25">
      <c r="A1264" t="s">
        <v>267</v>
      </c>
      <c r="B1264" t="s">
        <v>268</v>
      </c>
      <c r="C1264" t="s">
        <v>12</v>
      </c>
      <c r="D1264">
        <v>1</v>
      </c>
      <c r="E1264">
        <v>19</v>
      </c>
      <c r="J1264">
        <v>4.7853781978784399E-2</v>
      </c>
      <c r="K1264">
        <v>40</v>
      </c>
      <c r="L1264">
        <v>2.07783645152456E-2</v>
      </c>
      <c r="M1264">
        <v>0</v>
      </c>
      <c r="N1264">
        <v>2010</v>
      </c>
      <c r="O1264" t="s">
        <v>13</v>
      </c>
      <c r="P1264" t="s">
        <v>269</v>
      </c>
      <c r="Q1264" t="s">
        <v>33</v>
      </c>
      <c r="R1264" t="s">
        <v>34</v>
      </c>
    </row>
    <row r="1265" spans="1:18" x14ac:dyDescent="0.25">
      <c r="A1265" t="s">
        <v>267</v>
      </c>
      <c r="B1265" t="s">
        <v>268</v>
      </c>
      <c r="C1265" t="s">
        <v>12</v>
      </c>
      <c r="D1265">
        <v>1</v>
      </c>
      <c r="E1265">
        <v>25</v>
      </c>
      <c r="J1265">
        <v>4.4198599401740299E-2</v>
      </c>
      <c r="K1265">
        <v>184</v>
      </c>
      <c r="L1265">
        <v>1.9394649986824501E-2</v>
      </c>
      <c r="M1265">
        <v>0</v>
      </c>
      <c r="N1265">
        <v>2010</v>
      </c>
      <c r="O1265" t="s">
        <v>13</v>
      </c>
      <c r="P1265" t="s">
        <v>269</v>
      </c>
      <c r="Q1265" t="s">
        <v>33</v>
      </c>
      <c r="R1265" t="s">
        <v>34</v>
      </c>
    </row>
    <row r="1266" spans="1:18" x14ac:dyDescent="0.25">
      <c r="A1266" t="s">
        <v>267</v>
      </c>
      <c r="B1266" t="s">
        <v>268</v>
      </c>
      <c r="C1266" t="s">
        <v>12</v>
      </c>
      <c r="D1266">
        <v>1</v>
      </c>
      <c r="E1266">
        <v>35</v>
      </c>
      <c r="J1266">
        <v>3.9577717370997002E-2</v>
      </c>
      <c r="K1266">
        <v>211</v>
      </c>
      <c r="L1266">
        <v>1.8152358587581598E-2</v>
      </c>
      <c r="M1266">
        <v>0</v>
      </c>
      <c r="N1266">
        <v>2010</v>
      </c>
      <c r="O1266" t="s">
        <v>13</v>
      </c>
      <c r="P1266" t="s">
        <v>269</v>
      </c>
      <c r="Q1266" t="s">
        <v>33</v>
      </c>
      <c r="R1266" t="s">
        <v>34</v>
      </c>
    </row>
    <row r="1267" spans="1:18" x14ac:dyDescent="0.25">
      <c r="A1267" t="s">
        <v>267</v>
      </c>
      <c r="B1267" t="s">
        <v>268</v>
      </c>
      <c r="C1267" t="s">
        <v>12</v>
      </c>
      <c r="D1267">
        <v>1</v>
      </c>
      <c r="E1267">
        <v>45</v>
      </c>
      <c r="J1267">
        <v>0.154097474875454</v>
      </c>
      <c r="K1267">
        <v>254</v>
      </c>
      <c r="L1267">
        <v>1.94209474532634E-2</v>
      </c>
      <c r="M1267">
        <v>0</v>
      </c>
      <c r="N1267">
        <v>2010</v>
      </c>
      <c r="O1267" t="s">
        <v>13</v>
      </c>
      <c r="P1267" t="s">
        <v>269</v>
      </c>
      <c r="Q1267" t="s">
        <v>33</v>
      </c>
      <c r="R1267" t="s">
        <v>34</v>
      </c>
    </row>
    <row r="1268" spans="1:18" x14ac:dyDescent="0.25">
      <c r="A1268" t="s">
        <v>267</v>
      </c>
      <c r="B1268" t="s">
        <v>268</v>
      </c>
      <c r="C1268" t="s">
        <v>12</v>
      </c>
      <c r="D1268">
        <v>1</v>
      </c>
      <c r="E1268">
        <v>55</v>
      </c>
      <c r="J1268">
        <v>0.19204837789418</v>
      </c>
      <c r="K1268">
        <v>190</v>
      </c>
      <c r="L1268">
        <v>1.8167756865499301E-2</v>
      </c>
      <c r="M1268">
        <v>0</v>
      </c>
      <c r="N1268">
        <v>2010</v>
      </c>
      <c r="O1268" t="s">
        <v>13</v>
      </c>
      <c r="P1268" t="s">
        <v>269</v>
      </c>
      <c r="Q1268" t="s">
        <v>33</v>
      </c>
      <c r="R1268" t="s">
        <v>34</v>
      </c>
    </row>
    <row r="1269" spans="1:18" x14ac:dyDescent="0.25">
      <c r="A1269" t="s">
        <v>267</v>
      </c>
      <c r="B1269" t="s">
        <v>268</v>
      </c>
      <c r="C1269" t="s">
        <v>12</v>
      </c>
      <c r="D1269">
        <v>1</v>
      </c>
      <c r="E1269">
        <v>62.5</v>
      </c>
      <c r="J1269">
        <v>0.38908289876906799</v>
      </c>
      <c r="K1269">
        <v>71</v>
      </c>
      <c r="L1269">
        <v>1.9087946370373102E-2</v>
      </c>
      <c r="M1269">
        <v>0</v>
      </c>
      <c r="N1269">
        <v>2010</v>
      </c>
      <c r="O1269" t="s">
        <v>13</v>
      </c>
      <c r="P1269" t="s">
        <v>269</v>
      </c>
      <c r="Q1269" t="s">
        <v>33</v>
      </c>
      <c r="R1269" t="s">
        <v>34</v>
      </c>
    </row>
    <row r="1270" spans="1:18" x14ac:dyDescent="0.25">
      <c r="A1270" t="s">
        <v>270</v>
      </c>
      <c r="B1270" t="s">
        <v>271</v>
      </c>
      <c r="C1270" t="s">
        <v>12</v>
      </c>
      <c r="D1270">
        <v>2</v>
      </c>
      <c r="E1270">
        <v>19</v>
      </c>
      <c r="F1270">
        <v>0</v>
      </c>
      <c r="G1270">
        <v>90</v>
      </c>
      <c r="H1270">
        <v>1.9839738448731301E-2</v>
      </c>
      <c r="I1270">
        <v>52</v>
      </c>
      <c r="L1270">
        <v>3.32947921291116E-2</v>
      </c>
      <c r="M1270">
        <v>0</v>
      </c>
      <c r="N1270">
        <v>2012</v>
      </c>
      <c r="O1270" t="s">
        <v>13</v>
      </c>
      <c r="P1270" t="s">
        <v>272</v>
      </c>
      <c r="Q1270" t="s">
        <v>19</v>
      </c>
      <c r="R1270" t="s">
        <v>20</v>
      </c>
    </row>
    <row r="1271" spans="1:18" x14ac:dyDescent="0.25">
      <c r="A1271" t="s">
        <v>270</v>
      </c>
      <c r="B1271" t="s">
        <v>271</v>
      </c>
      <c r="C1271" t="s">
        <v>12</v>
      </c>
      <c r="D1271">
        <v>2</v>
      </c>
      <c r="E1271">
        <v>25</v>
      </c>
      <c r="F1271">
        <v>2.8772361340503101E-2</v>
      </c>
      <c r="G1271">
        <v>286</v>
      </c>
      <c r="H1271">
        <v>3.3632939097241098E-2</v>
      </c>
      <c r="I1271">
        <v>170</v>
      </c>
      <c r="L1271">
        <v>1.84153154508571E-2</v>
      </c>
      <c r="M1271">
        <v>6.62217221211676E-2</v>
      </c>
      <c r="N1271">
        <v>2012</v>
      </c>
      <c r="O1271" t="s">
        <v>13</v>
      </c>
      <c r="P1271" t="s">
        <v>272</v>
      </c>
      <c r="Q1271" t="s">
        <v>19</v>
      </c>
      <c r="R1271" t="s">
        <v>20</v>
      </c>
    </row>
    <row r="1272" spans="1:18" x14ac:dyDescent="0.25">
      <c r="A1272" t="s">
        <v>270</v>
      </c>
      <c r="B1272" t="s">
        <v>271</v>
      </c>
      <c r="C1272" t="s">
        <v>12</v>
      </c>
      <c r="D1272">
        <v>2</v>
      </c>
      <c r="E1272">
        <v>35</v>
      </c>
      <c r="F1272">
        <v>5.0400120248414802E-2</v>
      </c>
      <c r="G1272">
        <v>364</v>
      </c>
      <c r="H1272">
        <v>7.1114103288113198E-2</v>
      </c>
      <c r="I1272">
        <v>218</v>
      </c>
      <c r="L1272">
        <v>2.33790656723473E-2</v>
      </c>
      <c r="M1272">
        <v>5.49217190612281E-2</v>
      </c>
      <c r="N1272">
        <v>2012</v>
      </c>
      <c r="O1272" t="s">
        <v>13</v>
      </c>
      <c r="P1272" t="s">
        <v>272</v>
      </c>
      <c r="Q1272" t="s">
        <v>19</v>
      </c>
      <c r="R1272" t="s">
        <v>20</v>
      </c>
    </row>
    <row r="1273" spans="1:18" x14ac:dyDescent="0.25">
      <c r="A1273" t="s">
        <v>270</v>
      </c>
      <c r="B1273" t="s">
        <v>271</v>
      </c>
      <c r="C1273" t="s">
        <v>12</v>
      </c>
      <c r="D1273">
        <v>2</v>
      </c>
      <c r="E1273">
        <v>45</v>
      </c>
      <c r="F1273">
        <v>0.18540577445957401</v>
      </c>
      <c r="G1273">
        <v>364</v>
      </c>
      <c r="H1273">
        <v>8.7444434109251803E-2</v>
      </c>
      <c r="I1273">
        <v>200</v>
      </c>
      <c r="L1273">
        <v>1.49237886038834E-2</v>
      </c>
      <c r="M1273">
        <v>7.0572184164968896E-2</v>
      </c>
      <c r="N1273">
        <v>2012</v>
      </c>
      <c r="O1273" t="s">
        <v>13</v>
      </c>
      <c r="P1273" t="s">
        <v>272</v>
      </c>
      <c r="Q1273" t="s">
        <v>19</v>
      </c>
      <c r="R1273" t="s">
        <v>20</v>
      </c>
    </row>
    <row r="1274" spans="1:18" x14ac:dyDescent="0.25">
      <c r="A1274" t="s">
        <v>270</v>
      </c>
      <c r="B1274" t="s">
        <v>271</v>
      </c>
      <c r="C1274" t="s">
        <v>12</v>
      </c>
      <c r="D1274">
        <v>2</v>
      </c>
      <c r="E1274">
        <v>55</v>
      </c>
      <c r="F1274">
        <v>0.38901646845441701</v>
      </c>
      <c r="G1274">
        <v>211</v>
      </c>
      <c r="H1274">
        <v>9.6871556239682105E-2</v>
      </c>
      <c r="I1274">
        <v>90</v>
      </c>
      <c r="L1274">
        <v>9.7683346671264097E-3</v>
      </c>
      <c r="M1274">
        <v>7.4591473494216201E-2</v>
      </c>
      <c r="N1274">
        <v>2012</v>
      </c>
      <c r="O1274" t="s">
        <v>13</v>
      </c>
      <c r="P1274" t="s">
        <v>272</v>
      </c>
      <c r="Q1274" t="s">
        <v>19</v>
      </c>
      <c r="R1274" t="s">
        <v>20</v>
      </c>
    </row>
    <row r="1275" spans="1:18" x14ac:dyDescent="0.25">
      <c r="A1275" t="s">
        <v>270</v>
      </c>
      <c r="B1275" t="s">
        <v>271</v>
      </c>
      <c r="C1275" t="s">
        <v>12</v>
      </c>
      <c r="D1275">
        <v>2</v>
      </c>
      <c r="E1275">
        <v>62.5</v>
      </c>
      <c r="F1275">
        <v>0.50287614443655404</v>
      </c>
      <c r="G1275">
        <v>64</v>
      </c>
      <c r="H1275">
        <v>0.22595204688069101</v>
      </c>
      <c r="I1275">
        <v>19</v>
      </c>
      <c r="L1275">
        <v>1.45152810164214E-2</v>
      </c>
      <c r="M1275">
        <v>3.6623644995693198E-2</v>
      </c>
      <c r="N1275">
        <v>2012</v>
      </c>
      <c r="O1275" t="s">
        <v>13</v>
      </c>
      <c r="P1275" t="s">
        <v>272</v>
      </c>
      <c r="Q1275" t="s">
        <v>19</v>
      </c>
      <c r="R1275" t="s">
        <v>20</v>
      </c>
    </row>
    <row r="1276" spans="1:18" x14ac:dyDescent="0.25">
      <c r="A1276" t="s">
        <v>270</v>
      </c>
      <c r="B1276" t="s">
        <v>271</v>
      </c>
      <c r="C1276" t="s">
        <v>12</v>
      </c>
      <c r="D1276">
        <v>1</v>
      </c>
      <c r="E1276">
        <v>19</v>
      </c>
      <c r="F1276">
        <v>3.0964041549575699E-2</v>
      </c>
      <c r="G1276">
        <v>71</v>
      </c>
      <c r="H1276">
        <v>4.9792339402185803E-2</v>
      </c>
      <c r="I1276">
        <v>33</v>
      </c>
      <c r="L1276">
        <v>2.5403133419619601E-2</v>
      </c>
      <c r="M1276">
        <v>6.5964136780597801E-2</v>
      </c>
      <c r="N1276">
        <v>2012</v>
      </c>
      <c r="O1276" t="s">
        <v>13</v>
      </c>
      <c r="P1276" t="s">
        <v>272</v>
      </c>
      <c r="Q1276" t="s">
        <v>19</v>
      </c>
      <c r="R1276" t="s">
        <v>20</v>
      </c>
    </row>
    <row r="1277" spans="1:18" x14ac:dyDescent="0.25">
      <c r="A1277" t="s">
        <v>270</v>
      </c>
      <c r="B1277" t="s">
        <v>271</v>
      </c>
      <c r="C1277" t="s">
        <v>12</v>
      </c>
      <c r="D1277">
        <v>1</v>
      </c>
      <c r="E1277">
        <v>25</v>
      </c>
      <c r="F1277">
        <v>2.2560868482074701E-2</v>
      </c>
      <c r="G1277">
        <v>228</v>
      </c>
      <c r="H1277">
        <v>4.2007965358802399E-2</v>
      </c>
      <c r="I1277">
        <v>102</v>
      </c>
      <c r="L1277">
        <v>1.1192048597563E-2</v>
      </c>
      <c r="M1277">
        <v>2.7534940839622601E-2</v>
      </c>
      <c r="N1277">
        <v>2012</v>
      </c>
      <c r="O1277" t="s">
        <v>13</v>
      </c>
      <c r="P1277" t="s">
        <v>272</v>
      </c>
      <c r="Q1277" t="s">
        <v>19</v>
      </c>
      <c r="R1277" t="s">
        <v>20</v>
      </c>
    </row>
    <row r="1278" spans="1:18" x14ac:dyDescent="0.25">
      <c r="A1278" t="s">
        <v>270</v>
      </c>
      <c r="B1278" t="s">
        <v>271</v>
      </c>
      <c r="C1278" t="s">
        <v>12</v>
      </c>
      <c r="D1278">
        <v>1</v>
      </c>
      <c r="E1278">
        <v>35</v>
      </c>
      <c r="F1278">
        <v>2.7531233496052E-2</v>
      </c>
      <c r="G1278">
        <v>258</v>
      </c>
      <c r="H1278">
        <v>4.7343583567990899E-2</v>
      </c>
      <c r="I1278">
        <v>131</v>
      </c>
      <c r="L1278">
        <v>2.3078924274270399E-2</v>
      </c>
      <c r="M1278">
        <v>5.79686995283984E-2</v>
      </c>
      <c r="N1278">
        <v>2012</v>
      </c>
      <c r="O1278" t="s">
        <v>13</v>
      </c>
      <c r="P1278" t="s">
        <v>272</v>
      </c>
      <c r="Q1278" t="s">
        <v>19</v>
      </c>
      <c r="R1278" t="s">
        <v>20</v>
      </c>
    </row>
    <row r="1279" spans="1:18" x14ac:dyDescent="0.25">
      <c r="A1279" t="s">
        <v>270</v>
      </c>
      <c r="B1279" t="s">
        <v>271</v>
      </c>
      <c r="C1279" t="s">
        <v>12</v>
      </c>
      <c r="D1279">
        <v>1</v>
      </c>
      <c r="E1279">
        <v>45</v>
      </c>
      <c r="F1279">
        <v>0.18918579892158</v>
      </c>
      <c r="G1279">
        <v>274</v>
      </c>
      <c r="H1279">
        <v>8.2597613455788102E-2</v>
      </c>
      <c r="I1279">
        <v>128</v>
      </c>
      <c r="L1279">
        <v>1.21933350127339E-2</v>
      </c>
      <c r="M1279">
        <v>6.3090934245600402E-2</v>
      </c>
      <c r="N1279">
        <v>2012</v>
      </c>
      <c r="O1279" t="s">
        <v>13</v>
      </c>
      <c r="P1279" t="s">
        <v>272</v>
      </c>
      <c r="Q1279" t="s">
        <v>19</v>
      </c>
      <c r="R1279" t="s">
        <v>20</v>
      </c>
    </row>
    <row r="1280" spans="1:18" x14ac:dyDescent="0.25">
      <c r="A1280" t="s">
        <v>270</v>
      </c>
      <c r="B1280" t="s">
        <v>271</v>
      </c>
      <c r="C1280" t="s">
        <v>12</v>
      </c>
      <c r="D1280">
        <v>1</v>
      </c>
      <c r="E1280">
        <v>55</v>
      </c>
      <c r="F1280">
        <v>0.31455936603491302</v>
      </c>
      <c r="G1280">
        <v>162</v>
      </c>
      <c r="H1280">
        <v>0.20114346236745101</v>
      </c>
      <c r="I1280">
        <v>61</v>
      </c>
      <c r="L1280">
        <v>1.09084087230947E-2</v>
      </c>
      <c r="M1280">
        <v>2.2367845680365799E-2</v>
      </c>
      <c r="N1280">
        <v>2012</v>
      </c>
      <c r="O1280" t="s">
        <v>13</v>
      </c>
      <c r="P1280" t="s">
        <v>272</v>
      </c>
      <c r="Q1280" t="s">
        <v>19</v>
      </c>
      <c r="R1280" t="s">
        <v>20</v>
      </c>
    </row>
    <row r="1281" spans="1:18" x14ac:dyDescent="0.25">
      <c r="A1281" t="s">
        <v>270</v>
      </c>
      <c r="B1281" t="s">
        <v>271</v>
      </c>
      <c r="C1281" t="s">
        <v>12</v>
      </c>
      <c r="D1281">
        <v>1</v>
      </c>
      <c r="E1281">
        <v>62.5</v>
      </c>
      <c r="F1281">
        <v>0.51015534141968399</v>
      </c>
      <c r="G1281">
        <v>60</v>
      </c>
      <c r="H1281">
        <v>0.29831847482354601</v>
      </c>
      <c r="I1281">
        <v>20</v>
      </c>
      <c r="L1281">
        <v>5.6474123486150501E-3</v>
      </c>
      <c r="M1281">
        <v>8.3067902711793807E-3</v>
      </c>
      <c r="N1281">
        <v>2012</v>
      </c>
      <c r="O1281" t="s">
        <v>13</v>
      </c>
      <c r="P1281" t="s">
        <v>272</v>
      </c>
      <c r="Q1281" t="s">
        <v>19</v>
      </c>
      <c r="R1281" t="s">
        <v>20</v>
      </c>
    </row>
    <row r="1282" spans="1:18" x14ac:dyDescent="0.25">
      <c r="A1282" t="s">
        <v>273</v>
      </c>
      <c r="B1282" t="s">
        <v>274</v>
      </c>
      <c r="C1282" t="s">
        <v>12</v>
      </c>
      <c r="D1282">
        <v>2</v>
      </c>
      <c r="E1282">
        <v>19</v>
      </c>
      <c r="F1282">
        <v>0</v>
      </c>
      <c r="G1282">
        <v>174</v>
      </c>
      <c r="H1282">
        <v>3.1022610673308599E-3</v>
      </c>
      <c r="I1282">
        <v>155</v>
      </c>
      <c r="L1282">
        <v>0.111040006691441</v>
      </c>
      <c r="M1282">
        <v>0</v>
      </c>
      <c r="N1282">
        <v>2012</v>
      </c>
      <c r="O1282" t="s">
        <v>13</v>
      </c>
      <c r="P1282" t="s">
        <v>275</v>
      </c>
      <c r="Q1282" t="s">
        <v>94</v>
      </c>
      <c r="R1282" t="s">
        <v>44</v>
      </c>
    </row>
    <row r="1283" spans="1:18" x14ac:dyDescent="0.25">
      <c r="A1283" t="s">
        <v>273</v>
      </c>
      <c r="B1283" t="s">
        <v>274</v>
      </c>
      <c r="C1283" t="s">
        <v>12</v>
      </c>
      <c r="D1283">
        <v>2</v>
      </c>
      <c r="E1283">
        <v>25</v>
      </c>
      <c r="F1283">
        <v>1.8562882213097999E-3</v>
      </c>
      <c r="G1283">
        <v>1126</v>
      </c>
      <c r="H1283">
        <v>1.3493326038865199E-2</v>
      </c>
      <c r="I1283">
        <v>1021</v>
      </c>
      <c r="L1283">
        <v>1.3925567791445799E-2</v>
      </c>
      <c r="M1283">
        <v>2.4722021746617098E-2</v>
      </c>
      <c r="N1283">
        <v>2012</v>
      </c>
      <c r="O1283" t="s">
        <v>13</v>
      </c>
      <c r="P1283" t="s">
        <v>275</v>
      </c>
      <c r="Q1283" t="s">
        <v>94</v>
      </c>
      <c r="R1283" t="s">
        <v>44</v>
      </c>
    </row>
    <row r="1284" spans="1:18" x14ac:dyDescent="0.25">
      <c r="A1284" t="s">
        <v>273</v>
      </c>
      <c r="B1284" t="s">
        <v>274</v>
      </c>
      <c r="C1284" t="s">
        <v>12</v>
      </c>
      <c r="D1284">
        <v>2</v>
      </c>
      <c r="E1284">
        <v>35</v>
      </c>
      <c r="F1284">
        <v>9.0809499541134897E-4</v>
      </c>
      <c r="G1284">
        <v>1195</v>
      </c>
      <c r="H1284">
        <v>1.6848305210187601E-2</v>
      </c>
      <c r="I1284">
        <v>1100</v>
      </c>
      <c r="L1284">
        <v>2.6835132577706498E-2</v>
      </c>
      <c r="M1284">
        <v>3.1120368573569899E-2</v>
      </c>
      <c r="N1284">
        <v>2012</v>
      </c>
      <c r="O1284" t="s">
        <v>13</v>
      </c>
      <c r="P1284" t="s">
        <v>275</v>
      </c>
      <c r="Q1284" t="s">
        <v>94</v>
      </c>
      <c r="R1284" t="s">
        <v>44</v>
      </c>
    </row>
    <row r="1285" spans="1:18" x14ac:dyDescent="0.25">
      <c r="A1285" t="s">
        <v>273</v>
      </c>
      <c r="B1285" t="s">
        <v>274</v>
      </c>
      <c r="C1285" t="s">
        <v>12</v>
      </c>
      <c r="D1285">
        <v>2</v>
      </c>
      <c r="E1285">
        <v>45</v>
      </c>
      <c r="F1285">
        <v>2.7648446128362299E-3</v>
      </c>
      <c r="G1285">
        <v>774</v>
      </c>
      <c r="H1285">
        <v>2.83207580224073E-2</v>
      </c>
      <c r="I1285">
        <v>720</v>
      </c>
      <c r="L1285">
        <v>1.9699883742715699E-2</v>
      </c>
      <c r="M1285">
        <v>2.43393107844211E-2</v>
      </c>
      <c r="N1285">
        <v>2012</v>
      </c>
      <c r="O1285" t="s">
        <v>13</v>
      </c>
      <c r="P1285" t="s">
        <v>275</v>
      </c>
      <c r="Q1285" t="s">
        <v>94</v>
      </c>
      <c r="R1285" t="s">
        <v>44</v>
      </c>
    </row>
    <row r="1286" spans="1:18" x14ac:dyDescent="0.25">
      <c r="A1286" t="s">
        <v>273</v>
      </c>
      <c r="B1286" t="s">
        <v>274</v>
      </c>
      <c r="C1286" t="s">
        <v>12</v>
      </c>
      <c r="D1286">
        <v>2</v>
      </c>
      <c r="E1286">
        <v>55</v>
      </c>
      <c r="F1286">
        <v>4.9322616692562202E-3</v>
      </c>
      <c r="G1286">
        <v>586</v>
      </c>
      <c r="H1286">
        <v>3.7139524763985597E-2</v>
      </c>
      <c r="I1286">
        <v>550</v>
      </c>
      <c r="L1286">
        <v>2.27124252031474E-2</v>
      </c>
      <c r="M1286">
        <v>2.9009016071628001E-2</v>
      </c>
      <c r="N1286">
        <v>2012</v>
      </c>
      <c r="O1286" t="s">
        <v>13</v>
      </c>
      <c r="P1286" t="s">
        <v>275</v>
      </c>
      <c r="Q1286" t="s">
        <v>94</v>
      </c>
      <c r="R1286" t="s">
        <v>44</v>
      </c>
    </row>
    <row r="1287" spans="1:18" x14ac:dyDescent="0.25">
      <c r="A1287" t="s">
        <v>273</v>
      </c>
      <c r="B1287" t="s">
        <v>274</v>
      </c>
      <c r="C1287" t="s">
        <v>12</v>
      </c>
      <c r="D1287">
        <v>2</v>
      </c>
      <c r="E1287">
        <v>62.5</v>
      </c>
      <c r="F1287">
        <v>9.6328325375153907E-3</v>
      </c>
      <c r="G1287">
        <v>211</v>
      </c>
      <c r="H1287">
        <v>3.9575486798565998E-2</v>
      </c>
      <c r="I1287">
        <v>200</v>
      </c>
      <c r="L1287">
        <v>2.4382283181006201E-2</v>
      </c>
      <c r="M1287">
        <v>3.9547058081998501E-2</v>
      </c>
      <c r="N1287">
        <v>2012</v>
      </c>
      <c r="O1287" t="s">
        <v>13</v>
      </c>
      <c r="P1287" t="s">
        <v>275</v>
      </c>
      <c r="Q1287" t="s">
        <v>94</v>
      </c>
      <c r="R1287" t="s">
        <v>44</v>
      </c>
    </row>
    <row r="1288" spans="1:18" x14ac:dyDescent="0.25">
      <c r="A1288" t="s">
        <v>273</v>
      </c>
      <c r="B1288" t="s">
        <v>274</v>
      </c>
      <c r="C1288" t="s">
        <v>12</v>
      </c>
      <c r="D1288">
        <v>1</v>
      </c>
      <c r="E1288">
        <v>19</v>
      </c>
      <c r="F1288">
        <v>0</v>
      </c>
      <c r="G1288">
        <v>107</v>
      </c>
      <c r="H1288">
        <v>1.4302516755236101E-2</v>
      </c>
      <c r="I1288">
        <v>94</v>
      </c>
      <c r="L1288">
        <v>1.29599535059044E-2</v>
      </c>
      <c r="M1288">
        <v>0</v>
      </c>
      <c r="N1288">
        <v>2012</v>
      </c>
      <c r="O1288" t="s">
        <v>13</v>
      </c>
      <c r="P1288" t="s">
        <v>275</v>
      </c>
      <c r="Q1288" t="s">
        <v>94</v>
      </c>
      <c r="R1288" t="s">
        <v>44</v>
      </c>
    </row>
    <row r="1289" spans="1:18" x14ac:dyDescent="0.25">
      <c r="A1289" t="s">
        <v>273</v>
      </c>
      <c r="B1289" t="s">
        <v>274</v>
      </c>
      <c r="C1289" t="s">
        <v>12</v>
      </c>
      <c r="D1289">
        <v>1</v>
      </c>
      <c r="E1289">
        <v>25</v>
      </c>
      <c r="F1289">
        <v>1.92982991514612E-3</v>
      </c>
      <c r="G1289">
        <v>750</v>
      </c>
      <c r="H1289">
        <v>1.7446545069916899E-2</v>
      </c>
      <c r="I1289">
        <v>677</v>
      </c>
      <c r="L1289">
        <v>9.9866602639427891E-3</v>
      </c>
      <c r="M1289">
        <v>1.5285479690223199E-2</v>
      </c>
      <c r="N1289">
        <v>2012</v>
      </c>
      <c r="O1289" t="s">
        <v>13</v>
      </c>
      <c r="P1289" t="s">
        <v>275</v>
      </c>
      <c r="Q1289" t="s">
        <v>94</v>
      </c>
      <c r="R1289" t="s">
        <v>44</v>
      </c>
    </row>
    <row r="1290" spans="1:18" x14ac:dyDescent="0.25">
      <c r="A1290" t="s">
        <v>273</v>
      </c>
      <c r="B1290" t="s">
        <v>274</v>
      </c>
      <c r="C1290" t="s">
        <v>12</v>
      </c>
      <c r="D1290">
        <v>1</v>
      </c>
      <c r="E1290">
        <v>35</v>
      </c>
      <c r="F1290">
        <v>1.3508477821917099E-3</v>
      </c>
      <c r="G1290">
        <v>786</v>
      </c>
      <c r="H1290">
        <v>9.5515225508225592E-3</v>
      </c>
      <c r="I1290">
        <v>714</v>
      </c>
      <c r="L1290">
        <v>4.1184751795401903E-2</v>
      </c>
      <c r="M1290">
        <v>8.3303923028016397E-2</v>
      </c>
      <c r="N1290">
        <v>2012</v>
      </c>
      <c r="O1290" t="s">
        <v>13</v>
      </c>
      <c r="P1290" t="s">
        <v>275</v>
      </c>
      <c r="Q1290" t="s">
        <v>94</v>
      </c>
      <c r="R1290" t="s">
        <v>44</v>
      </c>
    </row>
    <row r="1291" spans="1:18" x14ac:dyDescent="0.25">
      <c r="A1291" t="s">
        <v>273</v>
      </c>
      <c r="B1291" t="s">
        <v>274</v>
      </c>
      <c r="C1291" t="s">
        <v>12</v>
      </c>
      <c r="D1291">
        <v>1</v>
      </c>
      <c r="E1291">
        <v>45</v>
      </c>
      <c r="F1291">
        <v>4.2782947518170402E-3</v>
      </c>
      <c r="G1291">
        <v>467</v>
      </c>
      <c r="H1291">
        <v>3.2994682400678099E-2</v>
      </c>
      <c r="I1291">
        <v>424</v>
      </c>
      <c r="L1291">
        <v>1.4758703300690399E-2</v>
      </c>
      <c r="M1291">
        <v>1.9929439709956101E-2</v>
      </c>
      <c r="N1291">
        <v>2012</v>
      </c>
      <c r="O1291" t="s">
        <v>13</v>
      </c>
      <c r="P1291" t="s">
        <v>275</v>
      </c>
      <c r="Q1291" t="s">
        <v>94</v>
      </c>
      <c r="R1291" t="s">
        <v>44</v>
      </c>
    </row>
    <row r="1292" spans="1:18" x14ac:dyDescent="0.25">
      <c r="A1292" t="s">
        <v>273</v>
      </c>
      <c r="B1292" t="s">
        <v>274</v>
      </c>
      <c r="C1292" t="s">
        <v>12</v>
      </c>
      <c r="D1292">
        <v>1</v>
      </c>
      <c r="E1292">
        <v>55</v>
      </c>
      <c r="F1292">
        <v>6.6924906752165603E-3</v>
      </c>
      <c r="G1292">
        <v>308</v>
      </c>
      <c r="H1292">
        <v>2.0675265006705301E-2</v>
      </c>
      <c r="I1292">
        <v>287</v>
      </c>
      <c r="L1292">
        <v>2.9974223568972901E-2</v>
      </c>
      <c r="M1292">
        <v>7.1284347134410703E-2</v>
      </c>
      <c r="N1292">
        <v>2012</v>
      </c>
      <c r="O1292" t="s">
        <v>13</v>
      </c>
      <c r="P1292" t="s">
        <v>275</v>
      </c>
      <c r="Q1292" t="s">
        <v>94</v>
      </c>
      <c r="R1292" t="s">
        <v>44</v>
      </c>
    </row>
    <row r="1293" spans="1:18" x14ac:dyDescent="0.25">
      <c r="A1293" t="s">
        <v>273</v>
      </c>
      <c r="B1293" t="s">
        <v>274</v>
      </c>
      <c r="C1293" t="s">
        <v>12</v>
      </c>
      <c r="D1293">
        <v>1</v>
      </c>
      <c r="E1293">
        <v>62.5</v>
      </c>
      <c r="F1293">
        <v>0</v>
      </c>
      <c r="G1293">
        <v>106</v>
      </c>
      <c r="H1293">
        <v>5.2445914531494303E-2</v>
      </c>
      <c r="I1293">
        <v>100</v>
      </c>
      <c r="L1293">
        <v>1.93702301014501E-2</v>
      </c>
      <c r="M1293">
        <v>0</v>
      </c>
      <c r="N1293">
        <v>2012</v>
      </c>
      <c r="O1293" t="s">
        <v>13</v>
      </c>
      <c r="P1293" t="s">
        <v>275</v>
      </c>
      <c r="Q1293" t="s">
        <v>94</v>
      </c>
      <c r="R1293" t="s">
        <v>44</v>
      </c>
    </row>
    <row r="1294" spans="1:18" x14ac:dyDescent="0.25">
      <c r="A1294" t="s">
        <v>273</v>
      </c>
      <c r="B1294" t="s">
        <v>276</v>
      </c>
      <c r="C1294" t="s">
        <v>12</v>
      </c>
      <c r="D1294">
        <v>2</v>
      </c>
      <c r="E1294">
        <v>19</v>
      </c>
      <c r="F1294">
        <v>0</v>
      </c>
      <c r="G1294">
        <v>78</v>
      </c>
      <c r="H1294">
        <v>7.08785522776763E-3</v>
      </c>
      <c r="I1294">
        <v>74</v>
      </c>
      <c r="L1294">
        <v>0.139195638431972</v>
      </c>
      <c r="M1294">
        <v>0</v>
      </c>
      <c r="N1294">
        <v>2021</v>
      </c>
      <c r="O1294" t="s">
        <v>13</v>
      </c>
      <c r="P1294" t="s">
        <v>275</v>
      </c>
      <c r="Q1294" t="s">
        <v>94</v>
      </c>
      <c r="R1294" t="s">
        <v>44</v>
      </c>
    </row>
    <row r="1295" spans="1:18" x14ac:dyDescent="0.25">
      <c r="A1295" t="s">
        <v>273</v>
      </c>
      <c r="B1295" t="s">
        <v>276</v>
      </c>
      <c r="C1295" t="s">
        <v>12</v>
      </c>
      <c r="D1295">
        <v>2</v>
      </c>
      <c r="E1295">
        <v>25</v>
      </c>
      <c r="F1295">
        <v>0</v>
      </c>
      <c r="G1295">
        <v>674</v>
      </c>
      <c r="H1295">
        <v>2.63279642098476E-2</v>
      </c>
      <c r="I1295">
        <v>616</v>
      </c>
      <c r="L1295">
        <v>4.3073787051405597E-2</v>
      </c>
      <c r="M1295">
        <v>0</v>
      </c>
      <c r="N1295">
        <v>2021</v>
      </c>
      <c r="O1295" t="s">
        <v>13</v>
      </c>
      <c r="P1295" t="s">
        <v>275</v>
      </c>
      <c r="Q1295" t="s">
        <v>94</v>
      </c>
      <c r="R1295" t="s">
        <v>44</v>
      </c>
    </row>
    <row r="1296" spans="1:18" x14ac:dyDescent="0.25">
      <c r="A1296" t="s">
        <v>273</v>
      </c>
      <c r="B1296" t="s">
        <v>276</v>
      </c>
      <c r="C1296" t="s">
        <v>12</v>
      </c>
      <c r="D1296">
        <v>2</v>
      </c>
      <c r="E1296">
        <v>35</v>
      </c>
      <c r="F1296">
        <v>4.5574376111297997E-3</v>
      </c>
      <c r="G1296">
        <v>901</v>
      </c>
      <c r="H1296">
        <v>3.4072507170085697E-2</v>
      </c>
      <c r="I1296">
        <v>829</v>
      </c>
      <c r="L1296">
        <v>5.2219916853645298E-2</v>
      </c>
      <c r="M1296">
        <v>6.6234777305590103E-2</v>
      </c>
      <c r="N1296">
        <v>2021</v>
      </c>
      <c r="O1296" t="s">
        <v>13</v>
      </c>
      <c r="P1296" t="s">
        <v>275</v>
      </c>
      <c r="Q1296" t="s">
        <v>94</v>
      </c>
      <c r="R1296" t="s">
        <v>44</v>
      </c>
    </row>
    <row r="1297" spans="1:18" x14ac:dyDescent="0.25">
      <c r="A1297" t="s">
        <v>273</v>
      </c>
      <c r="B1297" t="s">
        <v>276</v>
      </c>
      <c r="C1297" t="s">
        <v>12</v>
      </c>
      <c r="D1297">
        <v>2</v>
      </c>
      <c r="E1297">
        <v>45</v>
      </c>
      <c r="F1297">
        <v>2.66637969764493E-2</v>
      </c>
      <c r="G1297">
        <v>763</v>
      </c>
      <c r="H1297">
        <v>5.16793817127017E-2</v>
      </c>
      <c r="I1297">
        <v>701</v>
      </c>
      <c r="L1297">
        <v>4.05807127889172E-2</v>
      </c>
      <c r="M1297">
        <v>8.7965443990047298E-2</v>
      </c>
      <c r="N1297">
        <v>2021</v>
      </c>
      <c r="O1297" t="s">
        <v>13</v>
      </c>
      <c r="P1297" t="s">
        <v>275</v>
      </c>
      <c r="Q1297" t="s">
        <v>94</v>
      </c>
      <c r="R1297" t="s">
        <v>44</v>
      </c>
    </row>
    <row r="1298" spans="1:18" x14ac:dyDescent="0.25">
      <c r="A1298" t="s">
        <v>273</v>
      </c>
      <c r="B1298" t="s">
        <v>276</v>
      </c>
      <c r="C1298" t="s">
        <v>12</v>
      </c>
      <c r="D1298">
        <v>2</v>
      </c>
      <c r="E1298">
        <v>55</v>
      </c>
      <c r="F1298">
        <v>1.9525204974240699E-2</v>
      </c>
      <c r="G1298">
        <v>512</v>
      </c>
      <c r="H1298">
        <v>8.1885169425568297E-2</v>
      </c>
      <c r="I1298">
        <v>462</v>
      </c>
      <c r="L1298">
        <v>4.19054186218593E-2</v>
      </c>
      <c r="M1298">
        <v>4.7223460660812101E-2</v>
      </c>
      <c r="N1298">
        <v>2021</v>
      </c>
      <c r="O1298" t="s">
        <v>13</v>
      </c>
      <c r="P1298" t="s">
        <v>275</v>
      </c>
      <c r="Q1298" t="s">
        <v>94</v>
      </c>
      <c r="R1298" t="s">
        <v>44</v>
      </c>
    </row>
    <row r="1299" spans="1:18" x14ac:dyDescent="0.25">
      <c r="A1299" t="s">
        <v>273</v>
      </c>
      <c r="B1299" t="s">
        <v>276</v>
      </c>
      <c r="C1299" t="s">
        <v>12</v>
      </c>
      <c r="D1299">
        <v>2</v>
      </c>
      <c r="E1299">
        <v>65</v>
      </c>
      <c r="F1299">
        <v>2.8522151322527299E-2</v>
      </c>
      <c r="G1299">
        <v>461</v>
      </c>
      <c r="H1299">
        <v>8.9591732120929496E-2</v>
      </c>
      <c r="I1299">
        <v>415</v>
      </c>
      <c r="L1299">
        <v>4.7445741538706503E-2</v>
      </c>
      <c r="M1299">
        <v>6.0048798474644699E-2</v>
      </c>
      <c r="N1299">
        <v>2021</v>
      </c>
      <c r="O1299" t="s">
        <v>13</v>
      </c>
      <c r="P1299" t="s">
        <v>275</v>
      </c>
      <c r="Q1299" t="s">
        <v>94</v>
      </c>
      <c r="R1299" t="s">
        <v>44</v>
      </c>
    </row>
    <row r="1300" spans="1:18" x14ac:dyDescent="0.25">
      <c r="A1300" t="s">
        <v>273</v>
      </c>
      <c r="B1300" t="s">
        <v>276</v>
      </c>
      <c r="C1300" t="s">
        <v>12</v>
      </c>
      <c r="D1300">
        <v>1</v>
      </c>
      <c r="E1300">
        <v>19</v>
      </c>
      <c r="F1300">
        <v>0</v>
      </c>
      <c r="G1300">
        <v>79</v>
      </c>
      <c r="H1300">
        <v>6.3353469651532103E-3</v>
      </c>
      <c r="I1300">
        <v>69</v>
      </c>
      <c r="L1300">
        <v>0.13320507694028499</v>
      </c>
      <c r="M1300">
        <v>0</v>
      </c>
      <c r="N1300">
        <v>2021</v>
      </c>
      <c r="O1300" t="s">
        <v>13</v>
      </c>
      <c r="P1300" t="s">
        <v>275</v>
      </c>
      <c r="Q1300" t="s">
        <v>94</v>
      </c>
      <c r="R1300" t="s">
        <v>44</v>
      </c>
    </row>
    <row r="1301" spans="1:18" x14ac:dyDescent="0.25">
      <c r="A1301" t="s">
        <v>273</v>
      </c>
      <c r="B1301" t="s">
        <v>276</v>
      </c>
      <c r="C1301" t="s">
        <v>12</v>
      </c>
      <c r="D1301">
        <v>1</v>
      </c>
      <c r="E1301">
        <v>25</v>
      </c>
      <c r="F1301">
        <v>0</v>
      </c>
      <c r="G1301">
        <v>418</v>
      </c>
      <c r="H1301">
        <v>3.1925340920637202E-2</v>
      </c>
      <c r="I1301">
        <v>371</v>
      </c>
      <c r="L1301">
        <v>2.5226864066218099E-2</v>
      </c>
      <c r="M1301">
        <v>0</v>
      </c>
      <c r="N1301">
        <v>2021</v>
      </c>
      <c r="O1301" t="s">
        <v>13</v>
      </c>
      <c r="P1301" t="s">
        <v>275</v>
      </c>
      <c r="Q1301" t="s">
        <v>94</v>
      </c>
      <c r="R1301" t="s">
        <v>44</v>
      </c>
    </row>
    <row r="1302" spans="1:18" x14ac:dyDescent="0.25">
      <c r="A1302" t="s">
        <v>273</v>
      </c>
      <c r="B1302" t="s">
        <v>276</v>
      </c>
      <c r="C1302" t="s">
        <v>12</v>
      </c>
      <c r="D1302">
        <v>1</v>
      </c>
      <c r="E1302">
        <v>35</v>
      </c>
      <c r="F1302">
        <v>1.81049930734254E-3</v>
      </c>
      <c r="G1302">
        <v>636</v>
      </c>
      <c r="H1302">
        <v>3.4356045265750701E-2</v>
      </c>
      <c r="I1302">
        <v>572</v>
      </c>
      <c r="L1302">
        <v>3.5796388252665297E-2</v>
      </c>
      <c r="M1302">
        <v>3.1273139706319397E-2</v>
      </c>
      <c r="N1302">
        <v>2021</v>
      </c>
      <c r="O1302" t="s">
        <v>13</v>
      </c>
      <c r="P1302" t="s">
        <v>275</v>
      </c>
      <c r="Q1302" t="s">
        <v>94</v>
      </c>
      <c r="R1302" t="s">
        <v>44</v>
      </c>
    </row>
    <row r="1303" spans="1:18" x14ac:dyDescent="0.25">
      <c r="A1303" t="s">
        <v>273</v>
      </c>
      <c r="B1303" t="s">
        <v>276</v>
      </c>
      <c r="C1303" t="s">
        <v>12</v>
      </c>
      <c r="D1303">
        <v>1</v>
      </c>
      <c r="E1303">
        <v>45</v>
      </c>
      <c r="F1303">
        <v>1.6112659274235999E-3</v>
      </c>
      <c r="G1303">
        <v>499</v>
      </c>
      <c r="H1303">
        <v>4.8047175863450399E-2</v>
      </c>
      <c r="I1303">
        <v>449</v>
      </c>
      <c r="L1303">
        <v>4.5100749304909399E-2</v>
      </c>
      <c r="M1303">
        <v>2.95689378159785E-2</v>
      </c>
      <c r="N1303">
        <v>2021</v>
      </c>
      <c r="O1303" t="s">
        <v>13</v>
      </c>
      <c r="P1303" t="s">
        <v>275</v>
      </c>
      <c r="Q1303" t="s">
        <v>94</v>
      </c>
      <c r="R1303" t="s">
        <v>44</v>
      </c>
    </row>
    <row r="1304" spans="1:18" x14ac:dyDescent="0.25">
      <c r="A1304" t="s">
        <v>273</v>
      </c>
      <c r="B1304" t="s">
        <v>276</v>
      </c>
      <c r="C1304" t="s">
        <v>12</v>
      </c>
      <c r="D1304">
        <v>1</v>
      </c>
      <c r="E1304">
        <v>55</v>
      </c>
      <c r="F1304">
        <v>2.16324655566991E-2</v>
      </c>
      <c r="G1304">
        <v>269</v>
      </c>
      <c r="H1304">
        <v>5.6000882674190899E-2</v>
      </c>
      <c r="I1304">
        <v>241</v>
      </c>
      <c r="L1304">
        <v>3.0806069842664902E-2</v>
      </c>
      <c r="M1304">
        <v>5.2618614070317503E-2</v>
      </c>
      <c r="N1304">
        <v>2021</v>
      </c>
      <c r="O1304" t="s">
        <v>13</v>
      </c>
      <c r="P1304" t="s">
        <v>275</v>
      </c>
      <c r="Q1304" t="s">
        <v>94</v>
      </c>
      <c r="R1304" t="s">
        <v>44</v>
      </c>
    </row>
    <row r="1305" spans="1:18" x14ac:dyDescent="0.25">
      <c r="A1305" t="s">
        <v>273</v>
      </c>
      <c r="B1305" t="s">
        <v>276</v>
      </c>
      <c r="C1305" t="s">
        <v>12</v>
      </c>
      <c r="D1305">
        <v>1</v>
      </c>
      <c r="E1305">
        <v>65</v>
      </c>
      <c r="F1305">
        <v>5.69040777762335E-3</v>
      </c>
      <c r="G1305">
        <v>229</v>
      </c>
      <c r="H1305">
        <v>7.3380125044682706E-2</v>
      </c>
      <c r="I1305">
        <v>209</v>
      </c>
      <c r="L1305">
        <v>5.4313498625669102E-2</v>
      </c>
      <c r="M1305">
        <v>4.05855391112988E-2</v>
      </c>
      <c r="N1305">
        <v>2021</v>
      </c>
      <c r="O1305" t="s">
        <v>13</v>
      </c>
      <c r="P1305" t="s">
        <v>275</v>
      </c>
      <c r="Q1305" t="s">
        <v>94</v>
      </c>
      <c r="R1305" t="s">
        <v>44</v>
      </c>
    </row>
    <row r="1306" spans="1:18" x14ac:dyDescent="0.25">
      <c r="A1306" t="s">
        <v>277</v>
      </c>
      <c r="B1306" t="s">
        <v>278</v>
      </c>
      <c r="C1306" t="s">
        <v>12</v>
      </c>
      <c r="D1306">
        <v>2</v>
      </c>
      <c r="E1306">
        <v>19</v>
      </c>
      <c r="F1306">
        <v>1.46633999394261E-2</v>
      </c>
      <c r="G1306">
        <v>236</v>
      </c>
      <c r="H1306">
        <v>2.2214815375976901E-2</v>
      </c>
      <c r="I1306">
        <v>215</v>
      </c>
      <c r="L1306">
        <v>5.4686239980647703E-3</v>
      </c>
      <c r="M1306">
        <v>2.0393252508280099E-2</v>
      </c>
      <c r="N1306">
        <v>2016</v>
      </c>
      <c r="O1306" t="s">
        <v>13</v>
      </c>
      <c r="P1306" t="s">
        <v>279</v>
      </c>
      <c r="Q1306" t="s">
        <v>94</v>
      </c>
      <c r="R1306" t="s">
        <v>44</v>
      </c>
    </row>
    <row r="1307" spans="1:18" x14ac:dyDescent="0.25">
      <c r="A1307" t="s">
        <v>277</v>
      </c>
      <c r="B1307" t="s">
        <v>278</v>
      </c>
      <c r="C1307" t="s">
        <v>12</v>
      </c>
      <c r="D1307">
        <v>2</v>
      </c>
      <c r="E1307">
        <v>25</v>
      </c>
      <c r="F1307">
        <v>6.7064616310418702E-3</v>
      </c>
      <c r="G1307">
        <v>1223</v>
      </c>
      <c r="H1307">
        <v>2.9127617640620499E-2</v>
      </c>
      <c r="I1307">
        <v>1066</v>
      </c>
      <c r="L1307">
        <v>1.39664005019201E-2</v>
      </c>
      <c r="M1307">
        <v>2.5164335769201001E-2</v>
      </c>
      <c r="N1307">
        <v>2016</v>
      </c>
      <c r="O1307" t="s">
        <v>13</v>
      </c>
      <c r="P1307" t="s">
        <v>279</v>
      </c>
      <c r="Q1307" t="s">
        <v>94</v>
      </c>
      <c r="R1307" t="s">
        <v>44</v>
      </c>
    </row>
    <row r="1308" spans="1:18" x14ac:dyDescent="0.25">
      <c r="A1308" t="s">
        <v>277</v>
      </c>
      <c r="B1308" t="s">
        <v>278</v>
      </c>
      <c r="C1308" t="s">
        <v>12</v>
      </c>
      <c r="D1308">
        <v>2</v>
      </c>
      <c r="E1308">
        <v>35</v>
      </c>
      <c r="F1308">
        <v>1.3111624002403E-2</v>
      </c>
      <c r="G1308">
        <v>1256</v>
      </c>
      <c r="H1308">
        <v>5.7070915132916601E-2</v>
      </c>
      <c r="I1308">
        <v>1130</v>
      </c>
      <c r="L1308">
        <v>1.34634514015125E-2</v>
      </c>
      <c r="M1308">
        <v>1.8550070212856599E-2</v>
      </c>
      <c r="N1308">
        <v>2016</v>
      </c>
      <c r="O1308" t="s">
        <v>13</v>
      </c>
      <c r="P1308" t="s">
        <v>279</v>
      </c>
      <c r="Q1308" t="s">
        <v>94</v>
      </c>
      <c r="R1308" t="s">
        <v>44</v>
      </c>
    </row>
    <row r="1309" spans="1:18" x14ac:dyDescent="0.25">
      <c r="A1309" t="s">
        <v>277</v>
      </c>
      <c r="B1309" t="s">
        <v>278</v>
      </c>
      <c r="C1309" t="s">
        <v>12</v>
      </c>
      <c r="D1309">
        <v>2</v>
      </c>
      <c r="E1309">
        <v>45</v>
      </c>
      <c r="F1309">
        <v>4.85888697229536E-2</v>
      </c>
      <c r="G1309">
        <v>897</v>
      </c>
      <c r="H1309">
        <v>9.4220736056565196E-2</v>
      </c>
      <c r="I1309">
        <v>783</v>
      </c>
      <c r="L1309">
        <v>1.37848870547423E-2</v>
      </c>
      <c r="M1309">
        <v>2.33095243144236E-2</v>
      </c>
      <c r="N1309">
        <v>2016</v>
      </c>
      <c r="O1309" t="s">
        <v>13</v>
      </c>
      <c r="P1309" t="s">
        <v>279</v>
      </c>
      <c r="Q1309" t="s">
        <v>94</v>
      </c>
      <c r="R1309" t="s">
        <v>44</v>
      </c>
    </row>
    <row r="1310" spans="1:18" x14ac:dyDescent="0.25">
      <c r="A1310" t="s">
        <v>277</v>
      </c>
      <c r="B1310" t="s">
        <v>278</v>
      </c>
      <c r="C1310" t="s">
        <v>12</v>
      </c>
      <c r="D1310">
        <v>2</v>
      </c>
      <c r="E1310">
        <v>55</v>
      </c>
      <c r="F1310">
        <v>0.11925485227895501</v>
      </c>
      <c r="G1310">
        <v>609</v>
      </c>
      <c r="H1310">
        <v>0.14759921672345799</v>
      </c>
      <c r="I1310">
        <v>486</v>
      </c>
      <c r="L1310">
        <v>1.16595169828899E-2</v>
      </c>
      <c r="M1310">
        <v>1.96631947856237E-2</v>
      </c>
      <c r="N1310">
        <v>2016</v>
      </c>
      <c r="O1310" t="s">
        <v>13</v>
      </c>
      <c r="P1310" t="s">
        <v>279</v>
      </c>
      <c r="Q1310" t="s">
        <v>94</v>
      </c>
      <c r="R1310" t="s">
        <v>44</v>
      </c>
    </row>
    <row r="1311" spans="1:18" x14ac:dyDescent="0.25">
      <c r="A1311" t="s">
        <v>277</v>
      </c>
      <c r="B1311" t="s">
        <v>278</v>
      </c>
      <c r="C1311" t="s">
        <v>12</v>
      </c>
      <c r="D1311">
        <v>2</v>
      </c>
      <c r="E1311">
        <v>65</v>
      </c>
      <c r="F1311">
        <v>0.110649342382431</v>
      </c>
      <c r="G1311">
        <v>373</v>
      </c>
      <c r="H1311">
        <v>0.127661202574506</v>
      </c>
      <c r="I1311">
        <v>295</v>
      </c>
      <c r="L1311">
        <v>2.7684216035997699E-2</v>
      </c>
      <c r="M1311">
        <v>5.3117797602218901E-2</v>
      </c>
      <c r="N1311">
        <v>2016</v>
      </c>
      <c r="O1311" t="s">
        <v>13</v>
      </c>
      <c r="P1311" t="s">
        <v>279</v>
      </c>
      <c r="Q1311" t="s">
        <v>94</v>
      </c>
      <c r="R1311" t="s">
        <v>44</v>
      </c>
    </row>
    <row r="1312" spans="1:18" x14ac:dyDescent="0.25">
      <c r="A1312" t="s">
        <v>277</v>
      </c>
      <c r="B1312" t="s">
        <v>278</v>
      </c>
      <c r="C1312" t="s">
        <v>12</v>
      </c>
      <c r="D1312">
        <v>1</v>
      </c>
      <c r="E1312">
        <v>19</v>
      </c>
      <c r="F1312">
        <v>0</v>
      </c>
      <c r="G1312">
        <v>158</v>
      </c>
      <c r="H1312">
        <v>7.1074795211185796E-3</v>
      </c>
      <c r="I1312">
        <v>143</v>
      </c>
      <c r="L1312">
        <v>5.2106403249552499E-2</v>
      </c>
      <c r="M1312">
        <v>0</v>
      </c>
      <c r="N1312">
        <v>2016</v>
      </c>
      <c r="O1312" t="s">
        <v>13</v>
      </c>
      <c r="P1312" t="s">
        <v>279</v>
      </c>
      <c r="Q1312" t="s">
        <v>94</v>
      </c>
      <c r="R1312" t="s">
        <v>44</v>
      </c>
    </row>
    <row r="1313" spans="1:18" x14ac:dyDescent="0.25">
      <c r="A1313" t="s">
        <v>277</v>
      </c>
      <c r="B1313" t="s">
        <v>278</v>
      </c>
      <c r="C1313" t="s">
        <v>12</v>
      </c>
      <c r="D1313">
        <v>1</v>
      </c>
      <c r="E1313">
        <v>25</v>
      </c>
      <c r="F1313">
        <v>3.6814149894840902E-3</v>
      </c>
      <c r="G1313">
        <v>563</v>
      </c>
      <c r="H1313">
        <v>3.4349577730001898E-2</v>
      </c>
      <c r="I1313">
        <v>460</v>
      </c>
      <c r="L1313">
        <v>8.1006196571653706E-3</v>
      </c>
      <c r="M1313">
        <v>9.9057345671556898E-3</v>
      </c>
      <c r="N1313">
        <v>2016</v>
      </c>
      <c r="O1313" t="s">
        <v>13</v>
      </c>
      <c r="P1313" t="s">
        <v>279</v>
      </c>
      <c r="Q1313" t="s">
        <v>94</v>
      </c>
      <c r="R1313" t="s">
        <v>44</v>
      </c>
    </row>
    <row r="1314" spans="1:18" x14ac:dyDescent="0.25">
      <c r="A1314" t="s">
        <v>277</v>
      </c>
      <c r="B1314" t="s">
        <v>278</v>
      </c>
      <c r="C1314" t="s">
        <v>12</v>
      </c>
      <c r="D1314">
        <v>1</v>
      </c>
      <c r="E1314">
        <v>35</v>
      </c>
      <c r="F1314">
        <v>9.4478729126260402E-3</v>
      </c>
      <c r="G1314">
        <v>592</v>
      </c>
      <c r="H1314">
        <v>3.4949163598696001E-2</v>
      </c>
      <c r="I1314">
        <v>511</v>
      </c>
      <c r="L1314">
        <v>2.1216310708146599E-2</v>
      </c>
      <c r="M1314">
        <v>3.8193623396411101E-2</v>
      </c>
      <c r="N1314">
        <v>2016</v>
      </c>
      <c r="O1314" t="s">
        <v>13</v>
      </c>
      <c r="P1314" t="s">
        <v>279</v>
      </c>
      <c r="Q1314" t="s">
        <v>94</v>
      </c>
      <c r="R1314" t="s">
        <v>44</v>
      </c>
    </row>
    <row r="1315" spans="1:18" x14ac:dyDescent="0.25">
      <c r="A1315" t="s">
        <v>277</v>
      </c>
      <c r="B1315" t="s">
        <v>278</v>
      </c>
      <c r="C1315" t="s">
        <v>12</v>
      </c>
      <c r="D1315">
        <v>1</v>
      </c>
      <c r="E1315">
        <v>45</v>
      </c>
      <c r="F1315">
        <v>3.6881177615910699E-2</v>
      </c>
      <c r="G1315">
        <v>582</v>
      </c>
      <c r="H1315">
        <v>6.0225223676312098E-2</v>
      </c>
      <c r="I1315">
        <v>499</v>
      </c>
      <c r="L1315">
        <v>1.2221154619877101E-2</v>
      </c>
      <c r="M1315">
        <v>2.8120871888258701E-2</v>
      </c>
      <c r="N1315">
        <v>2016</v>
      </c>
      <c r="O1315" t="s">
        <v>13</v>
      </c>
      <c r="P1315" t="s">
        <v>279</v>
      </c>
      <c r="Q1315" t="s">
        <v>94</v>
      </c>
      <c r="R1315" t="s">
        <v>44</v>
      </c>
    </row>
    <row r="1316" spans="1:18" x14ac:dyDescent="0.25">
      <c r="A1316" t="s">
        <v>277</v>
      </c>
      <c r="B1316" t="s">
        <v>278</v>
      </c>
      <c r="C1316" t="s">
        <v>12</v>
      </c>
      <c r="D1316">
        <v>1</v>
      </c>
      <c r="E1316">
        <v>55</v>
      </c>
      <c r="F1316">
        <v>9.3425607560396001E-2</v>
      </c>
      <c r="G1316">
        <v>447</v>
      </c>
      <c r="H1316">
        <v>0.10980266264977701</v>
      </c>
      <c r="I1316">
        <v>352</v>
      </c>
      <c r="L1316">
        <v>1.0364436449120201E-2</v>
      </c>
      <c r="M1316">
        <v>2.2510159280873701E-2</v>
      </c>
      <c r="N1316">
        <v>2016</v>
      </c>
      <c r="O1316" t="s">
        <v>13</v>
      </c>
      <c r="P1316" t="s">
        <v>279</v>
      </c>
      <c r="Q1316" t="s">
        <v>94</v>
      </c>
      <c r="R1316" t="s">
        <v>44</v>
      </c>
    </row>
    <row r="1317" spans="1:18" x14ac:dyDescent="0.25">
      <c r="A1317" t="s">
        <v>277</v>
      </c>
      <c r="B1317" t="s">
        <v>278</v>
      </c>
      <c r="C1317" t="s">
        <v>12</v>
      </c>
      <c r="D1317">
        <v>1</v>
      </c>
      <c r="E1317">
        <v>65</v>
      </c>
      <c r="F1317">
        <v>0.102012307004922</v>
      </c>
      <c r="G1317">
        <v>365</v>
      </c>
      <c r="H1317">
        <v>6.38140172013658E-2</v>
      </c>
      <c r="I1317">
        <v>296</v>
      </c>
      <c r="L1317">
        <v>2.16224790359721E-2</v>
      </c>
      <c r="M1317">
        <v>9.5537062659785593E-2</v>
      </c>
      <c r="N1317">
        <v>2016</v>
      </c>
      <c r="O1317" t="s">
        <v>13</v>
      </c>
      <c r="P1317" t="s">
        <v>279</v>
      </c>
      <c r="Q1317" t="s">
        <v>94</v>
      </c>
      <c r="R1317" t="s">
        <v>44</v>
      </c>
    </row>
    <row r="1318" spans="1:18" x14ac:dyDescent="0.25">
      <c r="A1318" t="s">
        <v>280</v>
      </c>
      <c r="B1318" t="s">
        <v>281</v>
      </c>
      <c r="C1318" t="s">
        <v>12</v>
      </c>
      <c r="D1318">
        <v>2</v>
      </c>
      <c r="E1318">
        <v>25</v>
      </c>
      <c r="F1318">
        <v>0</v>
      </c>
      <c r="G1318">
        <v>524</v>
      </c>
      <c r="H1318">
        <v>3.8758157117375798E-2</v>
      </c>
      <c r="I1318">
        <v>101</v>
      </c>
      <c r="L1318">
        <v>5.0427574485365202E-2</v>
      </c>
      <c r="M1318">
        <v>0</v>
      </c>
      <c r="N1318">
        <v>2006</v>
      </c>
      <c r="O1318" t="s">
        <v>53</v>
      </c>
      <c r="P1318" t="s">
        <v>282</v>
      </c>
      <c r="Q1318" t="s">
        <v>125</v>
      </c>
      <c r="R1318" t="s">
        <v>34</v>
      </c>
    </row>
    <row r="1319" spans="1:18" x14ac:dyDescent="0.25">
      <c r="A1319" t="s">
        <v>280</v>
      </c>
      <c r="B1319" t="s">
        <v>281</v>
      </c>
      <c r="C1319" t="s">
        <v>12</v>
      </c>
      <c r="D1319">
        <v>2</v>
      </c>
      <c r="E1319">
        <v>35</v>
      </c>
      <c r="F1319">
        <v>2.6385224274406301E-3</v>
      </c>
      <c r="G1319">
        <v>379</v>
      </c>
      <c r="H1319">
        <v>7.3173117683730401E-2</v>
      </c>
      <c r="I1319">
        <v>179</v>
      </c>
      <c r="L1319">
        <v>5.3285316058529299E-2</v>
      </c>
      <c r="M1319">
        <v>3.03771628192737E-2</v>
      </c>
      <c r="N1319">
        <v>2006</v>
      </c>
      <c r="O1319" t="s">
        <v>53</v>
      </c>
      <c r="P1319" t="s">
        <v>282</v>
      </c>
      <c r="Q1319" t="s">
        <v>125</v>
      </c>
      <c r="R1319" t="s">
        <v>34</v>
      </c>
    </row>
    <row r="1320" spans="1:18" x14ac:dyDescent="0.25">
      <c r="A1320" t="s">
        <v>280</v>
      </c>
      <c r="B1320" t="s">
        <v>281</v>
      </c>
      <c r="C1320" t="s">
        <v>12</v>
      </c>
      <c r="D1320">
        <v>2</v>
      </c>
      <c r="E1320">
        <v>45</v>
      </c>
      <c r="F1320">
        <v>1.8450184501845001E-2</v>
      </c>
      <c r="G1320">
        <v>271</v>
      </c>
      <c r="H1320">
        <v>0.200436086567407</v>
      </c>
      <c r="I1320">
        <v>140</v>
      </c>
      <c r="L1320">
        <v>2.9098628742375201E-2</v>
      </c>
      <c r="M1320">
        <v>1.21870577329497E-2</v>
      </c>
      <c r="N1320">
        <v>2006</v>
      </c>
      <c r="O1320" t="s">
        <v>53</v>
      </c>
      <c r="P1320" t="s">
        <v>282</v>
      </c>
      <c r="Q1320" t="s">
        <v>125</v>
      </c>
      <c r="R1320" t="s">
        <v>34</v>
      </c>
    </row>
    <row r="1321" spans="1:18" x14ac:dyDescent="0.25">
      <c r="A1321" t="s">
        <v>280</v>
      </c>
      <c r="B1321" t="s">
        <v>281</v>
      </c>
      <c r="C1321" t="s">
        <v>12</v>
      </c>
      <c r="D1321">
        <v>2</v>
      </c>
      <c r="E1321">
        <v>55</v>
      </c>
      <c r="F1321">
        <v>1.2820512820512799E-2</v>
      </c>
      <c r="G1321">
        <v>156</v>
      </c>
      <c r="H1321">
        <v>0.19591598940566499</v>
      </c>
      <c r="I1321">
        <v>89</v>
      </c>
      <c r="L1321">
        <v>4.5708735892650301E-2</v>
      </c>
      <c r="M1321">
        <v>1.7476426338843699E-2</v>
      </c>
      <c r="N1321">
        <v>2006</v>
      </c>
      <c r="O1321" t="s">
        <v>53</v>
      </c>
      <c r="P1321" t="s">
        <v>282</v>
      </c>
      <c r="Q1321" t="s">
        <v>125</v>
      </c>
      <c r="R1321" t="s">
        <v>34</v>
      </c>
    </row>
    <row r="1322" spans="1:18" x14ac:dyDescent="0.25">
      <c r="A1322" t="s">
        <v>280</v>
      </c>
      <c r="B1322" t="s">
        <v>281</v>
      </c>
      <c r="C1322" t="s">
        <v>12</v>
      </c>
      <c r="D1322">
        <v>2</v>
      </c>
      <c r="E1322">
        <v>62.5</v>
      </c>
      <c r="F1322">
        <v>5.2631578947368397E-2</v>
      </c>
      <c r="G1322">
        <v>38</v>
      </c>
      <c r="H1322">
        <v>0.20041348870020101</v>
      </c>
      <c r="I1322">
        <v>15</v>
      </c>
      <c r="L1322">
        <v>3.9005747429222803E-2</v>
      </c>
      <c r="M1322">
        <v>2.53571075241164E-2</v>
      </c>
      <c r="N1322">
        <v>2006</v>
      </c>
      <c r="O1322" t="s">
        <v>53</v>
      </c>
      <c r="P1322" t="s">
        <v>282</v>
      </c>
      <c r="Q1322" t="s">
        <v>125</v>
      </c>
      <c r="R1322" t="s">
        <v>34</v>
      </c>
    </row>
    <row r="1323" spans="1:18" x14ac:dyDescent="0.25">
      <c r="A1323" t="s">
        <v>280</v>
      </c>
      <c r="B1323" t="s">
        <v>281</v>
      </c>
      <c r="C1323" t="s">
        <v>12</v>
      </c>
      <c r="D1323">
        <v>1</v>
      </c>
      <c r="E1323">
        <v>19</v>
      </c>
      <c r="F1323">
        <v>0</v>
      </c>
      <c r="G1323">
        <v>92</v>
      </c>
      <c r="H1323">
        <v>7.6719741477479101E-3</v>
      </c>
      <c r="I1323">
        <v>2</v>
      </c>
      <c r="L1323">
        <v>0.129571007177637</v>
      </c>
      <c r="M1323">
        <v>0</v>
      </c>
      <c r="N1323">
        <v>2006</v>
      </c>
      <c r="O1323" t="s">
        <v>53</v>
      </c>
      <c r="P1323" t="s">
        <v>282</v>
      </c>
      <c r="Q1323" t="s">
        <v>125</v>
      </c>
      <c r="R1323" t="s">
        <v>34</v>
      </c>
    </row>
    <row r="1324" spans="1:18" x14ac:dyDescent="0.25">
      <c r="A1324" t="s">
        <v>280</v>
      </c>
      <c r="B1324" t="s">
        <v>281</v>
      </c>
      <c r="C1324" t="s">
        <v>12</v>
      </c>
      <c r="D1324">
        <v>1</v>
      </c>
      <c r="E1324">
        <v>25</v>
      </c>
      <c r="F1324">
        <v>0</v>
      </c>
      <c r="G1324">
        <v>438</v>
      </c>
      <c r="H1324">
        <v>5.4319533250002598E-2</v>
      </c>
      <c r="I1324">
        <v>78</v>
      </c>
      <c r="L1324">
        <v>2.7497182778211601E-2</v>
      </c>
      <c r="M1324">
        <v>0</v>
      </c>
      <c r="N1324">
        <v>2006</v>
      </c>
      <c r="O1324" t="s">
        <v>53</v>
      </c>
      <c r="P1324" t="s">
        <v>282</v>
      </c>
      <c r="Q1324" t="s">
        <v>125</v>
      </c>
      <c r="R1324" t="s">
        <v>34</v>
      </c>
    </row>
    <row r="1325" spans="1:18" x14ac:dyDescent="0.25">
      <c r="A1325" t="s">
        <v>280</v>
      </c>
      <c r="B1325" t="s">
        <v>281</v>
      </c>
      <c r="C1325" t="s">
        <v>12</v>
      </c>
      <c r="D1325">
        <v>1</v>
      </c>
      <c r="E1325">
        <v>35</v>
      </c>
      <c r="F1325">
        <v>3.7313432835820899E-3</v>
      </c>
      <c r="G1325">
        <v>268</v>
      </c>
      <c r="H1325">
        <v>7.3394687106441203E-2</v>
      </c>
      <c r="I1325">
        <v>127</v>
      </c>
      <c r="L1325">
        <v>5.3056162443047901E-2</v>
      </c>
      <c r="M1325">
        <v>3.3564938110967599E-2</v>
      </c>
      <c r="N1325">
        <v>2006</v>
      </c>
      <c r="O1325" t="s">
        <v>53</v>
      </c>
      <c r="P1325" t="s">
        <v>282</v>
      </c>
      <c r="Q1325" t="s">
        <v>125</v>
      </c>
      <c r="R1325" t="s">
        <v>34</v>
      </c>
    </row>
    <row r="1326" spans="1:18" x14ac:dyDescent="0.25">
      <c r="A1326" t="s">
        <v>280</v>
      </c>
      <c r="B1326" t="s">
        <v>281</v>
      </c>
      <c r="C1326" t="s">
        <v>12</v>
      </c>
      <c r="D1326">
        <v>1</v>
      </c>
      <c r="E1326">
        <v>45</v>
      </c>
      <c r="F1326">
        <v>2.7397260273972601E-2</v>
      </c>
      <c r="G1326">
        <v>146</v>
      </c>
      <c r="H1326">
        <v>0.15140368478138899</v>
      </c>
      <c r="I1326">
        <v>72</v>
      </c>
      <c r="L1326">
        <v>3.7529211417201197E-2</v>
      </c>
      <c r="M1326">
        <v>2.6011412494192601E-2</v>
      </c>
      <c r="N1326">
        <v>2006</v>
      </c>
      <c r="O1326" t="s">
        <v>53</v>
      </c>
      <c r="P1326" t="s">
        <v>282</v>
      </c>
      <c r="Q1326" t="s">
        <v>125</v>
      </c>
      <c r="R1326" t="s">
        <v>34</v>
      </c>
    </row>
    <row r="1327" spans="1:18" x14ac:dyDescent="0.25">
      <c r="A1327" t="s">
        <v>280</v>
      </c>
      <c r="B1327" t="s">
        <v>281</v>
      </c>
      <c r="C1327" t="s">
        <v>12</v>
      </c>
      <c r="D1327">
        <v>1</v>
      </c>
      <c r="E1327">
        <v>55</v>
      </c>
      <c r="F1327">
        <v>1.8749999999999999E-2</v>
      </c>
      <c r="G1327">
        <v>160</v>
      </c>
      <c r="H1327">
        <v>0.22905960080851101</v>
      </c>
      <c r="I1327">
        <v>94</v>
      </c>
      <c r="L1327">
        <v>4.03454646451969E-2</v>
      </c>
      <c r="M1327">
        <v>1.43587741454643E-2</v>
      </c>
      <c r="N1327">
        <v>2006</v>
      </c>
      <c r="O1327" t="s">
        <v>53</v>
      </c>
      <c r="P1327" t="s">
        <v>282</v>
      </c>
      <c r="Q1327" t="s">
        <v>125</v>
      </c>
      <c r="R1327" t="s">
        <v>34</v>
      </c>
    </row>
    <row r="1328" spans="1:18" x14ac:dyDescent="0.25">
      <c r="A1328" t="s">
        <v>280</v>
      </c>
      <c r="B1328" t="s">
        <v>281</v>
      </c>
      <c r="C1328" t="s">
        <v>12</v>
      </c>
      <c r="D1328">
        <v>1</v>
      </c>
      <c r="E1328">
        <v>62.5</v>
      </c>
      <c r="F1328">
        <v>7.2727272727272696E-2</v>
      </c>
      <c r="G1328">
        <v>55</v>
      </c>
      <c r="H1328">
        <v>0.261363010320601</v>
      </c>
      <c r="I1328">
        <v>32</v>
      </c>
      <c r="L1328">
        <v>1.70160713544328E-2</v>
      </c>
      <c r="M1328">
        <v>8.9723872434022897E-3</v>
      </c>
      <c r="N1328">
        <v>2006</v>
      </c>
      <c r="O1328" t="s">
        <v>53</v>
      </c>
      <c r="P1328" t="s">
        <v>282</v>
      </c>
      <c r="Q1328" t="s">
        <v>125</v>
      </c>
      <c r="R1328" t="s">
        <v>34</v>
      </c>
    </row>
    <row r="1329" spans="1:18" x14ac:dyDescent="0.25">
      <c r="A1329" t="s">
        <v>280</v>
      </c>
      <c r="B1329" t="s">
        <v>283</v>
      </c>
      <c r="C1329" t="s">
        <v>12</v>
      </c>
      <c r="D1329">
        <v>2</v>
      </c>
      <c r="E1329">
        <v>19</v>
      </c>
      <c r="F1329">
        <v>0</v>
      </c>
      <c r="G1329">
        <v>70</v>
      </c>
      <c r="H1329">
        <v>4.1275278695393297E-2</v>
      </c>
      <c r="I1329">
        <v>43</v>
      </c>
      <c r="L1329">
        <v>2.5577678519753799E-3</v>
      </c>
      <c r="M1329">
        <v>0</v>
      </c>
      <c r="N1329">
        <v>2015</v>
      </c>
      <c r="O1329" t="s">
        <v>13</v>
      </c>
      <c r="P1329" t="s">
        <v>282</v>
      </c>
      <c r="Q1329" t="s">
        <v>125</v>
      </c>
      <c r="R1329" t="s">
        <v>34</v>
      </c>
    </row>
    <row r="1330" spans="1:18" x14ac:dyDescent="0.25">
      <c r="A1330" t="s">
        <v>280</v>
      </c>
      <c r="B1330" t="s">
        <v>283</v>
      </c>
      <c r="C1330" t="s">
        <v>12</v>
      </c>
      <c r="D1330">
        <v>2</v>
      </c>
      <c r="E1330">
        <v>25</v>
      </c>
      <c r="F1330">
        <v>0</v>
      </c>
      <c r="G1330">
        <v>269</v>
      </c>
      <c r="H1330">
        <v>3.9964552652583203E-2</v>
      </c>
      <c r="I1330">
        <v>149</v>
      </c>
      <c r="L1330">
        <v>3.4053540877766E-3</v>
      </c>
      <c r="M1330">
        <v>0</v>
      </c>
      <c r="N1330">
        <v>2015</v>
      </c>
      <c r="O1330" t="s">
        <v>13</v>
      </c>
      <c r="P1330" t="s">
        <v>282</v>
      </c>
      <c r="Q1330" t="s">
        <v>125</v>
      </c>
      <c r="R1330" t="s">
        <v>34</v>
      </c>
    </row>
    <row r="1331" spans="1:18" x14ac:dyDescent="0.25">
      <c r="A1331" t="s">
        <v>280</v>
      </c>
      <c r="B1331" t="s">
        <v>283</v>
      </c>
      <c r="C1331" t="s">
        <v>12</v>
      </c>
      <c r="D1331">
        <v>2</v>
      </c>
      <c r="E1331">
        <v>35</v>
      </c>
      <c r="F1331">
        <v>5.5800509921283201E-3</v>
      </c>
      <c r="G1331">
        <v>415</v>
      </c>
      <c r="H1331">
        <v>4.4743946757993099E-2</v>
      </c>
      <c r="I1331">
        <v>286</v>
      </c>
      <c r="L1331">
        <v>1.23493549002747E-2</v>
      </c>
      <c r="M1331">
        <v>1.4493607117389701E-2</v>
      </c>
      <c r="N1331">
        <v>2015</v>
      </c>
      <c r="O1331" t="s">
        <v>13</v>
      </c>
      <c r="P1331" t="s">
        <v>282</v>
      </c>
      <c r="Q1331" t="s">
        <v>125</v>
      </c>
      <c r="R1331" t="s">
        <v>34</v>
      </c>
    </row>
    <row r="1332" spans="1:18" x14ac:dyDescent="0.25">
      <c r="A1332" t="s">
        <v>280</v>
      </c>
      <c r="B1332" t="s">
        <v>283</v>
      </c>
      <c r="C1332" t="s">
        <v>12</v>
      </c>
      <c r="D1332">
        <v>2</v>
      </c>
      <c r="E1332">
        <v>45</v>
      </c>
      <c r="F1332">
        <v>4.88931857294352E-3</v>
      </c>
      <c r="G1332">
        <v>287</v>
      </c>
      <c r="H1332">
        <v>5.2923526737276398E-2</v>
      </c>
      <c r="I1332">
        <v>206</v>
      </c>
      <c r="L1332">
        <v>2.5237017205605099E-2</v>
      </c>
      <c r="M1332">
        <v>2.4439451519812101E-2</v>
      </c>
      <c r="N1332">
        <v>2015</v>
      </c>
      <c r="O1332" t="s">
        <v>13</v>
      </c>
      <c r="P1332" t="s">
        <v>282</v>
      </c>
      <c r="Q1332" t="s">
        <v>125</v>
      </c>
      <c r="R1332" t="s">
        <v>34</v>
      </c>
    </row>
    <row r="1333" spans="1:18" x14ac:dyDescent="0.25">
      <c r="A1333" t="s">
        <v>280</v>
      </c>
      <c r="B1333" t="s">
        <v>283</v>
      </c>
      <c r="C1333" t="s">
        <v>12</v>
      </c>
      <c r="D1333">
        <v>2</v>
      </c>
      <c r="E1333">
        <v>55</v>
      </c>
      <c r="F1333">
        <v>5.3527868607824202E-3</v>
      </c>
      <c r="G1333">
        <v>164</v>
      </c>
      <c r="H1333">
        <v>0.14057282590016401</v>
      </c>
      <c r="I1333">
        <v>115</v>
      </c>
      <c r="L1333">
        <v>8.8679849921215591E-3</v>
      </c>
      <c r="M1333">
        <v>3.8032241426168702E-3</v>
      </c>
      <c r="N1333">
        <v>2015</v>
      </c>
      <c r="O1333" t="s">
        <v>13</v>
      </c>
      <c r="P1333" t="s">
        <v>282</v>
      </c>
      <c r="Q1333" t="s">
        <v>125</v>
      </c>
      <c r="R1333" t="s">
        <v>34</v>
      </c>
    </row>
    <row r="1334" spans="1:18" x14ac:dyDescent="0.25">
      <c r="A1334" t="s">
        <v>280</v>
      </c>
      <c r="B1334" t="s">
        <v>283</v>
      </c>
      <c r="C1334" t="s">
        <v>12</v>
      </c>
      <c r="D1334">
        <v>2</v>
      </c>
      <c r="E1334">
        <v>65</v>
      </c>
      <c r="F1334">
        <v>2.2374451772597E-2</v>
      </c>
      <c r="G1334">
        <v>113</v>
      </c>
      <c r="H1334">
        <v>7.2195226959835199E-2</v>
      </c>
      <c r="I1334">
        <v>88</v>
      </c>
      <c r="L1334">
        <v>2.4722835246393699E-2</v>
      </c>
      <c r="M1334">
        <v>3.4823291311299402E-2</v>
      </c>
      <c r="N1334">
        <v>2015</v>
      </c>
      <c r="O1334" t="s">
        <v>13</v>
      </c>
      <c r="P1334" t="s">
        <v>282</v>
      </c>
      <c r="Q1334" t="s">
        <v>125</v>
      </c>
      <c r="R1334" t="s">
        <v>34</v>
      </c>
    </row>
    <row r="1335" spans="1:18" x14ac:dyDescent="0.25">
      <c r="A1335" t="s">
        <v>280</v>
      </c>
      <c r="B1335" t="s">
        <v>283</v>
      </c>
      <c r="C1335" t="s">
        <v>12</v>
      </c>
      <c r="D1335">
        <v>1</v>
      </c>
      <c r="E1335">
        <v>19</v>
      </c>
      <c r="F1335">
        <v>0</v>
      </c>
      <c r="G1335">
        <v>55</v>
      </c>
      <c r="H1335">
        <v>3.4840415056183499E-3</v>
      </c>
      <c r="I1335">
        <v>28</v>
      </c>
      <c r="L1335">
        <v>0.10016155879206699</v>
      </c>
      <c r="M1335">
        <v>0</v>
      </c>
      <c r="N1335">
        <v>2015</v>
      </c>
      <c r="O1335" t="s">
        <v>13</v>
      </c>
      <c r="P1335" t="s">
        <v>282</v>
      </c>
      <c r="Q1335" t="s">
        <v>125</v>
      </c>
      <c r="R1335" t="s">
        <v>34</v>
      </c>
    </row>
    <row r="1336" spans="1:18" x14ac:dyDescent="0.25">
      <c r="A1336" t="s">
        <v>280</v>
      </c>
      <c r="B1336" t="s">
        <v>283</v>
      </c>
      <c r="C1336" t="s">
        <v>12</v>
      </c>
      <c r="D1336">
        <v>1</v>
      </c>
      <c r="E1336">
        <v>25</v>
      </c>
      <c r="F1336">
        <v>1.1166069265360901E-2</v>
      </c>
      <c r="G1336">
        <v>214</v>
      </c>
      <c r="H1336">
        <v>1.4549589501030601E-2</v>
      </c>
      <c r="I1336">
        <v>119</v>
      </c>
      <c r="L1336">
        <v>8.2877399701308495E-3</v>
      </c>
      <c r="M1336">
        <v>3.7323093817867699E-2</v>
      </c>
      <c r="N1336">
        <v>2015</v>
      </c>
      <c r="O1336" t="s">
        <v>13</v>
      </c>
      <c r="P1336" t="s">
        <v>282</v>
      </c>
      <c r="Q1336" t="s">
        <v>125</v>
      </c>
      <c r="R1336" t="s">
        <v>34</v>
      </c>
    </row>
    <row r="1337" spans="1:18" x14ac:dyDescent="0.25">
      <c r="A1337" t="s">
        <v>280</v>
      </c>
      <c r="B1337" t="s">
        <v>283</v>
      </c>
      <c r="C1337" t="s">
        <v>12</v>
      </c>
      <c r="D1337">
        <v>1</v>
      </c>
      <c r="E1337">
        <v>35</v>
      </c>
      <c r="F1337">
        <v>0</v>
      </c>
      <c r="G1337">
        <v>256</v>
      </c>
      <c r="H1337">
        <v>3.3670091980346303E-2</v>
      </c>
      <c r="I1337">
        <v>178</v>
      </c>
      <c r="L1337">
        <v>1.4192414996346501E-2</v>
      </c>
      <c r="M1337">
        <v>0</v>
      </c>
      <c r="N1337">
        <v>2015</v>
      </c>
      <c r="O1337" t="s">
        <v>13</v>
      </c>
      <c r="P1337" t="s">
        <v>282</v>
      </c>
      <c r="Q1337" t="s">
        <v>125</v>
      </c>
      <c r="R1337" t="s">
        <v>34</v>
      </c>
    </row>
    <row r="1338" spans="1:18" x14ac:dyDescent="0.25">
      <c r="A1338" t="s">
        <v>280</v>
      </c>
      <c r="B1338" t="s">
        <v>283</v>
      </c>
      <c r="C1338" t="s">
        <v>12</v>
      </c>
      <c r="D1338">
        <v>1</v>
      </c>
      <c r="E1338">
        <v>45</v>
      </c>
      <c r="F1338">
        <v>1.22149224282636E-2</v>
      </c>
      <c r="G1338">
        <v>273</v>
      </c>
      <c r="H1338">
        <v>8.9098190346761794E-2</v>
      </c>
      <c r="I1338">
        <v>189</v>
      </c>
      <c r="L1338">
        <v>8.8144547372842399E-3</v>
      </c>
      <c r="M1338">
        <v>8.0226603358133693E-3</v>
      </c>
      <c r="N1338">
        <v>2015</v>
      </c>
      <c r="O1338" t="s">
        <v>13</v>
      </c>
      <c r="P1338" t="s">
        <v>282</v>
      </c>
      <c r="Q1338" t="s">
        <v>125</v>
      </c>
      <c r="R1338" t="s">
        <v>34</v>
      </c>
    </row>
    <row r="1339" spans="1:18" x14ac:dyDescent="0.25">
      <c r="A1339" t="s">
        <v>280</v>
      </c>
      <c r="B1339" t="s">
        <v>283</v>
      </c>
      <c r="C1339" t="s">
        <v>12</v>
      </c>
      <c r="D1339">
        <v>1</v>
      </c>
      <c r="E1339">
        <v>55</v>
      </c>
      <c r="F1339">
        <v>1.2301680509010499E-2</v>
      </c>
      <c r="G1339">
        <v>170</v>
      </c>
      <c r="H1339">
        <v>6.7755717348975994E-2</v>
      </c>
      <c r="I1339">
        <v>124</v>
      </c>
      <c r="L1339">
        <v>1.7272063872901301E-2</v>
      </c>
      <c r="M1339">
        <v>1.9802638259113801E-2</v>
      </c>
      <c r="N1339">
        <v>2015</v>
      </c>
      <c r="O1339" t="s">
        <v>13</v>
      </c>
      <c r="P1339" t="s">
        <v>282</v>
      </c>
      <c r="Q1339" t="s">
        <v>125</v>
      </c>
      <c r="R1339" t="s">
        <v>34</v>
      </c>
    </row>
    <row r="1340" spans="1:18" x14ac:dyDescent="0.25">
      <c r="A1340" t="s">
        <v>280</v>
      </c>
      <c r="B1340" t="s">
        <v>283</v>
      </c>
      <c r="C1340" t="s">
        <v>12</v>
      </c>
      <c r="D1340">
        <v>1</v>
      </c>
      <c r="E1340">
        <v>65</v>
      </c>
      <c r="F1340">
        <v>1.23620605174522E-2</v>
      </c>
      <c r="G1340">
        <v>119</v>
      </c>
      <c r="H1340">
        <v>7.7982505721955794E-2</v>
      </c>
      <c r="I1340">
        <v>93</v>
      </c>
      <c r="L1340">
        <v>2.6435090143886199E-2</v>
      </c>
      <c r="M1340">
        <v>2.72851147955726E-2</v>
      </c>
      <c r="N1340">
        <v>2015</v>
      </c>
      <c r="O1340" t="s">
        <v>13</v>
      </c>
      <c r="P1340" t="s">
        <v>282</v>
      </c>
      <c r="Q1340" t="s">
        <v>125</v>
      </c>
      <c r="R1340" t="s">
        <v>34</v>
      </c>
    </row>
    <row r="1341" spans="1:18" x14ac:dyDescent="0.25">
      <c r="A1341" t="s">
        <v>284</v>
      </c>
      <c r="B1341" t="s">
        <v>285</v>
      </c>
      <c r="C1341" t="s">
        <v>12</v>
      </c>
      <c r="D1341">
        <v>2</v>
      </c>
      <c r="E1341">
        <v>25</v>
      </c>
      <c r="F1341">
        <v>3.3366173371791302E-3</v>
      </c>
      <c r="G1341">
        <v>698</v>
      </c>
      <c r="H1341">
        <v>1.2843778791678299E-2</v>
      </c>
      <c r="I1341">
        <v>653</v>
      </c>
      <c r="L1341">
        <v>5.1594104588038599E-2</v>
      </c>
      <c r="M1341">
        <v>0.12680470650537701</v>
      </c>
      <c r="N1341">
        <v>2015</v>
      </c>
      <c r="O1341" t="s">
        <v>13</v>
      </c>
      <c r="P1341" t="s">
        <v>286</v>
      </c>
      <c r="Q1341" t="s">
        <v>147</v>
      </c>
      <c r="R1341" t="s">
        <v>25</v>
      </c>
    </row>
    <row r="1342" spans="1:18" x14ac:dyDescent="0.25">
      <c r="A1342" t="s">
        <v>284</v>
      </c>
      <c r="B1342" t="s">
        <v>285</v>
      </c>
      <c r="C1342" t="s">
        <v>12</v>
      </c>
      <c r="D1342">
        <v>2</v>
      </c>
      <c r="E1342">
        <v>35</v>
      </c>
      <c r="F1342">
        <v>2.28736196171727E-2</v>
      </c>
      <c r="G1342">
        <v>616</v>
      </c>
      <c r="H1342">
        <v>4.3556415801626197E-2</v>
      </c>
      <c r="I1342">
        <v>567</v>
      </c>
      <c r="L1342">
        <v>2.4665480435854498E-2</v>
      </c>
      <c r="M1342">
        <v>5.5841388777813597E-2</v>
      </c>
      <c r="N1342">
        <v>2015</v>
      </c>
      <c r="O1342" t="s">
        <v>13</v>
      </c>
      <c r="P1342" t="s">
        <v>286</v>
      </c>
      <c r="Q1342" t="s">
        <v>147</v>
      </c>
      <c r="R1342" t="s">
        <v>25</v>
      </c>
    </row>
    <row r="1343" spans="1:18" x14ac:dyDescent="0.25">
      <c r="A1343" t="s">
        <v>284</v>
      </c>
      <c r="B1343" t="s">
        <v>285</v>
      </c>
      <c r="C1343" t="s">
        <v>12</v>
      </c>
      <c r="D1343">
        <v>2</v>
      </c>
      <c r="E1343">
        <v>45</v>
      </c>
      <c r="F1343">
        <v>7.0383357500190105E-2</v>
      </c>
      <c r="G1343">
        <v>556</v>
      </c>
      <c r="H1343">
        <v>9.1043378369024305E-2</v>
      </c>
      <c r="I1343">
        <v>494</v>
      </c>
      <c r="L1343">
        <v>1.8871049228985401E-2</v>
      </c>
      <c r="M1343">
        <v>3.8516705499717301E-2</v>
      </c>
      <c r="N1343">
        <v>2015</v>
      </c>
      <c r="O1343" t="s">
        <v>13</v>
      </c>
      <c r="P1343" t="s">
        <v>286</v>
      </c>
      <c r="Q1343" t="s">
        <v>147</v>
      </c>
      <c r="R1343" t="s">
        <v>25</v>
      </c>
    </row>
    <row r="1344" spans="1:18" x14ac:dyDescent="0.25">
      <c r="A1344" t="s">
        <v>284</v>
      </c>
      <c r="B1344" t="s">
        <v>285</v>
      </c>
      <c r="C1344" t="s">
        <v>12</v>
      </c>
      <c r="D1344">
        <v>2</v>
      </c>
      <c r="E1344">
        <v>55</v>
      </c>
      <c r="F1344">
        <v>0.114528482549047</v>
      </c>
      <c r="G1344">
        <v>453</v>
      </c>
      <c r="H1344">
        <v>0.13803938563670701</v>
      </c>
      <c r="I1344">
        <v>386</v>
      </c>
      <c r="L1344">
        <v>2.06559729285858E-2</v>
      </c>
      <c r="M1344">
        <v>3.38146615632599E-2</v>
      </c>
      <c r="N1344">
        <v>2015</v>
      </c>
      <c r="O1344" t="s">
        <v>13</v>
      </c>
      <c r="P1344" t="s">
        <v>286</v>
      </c>
      <c r="Q1344" t="s">
        <v>147</v>
      </c>
      <c r="R1344" t="s">
        <v>25</v>
      </c>
    </row>
    <row r="1345" spans="1:18" x14ac:dyDescent="0.25">
      <c r="A1345" t="s">
        <v>284</v>
      </c>
      <c r="B1345" t="s">
        <v>285</v>
      </c>
      <c r="C1345" t="s">
        <v>12</v>
      </c>
      <c r="D1345">
        <v>2</v>
      </c>
      <c r="E1345">
        <v>65</v>
      </c>
      <c r="F1345">
        <v>0.19247980810557699</v>
      </c>
      <c r="G1345">
        <v>363</v>
      </c>
      <c r="H1345">
        <v>0.174805342394731</v>
      </c>
      <c r="I1345">
        <v>282</v>
      </c>
      <c r="L1345">
        <v>1.5660464513229298E-2</v>
      </c>
      <c r="M1345">
        <v>2.6158450697880899E-2</v>
      </c>
      <c r="N1345">
        <v>2015</v>
      </c>
      <c r="O1345" t="s">
        <v>13</v>
      </c>
      <c r="P1345" t="s">
        <v>286</v>
      </c>
      <c r="Q1345" t="s">
        <v>147</v>
      </c>
      <c r="R1345" t="s">
        <v>25</v>
      </c>
    </row>
    <row r="1346" spans="1:18" x14ac:dyDescent="0.25">
      <c r="A1346" t="s">
        <v>284</v>
      </c>
      <c r="B1346" t="s">
        <v>285</v>
      </c>
      <c r="C1346" t="s">
        <v>12</v>
      </c>
      <c r="D1346">
        <v>2</v>
      </c>
      <c r="E1346">
        <v>75</v>
      </c>
      <c r="F1346">
        <v>0.22949621056163699</v>
      </c>
      <c r="G1346">
        <v>190</v>
      </c>
      <c r="H1346">
        <v>8.9287184066330696E-2</v>
      </c>
      <c r="I1346">
        <v>143</v>
      </c>
      <c r="L1346">
        <v>2.3405391756653699E-2</v>
      </c>
      <c r="M1346">
        <v>0.11592501803170301</v>
      </c>
      <c r="N1346">
        <v>2015</v>
      </c>
      <c r="O1346" t="s">
        <v>13</v>
      </c>
      <c r="P1346" t="s">
        <v>286</v>
      </c>
      <c r="Q1346" t="s">
        <v>147</v>
      </c>
      <c r="R1346" t="s">
        <v>25</v>
      </c>
    </row>
    <row r="1347" spans="1:18" x14ac:dyDescent="0.25">
      <c r="A1347" t="s">
        <v>284</v>
      </c>
      <c r="B1347" t="s">
        <v>285</v>
      </c>
      <c r="C1347" t="s">
        <v>12</v>
      </c>
      <c r="D1347">
        <v>2</v>
      </c>
      <c r="E1347">
        <v>84.91</v>
      </c>
      <c r="F1347">
        <v>7.8218061859822705E-2</v>
      </c>
      <c r="G1347">
        <v>88</v>
      </c>
      <c r="H1347">
        <v>0.121524488781647</v>
      </c>
      <c r="I1347">
        <v>80</v>
      </c>
      <c r="L1347">
        <v>6.4225249428012804E-2</v>
      </c>
      <c r="M1347">
        <v>0.107095762936557</v>
      </c>
      <c r="N1347">
        <v>2015</v>
      </c>
      <c r="O1347" t="s">
        <v>13</v>
      </c>
      <c r="P1347" t="s">
        <v>286</v>
      </c>
      <c r="Q1347" t="s">
        <v>147</v>
      </c>
      <c r="R1347" t="s">
        <v>25</v>
      </c>
    </row>
    <row r="1348" spans="1:18" x14ac:dyDescent="0.25">
      <c r="A1348" t="s">
        <v>284</v>
      </c>
      <c r="B1348" t="s">
        <v>285</v>
      </c>
      <c r="C1348" t="s">
        <v>12</v>
      </c>
      <c r="D1348">
        <v>1</v>
      </c>
      <c r="E1348">
        <v>25</v>
      </c>
      <c r="F1348">
        <v>0</v>
      </c>
      <c r="G1348">
        <v>402</v>
      </c>
      <c r="H1348">
        <v>6.7429012061882201E-3</v>
      </c>
      <c r="I1348">
        <v>387</v>
      </c>
      <c r="L1348">
        <v>0.118587025993537</v>
      </c>
      <c r="M1348">
        <v>0</v>
      </c>
      <c r="N1348">
        <v>2015</v>
      </c>
      <c r="O1348" t="s">
        <v>13</v>
      </c>
      <c r="P1348" t="s">
        <v>286</v>
      </c>
      <c r="Q1348" t="s">
        <v>147</v>
      </c>
      <c r="R1348" t="s">
        <v>25</v>
      </c>
    </row>
    <row r="1349" spans="1:18" x14ac:dyDescent="0.25">
      <c r="A1349" t="s">
        <v>284</v>
      </c>
      <c r="B1349" t="s">
        <v>285</v>
      </c>
      <c r="C1349" t="s">
        <v>12</v>
      </c>
      <c r="D1349">
        <v>1</v>
      </c>
      <c r="E1349">
        <v>35</v>
      </c>
      <c r="F1349">
        <v>4.13371417088889E-3</v>
      </c>
      <c r="G1349">
        <v>328</v>
      </c>
      <c r="H1349">
        <v>3.0129736400136699E-2</v>
      </c>
      <c r="I1349">
        <v>308</v>
      </c>
      <c r="L1349">
        <v>3.5934914926267998E-2</v>
      </c>
      <c r="M1349">
        <v>4.7985351437255998E-2</v>
      </c>
      <c r="N1349">
        <v>2015</v>
      </c>
      <c r="O1349" t="s">
        <v>13</v>
      </c>
      <c r="P1349" t="s">
        <v>286</v>
      </c>
      <c r="Q1349" t="s">
        <v>147</v>
      </c>
      <c r="R1349" t="s">
        <v>25</v>
      </c>
    </row>
    <row r="1350" spans="1:18" x14ac:dyDescent="0.25">
      <c r="A1350" t="s">
        <v>284</v>
      </c>
      <c r="B1350" t="s">
        <v>285</v>
      </c>
      <c r="C1350" t="s">
        <v>12</v>
      </c>
      <c r="D1350">
        <v>1</v>
      </c>
      <c r="E1350">
        <v>45</v>
      </c>
      <c r="F1350">
        <v>5.23659729075985E-2</v>
      </c>
      <c r="G1350">
        <v>306</v>
      </c>
      <c r="H1350">
        <v>8.2256405547807304E-2</v>
      </c>
      <c r="I1350">
        <v>275</v>
      </c>
      <c r="L1350">
        <v>1.3068972337612301E-2</v>
      </c>
      <c r="M1350">
        <v>2.5594049897105401E-2</v>
      </c>
      <c r="N1350">
        <v>2015</v>
      </c>
      <c r="O1350" t="s">
        <v>13</v>
      </c>
      <c r="P1350" t="s">
        <v>286</v>
      </c>
      <c r="Q1350" t="s">
        <v>147</v>
      </c>
      <c r="R1350" t="s">
        <v>25</v>
      </c>
    </row>
    <row r="1351" spans="1:18" x14ac:dyDescent="0.25">
      <c r="A1351" t="s">
        <v>284</v>
      </c>
      <c r="B1351" t="s">
        <v>285</v>
      </c>
      <c r="C1351" t="s">
        <v>12</v>
      </c>
      <c r="D1351">
        <v>1</v>
      </c>
      <c r="E1351">
        <v>55</v>
      </c>
      <c r="F1351">
        <v>0.108509602013222</v>
      </c>
      <c r="G1351">
        <v>258</v>
      </c>
      <c r="H1351">
        <v>9.5773347256109198E-2</v>
      </c>
      <c r="I1351">
        <v>221</v>
      </c>
      <c r="L1351">
        <v>1.3601015403832401E-2</v>
      </c>
      <c r="M1351">
        <v>3.4917552999314601E-2</v>
      </c>
      <c r="N1351">
        <v>2015</v>
      </c>
      <c r="O1351" t="s">
        <v>13</v>
      </c>
      <c r="P1351" t="s">
        <v>286</v>
      </c>
      <c r="Q1351" t="s">
        <v>147</v>
      </c>
      <c r="R1351" t="s">
        <v>25</v>
      </c>
    </row>
    <row r="1352" spans="1:18" x14ac:dyDescent="0.25">
      <c r="A1352" t="s">
        <v>284</v>
      </c>
      <c r="B1352" t="s">
        <v>285</v>
      </c>
      <c r="C1352" t="s">
        <v>12</v>
      </c>
      <c r="D1352">
        <v>1</v>
      </c>
      <c r="E1352">
        <v>65</v>
      </c>
      <c r="F1352">
        <v>0.14824315225871301</v>
      </c>
      <c r="G1352">
        <v>194</v>
      </c>
      <c r="H1352">
        <v>0.118059489978643</v>
      </c>
      <c r="I1352">
        <v>158</v>
      </c>
      <c r="L1352">
        <v>1.3843488063644001E-2</v>
      </c>
      <c r="M1352">
        <v>3.3192911753289603E-2</v>
      </c>
      <c r="N1352">
        <v>2015</v>
      </c>
      <c r="O1352" t="s">
        <v>13</v>
      </c>
      <c r="P1352" t="s">
        <v>286</v>
      </c>
      <c r="Q1352" t="s">
        <v>147</v>
      </c>
      <c r="R1352" t="s">
        <v>25</v>
      </c>
    </row>
    <row r="1353" spans="1:18" x14ac:dyDescent="0.25">
      <c r="A1353" t="s">
        <v>284</v>
      </c>
      <c r="B1353" t="s">
        <v>285</v>
      </c>
      <c r="C1353" t="s">
        <v>12</v>
      </c>
      <c r="D1353">
        <v>1</v>
      </c>
      <c r="E1353">
        <v>75</v>
      </c>
      <c r="F1353">
        <v>0.11115156238517999</v>
      </c>
      <c r="G1353">
        <v>155</v>
      </c>
      <c r="H1353">
        <v>6.8792214938837595E-2</v>
      </c>
      <c r="I1353">
        <v>133</v>
      </c>
      <c r="L1353">
        <v>2.96089223125563E-2</v>
      </c>
      <c r="M1353">
        <v>0.115666501021548</v>
      </c>
      <c r="N1353">
        <v>2015</v>
      </c>
      <c r="O1353" t="s">
        <v>13</v>
      </c>
      <c r="P1353" t="s">
        <v>286</v>
      </c>
      <c r="Q1353" t="s">
        <v>147</v>
      </c>
      <c r="R1353" t="s">
        <v>25</v>
      </c>
    </row>
    <row r="1354" spans="1:18" x14ac:dyDescent="0.25">
      <c r="A1354" t="s">
        <v>284</v>
      </c>
      <c r="B1354" t="s">
        <v>285</v>
      </c>
      <c r="C1354" t="s">
        <v>12</v>
      </c>
      <c r="D1354">
        <v>1</v>
      </c>
      <c r="E1354">
        <v>84.91</v>
      </c>
      <c r="F1354">
        <v>0.12523127403534801</v>
      </c>
      <c r="G1354">
        <v>60</v>
      </c>
      <c r="H1354">
        <v>8.8874890495073106E-2</v>
      </c>
      <c r="I1354">
        <v>49</v>
      </c>
      <c r="L1354">
        <v>3.48609740774668E-2</v>
      </c>
      <c r="M1354">
        <v>0.106647725246095</v>
      </c>
      <c r="N1354">
        <v>2015</v>
      </c>
      <c r="O1354" t="s">
        <v>13</v>
      </c>
      <c r="P1354" t="s">
        <v>286</v>
      </c>
      <c r="Q1354" t="s">
        <v>147</v>
      </c>
      <c r="R1354" t="s">
        <v>25</v>
      </c>
    </row>
    <row r="1355" spans="1:18" x14ac:dyDescent="0.25">
      <c r="A1355" t="s">
        <v>287</v>
      </c>
      <c r="B1355" t="s">
        <v>288</v>
      </c>
      <c r="C1355" t="s">
        <v>12</v>
      </c>
      <c r="D1355">
        <v>2</v>
      </c>
      <c r="E1355">
        <v>19</v>
      </c>
      <c r="F1355">
        <v>0</v>
      </c>
      <c r="G1355">
        <v>73</v>
      </c>
      <c r="H1355">
        <v>7.9493733874072103E-2</v>
      </c>
      <c r="I1355">
        <v>64</v>
      </c>
      <c r="L1355">
        <v>1.9193903700183298E-2</v>
      </c>
      <c r="M1355">
        <v>0</v>
      </c>
      <c r="N1355">
        <v>2019</v>
      </c>
      <c r="O1355" t="s">
        <v>13</v>
      </c>
      <c r="P1355" t="s">
        <v>289</v>
      </c>
      <c r="Q1355" t="s">
        <v>43</v>
      </c>
      <c r="R1355" t="s">
        <v>44</v>
      </c>
    </row>
    <row r="1356" spans="1:18" x14ac:dyDescent="0.25">
      <c r="A1356" t="s">
        <v>287</v>
      </c>
      <c r="B1356" t="s">
        <v>288</v>
      </c>
      <c r="C1356" t="s">
        <v>12</v>
      </c>
      <c r="D1356">
        <v>2</v>
      </c>
      <c r="E1356">
        <v>25</v>
      </c>
      <c r="F1356">
        <v>4.5139462113896796E-3</v>
      </c>
      <c r="G1356">
        <v>345</v>
      </c>
      <c r="H1356">
        <v>6.2668654415079197E-2</v>
      </c>
      <c r="I1356">
        <v>285</v>
      </c>
      <c r="L1356">
        <v>4.39022075117061E-2</v>
      </c>
      <c r="M1356">
        <v>3.3251707875523097E-2</v>
      </c>
      <c r="N1356">
        <v>2019</v>
      </c>
      <c r="O1356" t="s">
        <v>13</v>
      </c>
      <c r="P1356" t="s">
        <v>289</v>
      </c>
      <c r="Q1356" t="s">
        <v>43</v>
      </c>
      <c r="R1356" t="s">
        <v>44</v>
      </c>
    </row>
    <row r="1357" spans="1:18" x14ac:dyDescent="0.25">
      <c r="A1357" t="s">
        <v>287</v>
      </c>
      <c r="B1357" t="s">
        <v>288</v>
      </c>
      <c r="C1357" t="s">
        <v>12</v>
      </c>
      <c r="D1357">
        <v>2</v>
      </c>
      <c r="E1357">
        <v>35</v>
      </c>
      <c r="F1357">
        <v>3.11583495112586E-3</v>
      </c>
      <c r="G1357">
        <v>380</v>
      </c>
      <c r="H1357">
        <v>0.10245147734285499</v>
      </c>
      <c r="I1357">
        <v>329</v>
      </c>
      <c r="L1357">
        <v>4.8901095810891103E-2</v>
      </c>
      <c r="M1357">
        <v>2.1615067488820201E-2</v>
      </c>
      <c r="N1357">
        <v>2019</v>
      </c>
      <c r="O1357" t="s">
        <v>13</v>
      </c>
      <c r="P1357" t="s">
        <v>289</v>
      </c>
      <c r="Q1357" t="s">
        <v>43</v>
      </c>
      <c r="R1357" t="s">
        <v>44</v>
      </c>
    </row>
    <row r="1358" spans="1:18" x14ac:dyDescent="0.25">
      <c r="A1358" t="s">
        <v>287</v>
      </c>
      <c r="B1358" t="s">
        <v>288</v>
      </c>
      <c r="C1358" t="s">
        <v>12</v>
      </c>
      <c r="D1358">
        <v>2</v>
      </c>
      <c r="E1358">
        <v>45</v>
      </c>
      <c r="F1358">
        <v>1.05195345825865E-2</v>
      </c>
      <c r="G1358">
        <v>284</v>
      </c>
      <c r="H1358">
        <v>0.13315617884679301</v>
      </c>
      <c r="I1358">
        <v>230</v>
      </c>
      <c r="L1358">
        <v>6.0897107838871603E-2</v>
      </c>
      <c r="M1358">
        <v>3.2597593884524198E-2</v>
      </c>
      <c r="N1358">
        <v>2019</v>
      </c>
      <c r="O1358" t="s">
        <v>13</v>
      </c>
      <c r="P1358" t="s">
        <v>289</v>
      </c>
      <c r="Q1358" t="s">
        <v>43</v>
      </c>
      <c r="R1358" t="s">
        <v>44</v>
      </c>
    </row>
    <row r="1359" spans="1:18" x14ac:dyDescent="0.25">
      <c r="A1359" t="s">
        <v>287</v>
      </c>
      <c r="B1359" t="s">
        <v>288</v>
      </c>
      <c r="C1359" t="s">
        <v>12</v>
      </c>
      <c r="D1359">
        <v>2</v>
      </c>
      <c r="E1359">
        <v>55</v>
      </c>
      <c r="F1359">
        <v>2.5330444030648699E-2</v>
      </c>
      <c r="G1359">
        <v>177</v>
      </c>
      <c r="H1359">
        <v>0.23470678342779699</v>
      </c>
      <c r="I1359">
        <v>146</v>
      </c>
      <c r="L1359">
        <v>5.8529540979204597E-2</v>
      </c>
      <c r="M1359">
        <v>2.2602627087361899E-2</v>
      </c>
      <c r="N1359">
        <v>2019</v>
      </c>
      <c r="O1359" t="s">
        <v>13</v>
      </c>
      <c r="P1359" t="s">
        <v>289</v>
      </c>
      <c r="Q1359" t="s">
        <v>43</v>
      </c>
      <c r="R1359" t="s">
        <v>44</v>
      </c>
    </row>
    <row r="1360" spans="1:18" x14ac:dyDescent="0.25">
      <c r="A1360" t="s">
        <v>287</v>
      </c>
      <c r="B1360" t="s">
        <v>288</v>
      </c>
      <c r="C1360" t="s">
        <v>12</v>
      </c>
      <c r="D1360">
        <v>2</v>
      </c>
      <c r="E1360">
        <v>65</v>
      </c>
      <c r="F1360">
        <v>0.110840093509255</v>
      </c>
      <c r="G1360">
        <v>108</v>
      </c>
      <c r="H1360">
        <v>0.23887361826791301</v>
      </c>
      <c r="I1360">
        <v>86</v>
      </c>
      <c r="L1360">
        <v>4.8936548939001498E-2</v>
      </c>
      <c r="M1360">
        <v>3.8781076083726697E-2</v>
      </c>
      <c r="N1360">
        <v>2019</v>
      </c>
      <c r="O1360" t="s">
        <v>13</v>
      </c>
      <c r="P1360" t="s">
        <v>289</v>
      </c>
      <c r="Q1360" t="s">
        <v>43</v>
      </c>
      <c r="R1360" t="s">
        <v>44</v>
      </c>
    </row>
    <row r="1361" spans="1:18" x14ac:dyDescent="0.25">
      <c r="A1361" t="s">
        <v>287</v>
      </c>
      <c r="B1361" t="s">
        <v>288</v>
      </c>
      <c r="C1361" t="s">
        <v>12</v>
      </c>
      <c r="D1361">
        <v>1</v>
      </c>
      <c r="E1361">
        <v>19</v>
      </c>
      <c r="F1361">
        <v>0</v>
      </c>
      <c r="G1361">
        <v>49</v>
      </c>
      <c r="H1361">
        <v>2.1669695244692901E-2</v>
      </c>
      <c r="I1361">
        <v>40</v>
      </c>
      <c r="L1361">
        <v>0.16603920809697201</v>
      </c>
      <c r="M1361">
        <v>0</v>
      </c>
      <c r="N1361">
        <v>2019</v>
      </c>
      <c r="O1361" t="s">
        <v>13</v>
      </c>
      <c r="P1361" t="s">
        <v>289</v>
      </c>
      <c r="Q1361" t="s">
        <v>43</v>
      </c>
      <c r="R1361" t="s">
        <v>44</v>
      </c>
    </row>
    <row r="1362" spans="1:18" x14ac:dyDescent="0.25">
      <c r="A1362" t="s">
        <v>287</v>
      </c>
      <c r="B1362" t="s">
        <v>288</v>
      </c>
      <c r="C1362" t="s">
        <v>12</v>
      </c>
      <c r="D1362">
        <v>1</v>
      </c>
      <c r="E1362">
        <v>25</v>
      </c>
      <c r="F1362">
        <v>0</v>
      </c>
      <c r="G1362">
        <v>281</v>
      </c>
      <c r="H1362">
        <v>0.121895065578023</v>
      </c>
      <c r="I1362">
        <v>236</v>
      </c>
      <c r="L1362">
        <v>1.7386113730465599E-2</v>
      </c>
      <c r="M1362">
        <v>0</v>
      </c>
      <c r="N1362">
        <v>2019</v>
      </c>
      <c r="O1362" t="s">
        <v>13</v>
      </c>
      <c r="P1362" t="s">
        <v>289</v>
      </c>
      <c r="Q1362" t="s">
        <v>43</v>
      </c>
      <c r="R1362" t="s">
        <v>44</v>
      </c>
    </row>
    <row r="1363" spans="1:18" x14ac:dyDescent="0.25">
      <c r="A1363" t="s">
        <v>287</v>
      </c>
      <c r="B1363" t="s">
        <v>288</v>
      </c>
      <c r="C1363" t="s">
        <v>12</v>
      </c>
      <c r="D1363">
        <v>1</v>
      </c>
      <c r="E1363">
        <v>35</v>
      </c>
      <c r="F1363">
        <v>1.08047718497282E-2</v>
      </c>
      <c r="G1363">
        <v>272</v>
      </c>
      <c r="H1363">
        <v>9.6517162365447398E-2</v>
      </c>
      <c r="I1363">
        <v>214</v>
      </c>
      <c r="L1363">
        <v>2.8963584149291E-2</v>
      </c>
      <c r="M1363">
        <v>2.0852666685949001E-2</v>
      </c>
      <c r="N1363">
        <v>2019</v>
      </c>
      <c r="O1363" t="s">
        <v>13</v>
      </c>
      <c r="P1363" t="s">
        <v>289</v>
      </c>
      <c r="Q1363" t="s">
        <v>43</v>
      </c>
      <c r="R1363" t="s">
        <v>44</v>
      </c>
    </row>
    <row r="1364" spans="1:18" x14ac:dyDescent="0.25">
      <c r="A1364" t="s">
        <v>287</v>
      </c>
      <c r="B1364" t="s">
        <v>288</v>
      </c>
      <c r="C1364" t="s">
        <v>12</v>
      </c>
      <c r="D1364">
        <v>1</v>
      </c>
      <c r="E1364">
        <v>45</v>
      </c>
      <c r="F1364">
        <v>2.1319975262521801E-2</v>
      </c>
      <c r="G1364">
        <v>189</v>
      </c>
      <c r="H1364">
        <v>0.11759158312371901</v>
      </c>
      <c r="I1364">
        <v>150</v>
      </c>
      <c r="L1364">
        <v>4.3851856471579097E-2</v>
      </c>
      <c r="M1364">
        <v>3.4727930217553701E-2</v>
      </c>
      <c r="N1364">
        <v>2019</v>
      </c>
      <c r="O1364" t="s">
        <v>13</v>
      </c>
      <c r="P1364" t="s">
        <v>289</v>
      </c>
      <c r="Q1364" t="s">
        <v>43</v>
      </c>
      <c r="R1364" t="s">
        <v>44</v>
      </c>
    </row>
    <row r="1365" spans="1:18" x14ac:dyDescent="0.25">
      <c r="A1365" t="s">
        <v>287</v>
      </c>
      <c r="B1365" t="s">
        <v>288</v>
      </c>
      <c r="C1365" t="s">
        <v>12</v>
      </c>
      <c r="D1365">
        <v>1</v>
      </c>
      <c r="E1365">
        <v>55</v>
      </c>
      <c r="F1365">
        <v>4.4055131343421101E-2</v>
      </c>
      <c r="G1365">
        <v>112</v>
      </c>
      <c r="H1365">
        <v>0.20202531832560999</v>
      </c>
      <c r="I1365">
        <v>85</v>
      </c>
      <c r="L1365">
        <v>3.7531587596183101E-2</v>
      </c>
      <c r="M1365">
        <v>2.2276013333437601E-2</v>
      </c>
      <c r="N1365">
        <v>2019</v>
      </c>
      <c r="O1365" t="s">
        <v>13</v>
      </c>
      <c r="P1365" t="s">
        <v>289</v>
      </c>
      <c r="Q1365" t="s">
        <v>43</v>
      </c>
      <c r="R1365" t="s">
        <v>44</v>
      </c>
    </row>
    <row r="1366" spans="1:18" x14ac:dyDescent="0.25">
      <c r="A1366" t="s">
        <v>287</v>
      </c>
      <c r="B1366" t="s">
        <v>288</v>
      </c>
      <c r="C1366" t="s">
        <v>12</v>
      </c>
      <c r="D1366">
        <v>1</v>
      </c>
      <c r="E1366">
        <v>65</v>
      </c>
      <c r="F1366">
        <v>1.5732410896922299E-2</v>
      </c>
      <c r="G1366">
        <v>76</v>
      </c>
      <c r="H1366">
        <v>0.161433967823332</v>
      </c>
      <c r="I1366">
        <v>56</v>
      </c>
      <c r="L1366">
        <v>6.24187625370052E-2</v>
      </c>
      <c r="M1366">
        <v>3.1684717278016902E-2</v>
      </c>
      <c r="N1366">
        <v>2019</v>
      </c>
      <c r="O1366" t="s">
        <v>13</v>
      </c>
      <c r="P1366" t="s">
        <v>289</v>
      </c>
      <c r="Q1366" t="s">
        <v>43</v>
      </c>
      <c r="R1366" t="s">
        <v>44</v>
      </c>
    </row>
    <row r="1367" spans="1:18" x14ac:dyDescent="0.25">
      <c r="A1367" t="s">
        <v>290</v>
      </c>
      <c r="B1367" t="s">
        <v>291</v>
      </c>
      <c r="C1367" t="s">
        <v>12</v>
      </c>
      <c r="D1367">
        <v>2</v>
      </c>
      <c r="E1367">
        <v>19</v>
      </c>
      <c r="F1367">
        <v>0</v>
      </c>
      <c r="G1367">
        <v>111</v>
      </c>
      <c r="H1367">
        <v>3.95312860400674E-2</v>
      </c>
      <c r="I1367">
        <v>79</v>
      </c>
      <c r="L1367">
        <v>2.9510997098305899E-2</v>
      </c>
      <c r="M1367">
        <v>0</v>
      </c>
      <c r="N1367">
        <v>2014</v>
      </c>
      <c r="O1367" t="s">
        <v>13</v>
      </c>
      <c r="P1367" t="s">
        <v>292</v>
      </c>
      <c r="Q1367" t="s">
        <v>94</v>
      </c>
      <c r="R1367" t="s">
        <v>44</v>
      </c>
    </row>
    <row r="1368" spans="1:18" x14ac:dyDescent="0.25">
      <c r="A1368" t="s">
        <v>290</v>
      </c>
      <c r="B1368" t="s">
        <v>291</v>
      </c>
      <c r="C1368" t="s">
        <v>12</v>
      </c>
      <c r="D1368">
        <v>2</v>
      </c>
      <c r="E1368">
        <v>25</v>
      </c>
      <c r="F1368">
        <v>0</v>
      </c>
      <c r="G1368">
        <v>521</v>
      </c>
      <c r="H1368">
        <v>4.2143356131983799E-2</v>
      </c>
      <c r="I1368">
        <v>394</v>
      </c>
      <c r="L1368">
        <v>5.1932794250153597E-2</v>
      </c>
      <c r="M1368">
        <v>0</v>
      </c>
      <c r="N1368">
        <v>2014</v>
      </c>
      <c r="O1368" t="s">
        <v>13</v>
      </c>
      <c r="P1368" t="s">
        <v>292</v>
      </c>
      <c r="Q1368" t="s">
        <v>94</v>
      </c>
      <c r="R1368" t="s">
        <v>44</v>
      </c>
    </row>
    <row r="1369" spans="1:18" x14ac:dyDescent="0.25">
      <c r="A1369" t="s">
        <v>290</v>
      </c>
      <c r="B1369" t="s">
        <v>291</v>
      </c>
      <c r="C1369" t="s">
        <v>12</v>
      </c>
      <c r="D1369">
        <v>2</v>
      </c>
      <c r="E1369">
        <v>35</v>
      </c>
      <c r="F1369">
        <v>4.2253660169238498E-3</v>
      </c>
      <c r="G1369">
        <v>431</v>
      </c>
      <c r="H1369">
        <v>7.7706274024090902E-2</v>
      </c>
      <c r="I1369">
        <v>348</v>
      </c>
      <c r="L1369">
        <v>6.2513133093230894E-2</v>
      </c>
      <c r="M1369">
        <v>4.0865546499588297E-2</v>
      </c>
      <c r="N1369">
        <v>2014</v>
      </c>
      <c r="O1369" t="s">
        <v>13</v>
      </c>
      <c r="P1369" t="s">
        <v>292</v>
      </c>
      <c r="Q1369" t="s">
        <v>94</v>
      </c>
      <c r="R1369" t="s">
        <v>44</v>
      </c>
    </row>
    <row r="1370" spans="1:18" x14ac:dyDescent="0.25">
      <c r="A1370" t="s">
        <v>290</v>
      </c>
      <c r="B1370" t="s">
        <v>291</v>
      </c>
      <c r="C1370" t="s">
        <v>12</v>
      </c>
      <c r="D1370">
        <v>2</v>
      </c>
      <c r="E1370">
        <v>45</v>
      </c>
      <c r="F1370">
        <v>2.8980204410656601E-2</v>
      </c>
      <c r="G1370">
        <v>363</v>
      </c>
      <c r="H1370">
        <v>0.118436040557893</v>
      </c>
      <c r="I1370">
        <v>287</v>
      </c>
      <c r="L1370">
        <v>5.0746547365695498E-2</v>
      </c>
      <c r="M1370">
        <v>4.9520566626795999E-2</v>
      </c>
      <c r="N1370">
        <v>2014</v>
      </c>
      <c r="O1370" t="s">
        <v>13</v>
      </c>
      <c r="P1370" t="s">
        <v>292</v>
      </c>
      <c r="Q1370" t="s">
        <v>94</v>
      </c>
      <c r="R1370" t="s">
        <v>44</v>
      </c>
    </row>
    <row r="1371" spans="1:18" x14ac:dyDescent="0.25">
      <c r="A1371" t="s">
        <v>290</v>
      </c>
      <c r="B1371" t="s">
        <v>291</v>
      </c>
      <c r="C1371" t="s">
        <v>12</v>
      </c>
      <c r="D1371">
        <v>2</v>
      </c>
      <c r="E1371">
        <v>55</v>
      </c>
      <c r="F1371">
        <v>6.2999757981918994E-2</v>
      </c>
      <c r="G1371">
        <v>273</v>
      </c>
      <c r="H1371">
        <v>0.20434968917335</v>
      </c>
      <c r="I1371">
        <v>213</v>
      </c>
      <c r="L1371">
        <v>5.74146076319028E-2</v>
      </c>
      <c r="M1371">
        <v>4.2968917748298301E-2</v>
      </c>
      <c r="N1371">
        <v>2014</v>
      </c>
      <c r="O1371" t="s">
        <v>13</v>
      </c>
      <c r="P1371" t="s">
        <v>292</v>
      </c>
      <c r="Q1371" t="s">
        <v>94</v>
      </c>
      <c r="R1371" t="s">
        <v>44</v>
      </c>
    </row>
    <row r="1372" spans="1:18" x14ac:dyDescent="0.25">
      <c r="A1372" t="s">
        <v>290</v>
      </c>
      <c r="B1372" t="s">
        <v>291</v>
      </c>
      <c r="C1372" t="s">
        <v>12</v>
      </c>
      <c r="D1372">
        <v>2</v>
      </c>
      <c r="E1372">
        <v>65</v>
      </c>
      <c r="F1372">
        <v>0.107355589453637</v>
      </c>
      <c r="G1372">
        <v>226</v>
      </c>
      <c r="H1372">
        <v>0.22887303309687901</v>
      </c>
      <c r="I1372">
        <v>175</v>
      </c>
      <c r="L1372">
        <v>5.0905762520002902E-2</v>
      </c>
      <c r="M1372">
        <v>4.5082047448083598E-2</v>
      </c>
      <c r="N1372">
        <v>2014</v>
      </c>
      <c r="O1372" t="s">
        <v>13</v>
      </c>
      <c r="P1372" t="s">
        <v>292</v>
      </c>
      <c r="Q1372" t="s">
        <v>94</v>
      </c>
      <c r="R1372" t="s">
        <v>44</v>
      </c>
    </row>
    <row r="1373" spans="1:18" x14ac:dyDescent="0.25">
      <c r="A1373" t="s">
        <v>290</v>
      </c>
      <c r="B1373" t="s">
        <v>291</v>
      </c>
      <c r="C1373" t="s">
        <v>12</v>
      </c>
      <c r="D1373">
        <v>1</v>
      </c>
      <c r="E1373">
        <v>19</v>
      </c>
      <c r="F1373">
        <v>0</v>
      </c>
      <c r="G1373">
        <v>88</v>
      </c>
      <c r="H1373">
        <v>2.4278826266221101E-2</v>
      </c>
      <c r="I1373">
        <v>62</v>
      </c>
      <c r="L1373">
        <v>5.6299519124455501E-2</v>
      </c>
      <c r="M1373">
        <v>0</v>
      </c>
      <c r="N1373">
        <v>2014</v>
      </c>
      <c r="O1373" t="s">
        <v>13</v>
      </c>
      <c r="P1373" t="s">
        <v>292</v>
      </c>
      <c r="Q1373" t="s">
        <v>94</v>
      </c>
      <c r="R1373" t="s">
        <v>44</v>
      </c>
    </row>
    <row r="1374" spans="1:18" x14ac:dyDescent="0.25">
      <c r="A1374" t="s">
        <v>290</v>
      </c>
      <c r="B1374" t="s">
        <v>291</v>
      </c>
      <c r="C1374" t="s">
        <v>12</v>
      </c>
      <c r="D1374">
        <v>1</v>
      </c>
      <c r="E1374">
        <v>25</v>
      </c>
      <c r="F1374">
        <v>0</v>
      </c>
      <c r="G1374">
        <v>315</v>
      </c>
      <c r="H1374">
        <v>2.65570560565545E-2</v>
      </c>
      <c r="I1374">
        <v>260</v>
      </c>
      <c r="L1374">
        <v>3.4619069522279798E-2</v>
      </c>
      <c r="M1374">
        <v>0</v>
      </c>
      <c r="N1374">
        <v>2014</v>
      </c>
      <c r="O1374" t="s">
        <v>13</v>
      </c>
      <c r="P1374" t="s">
        <v>292</v>
      </c>
      <c r="Q1374" t="s">
        <v>94</v>
      </c>
      <c r="R1374" t="s">
        <v>44</v>
      </c>
    </row>
    <row r="1375" spans="1:18" x14ac:dyDescent="0.25">
      <c r="A1375" t="s">
        <v>290</v>
      </c>
      <c r="B1375" t="s">
        <v>291</v>
      </c>
      <c r="C1375" t="s">
        <v>12</v>
      </c>
      <c r="D1375">
        <v>1</v>
      </c>
      <c r="E1375">
        <v>35</v>
      </c>
      <c r="F1375">
        <v>2.7081176379943001E-3</v>
      </c>
      <c r="G1375">
        <v>222</v>
      </c>
      <c r="H1375">
        <v>4.2186073946477297E-2</v>
      </c>
      <c r="I1375">
        <v>177</v>
      </c>
      <c r="L1375">
        <v>5.8530736020987899E-2</v>
      </c>
      <c r="M1375">
        <v>5.2773751989814599E-2</v>
      </c>
      <c r="N1375">
        <v>2014</v>
      </c>
      <c r="O1375" t="s">
        <v>13</v>
      </c>
      <c r="P1375" t="s">
        <v>292</v>
      </c>
      <c r="Q1375" t="s">
        <v>94</v>
      </c>
      <c r="R1375" t="s">
        <v>44</v>
      </c>
    </row>
    <row r="1376" spans="1:18" x14ac:dyDescent="0.25">
      <c r="A1376" t="s">
        <v>290</v>
      </c>
      <c r="B1376" t="s">
        <v>291</v>
      </c>
      <c r="C1376" t="s">
        <v>12</v>
      </c>
      <c r="D1376">
        <v>1</v>
      </c>
      <c r="E1376">
        <v>45</v>
      </c>
      <c r="F1376">
        <v>3.5912402295827997E-2</v>
      </c>
      <c r="G1376">
        <v>167</v>
      </c>
      <c r="H1376">
        <v>7.9997528616981201E-2</v>
      </c>
      <c r="I1376">
        <v>136</v>
      </c>
      <c r="L1376">
        <v>5.0972462950817102E-2</v>
      </c>
      <c r="M1376">
        <v>8.4204061395633703E-2</v>
      </c>
      <c r="N1376">
        <v>2014</v>
      </c>
      <c r="O1376" t="s">
        <v>13</v>
      </c>
      <c r="P1376" t="s">
        <v>292</v>
      </c>
      <c r="Q1376" t="s">
        <v>94</v>
      </c>
      <c r="R1376" t="s">
        <v>44</v>
      </c>
    </row>
    <row r="1377" spans="1:18" x14ac:dyDescent="0.25">
      <c r="A1377" t="s">
        <v>290</v>
      </c>
      <c r="B1377" t="s">
        <v>291</v>
      </c>
      <c r="C1377" t="s">
        <v>12</v>
      </c>
      <c r="D1377">
        <v>1</v>
      </c>
      <c r="E1377">
        <v>55</v>
      </c>
      <c r="F1377">
        <v>7.7658708231787194E-2</v>
      </c>
      <c r="G1377">
        <v>120</v>
      </c>
      <c r="H1377">
        <v>9.2196347341498702E-2</v>
      </c>
      <c r="I1377">
        <v>99</v>
      </c>
      <c r="L1377">
        <v>3.74096831639604E-2</v>
      </c>
      <c r="M1377">
        <v>8.4773846754579704E-2</v>
      </c>
      <c r="N1377">
        <v>2014</v>
      </c>
      <c r="O1377" t="s">
        <v>13</v>
      </c>
      <c r="P1377" t="s">
        <v>292</v>
      </c>
      <c r="Q1377" t="s">
        <v>94</v>
      </c>
      <c r="R1377" t="s">
        <v>44</v>
      </c>
    </row>
    <row r="1378" spans="1:18" x14ac:dyDescent="0.25">
      <c r="A1378" t="s">
        <v>290</v>
      </c>
      <c r="B1378" t="s">
        <v>291</v>
      </c>
      <c r="C1378" t="s">
        <v>12</v>
      </c>
      <c r="D1378">
        <v>1</v>
      </c>
      <c r="E1378">
        <v>65</v>
      </c>
      <c r="F1378">
        <v>0.158890864071631</v>
      </c>
      <c r="G1378">
        <v>104</v>
      </c>
      <c r="H1378">
        <v>0.116825659973758</v>
      </c>
      <c r="I1378">
        <v>77</v>
      </c>
      <c r="L1378">
        <v>3.7012926429258602E-2</v>
      </c>
      <c r="M1378">
        <v>0.119414529077931</v>
      </c>
      <c r="N1378">
        <v>2014</v>
      </c>
      <c r="O1378" t="s">
        <v>13</v>
      </c>
      <c r="P1378" t="s">
        <v>292</v>
      </c>
      <c r="Q1378" t="s">
        <v>94</v>
      </c>
      <c r="R1378" t="s">
        <v>44</v>
      </c>
    </row>
    <row r="1379" spans="1:18" x14ac:dyDescent="0.25">
      <c r="A1379" t="s">
        <v>293</v>
      </c>
      <c r="B1379" t="s">
        <v>294</v>
      </c>
      <c r="C1379" t="s">
        <v>12</v>
      </c>
      <c r="D1379">
        <v>2</v>
      </c>
      <c r="E1379">
        <v>19</v>
      </c>
      <c r="F1379">
        <v>1.0542467647096401E-2</v>
      </c>
      <c r="G1379">
        <v>114</v>
      </c>
      <c r="H1379">
        <v>4.80158490873082E-3</v>
      </c>
      <c r="I1379">
        <v>97</v>
      </c>
      <c r="L1379">
        <v>2.5457653423691301E-2</v>
      </c>
      <c r="M1379">
        <v>0.37063662194328001</v>
      </c>
      <c r="N1379">
        <v>2010</v>
      </c>
      <c r="O1379" t="s">
        <v>13</v>
      </c>
      <c r="P1379" t="s">
        <v>295</v>
      </c>
      <c r="Q1379" t="s">
        <v>43</v>
      </c>
      <c r="R1379" t="s">
        <v>44</v>
      </c>
    </row>
    <row r="1380" spans="1:18" x14ac:dyDescent="0.25">
      <c r="A1380" t="s">
        <v>293</v>
      </c>
      <c r="B1380" t="s">
        <v>294</v>
      </c>
      <c r="C1380" t="s">
        <v>12</v>
      </c>
      <c r="D1380">
        <v>2</v>
      </c>
      <c r="E1380">
        <v>25</v>
      </c>
      <c r="F1380">
        <v>2.6959418837465099E-3</v>
      </c>
      <c r="G1380">
        <v>645</v>
      </c>
      <c r="H1380">
        <v>1.5756608083233498E-2</v>
      </c>
      <c r="I1380">
        <v>527</v>
      </c>
      <c r="L1380">
        <v>3.3019472215701E-2</v>
      </c>
      <c r="M1380">
        <v>5.8114819669506802E-2</v>
      </c>
      <c r="N1380">
        <v>2010</v>
      </c>
      <c r="O1380" t="s">
        <v>13</v>
      </c>
      <c r="P1380" t="s">
        <v>295</v>
      </c>
      <c r="Q1380" t="s">
        <v>43</v>
      </c>
      <c r="R1380" t="s">
        <v>44</v>
      </c>
    </row>
    <row r="1381" spans="1:18" x14ac:dyDescent="0.25">
      <c r="A1381" t="s">
        <v>293</v>
      </c>
      <c r="B1381" t="s">
        <v>294</v>
      </c>
      <c r="C1381" t="s">
        <v>12</v>
      </c>
      <c r="D1381">
        <v>2</v>
      </c>
      <c r="E1381">
        <v>35</v>
      </c>
      <c r="F1381">
        <v>0</v>
      </c>
      <c r="G1381">
        <v>529</v>
      </c>
      <c r="H1381">
        <v>2.17423218486777E-2</v>
      </c>
      <c r="I1381">
        <v>442</v>
      </c>
      <c r="L1381">
        <v>5.3139522317450803E-2</v>
      </c>
      <c r="M1381">
        <v>0</v>
      </c>
      <c r="N1381">
        <v>2010</v>
      </c>
      <c r="O1381" t="s">
        <v>13</v>
      </c>
      <c r="P1381" t="s">
        <v>295</v>
      </c>
      <c r="Q1381" t="s">
        <v>43</v>
      </c>
      <c r="R1381" t="s">
        <v>44</v>
      </c>
    </row>
    <row r="1382" spans="1:18" x14ac:dyDescent="0.25">
      <c r="A1382" t="s">
        <v>293</v>
      </c>
      <c r="B1382" t="s">
        <v>294</v>
      </c>
      <c r="C1382" t="s">
        <v>12</v>
      </c>
      <c r="D1382">
        <v>2</v>
      </c>
      <c r="E1382">
        <v>45</v>
      </c>
      <c r="F1382">
        <v>1.51517042883635E-3</v>
      </c>
      <c r="G1382">
        <v>374</v>
      </c>
      <c r="H1382">
        <v>4.2939391368630599E-2</v>
      </c>
      <c r="I1382">
        <v>318</v>
      </c>
      <c r="L1382">
        <v>6.4119095368280907E-2</v>
      </c>
      <c r="M1382">
        <v>4.62764653080774E-2</v>
      </c>
      <c r="N1382">
        <v>2010</v>
      </c>
      <c r="O1382" t="s">
        <v>13</v>
      </c>
      <c r="P1382" t="s">
        <v>295</v>
      </c>
      <c r="Q1382" t="s">
        <v>43</v>
      </c>
      <c r="R1382" t="s">
        <v>44</v>
      </c>
    </row>
    <row r="1383" spans="1:18" x14ac:dyDescent="0.25">
      <c r="A1383" t="s">
        <v>293</v>
      </c>
      <c r="B1383" t="s">
        <v>294</v>
      </c>
      <c r="C1383" t="s">
        <v>12</v>
      </c>
      <c r="D1383">
        <v>2</v>
      </c>
      <c r="E1383">
        <v>55</v>
      </c>
      <c r="F1383">
        <v>3.9668625824462303E-2</v>
      </c>
      <c r="G1383">
        <v>204</v>
      </c>
      <c r="H1383">
        <v>4.5476938625243601E-2</v>
      </c>
      <c r="I1383">
        <v>167</v>
      </c>
      <c r="L1383">
        <v>3.4480999314254301E-2</v>
      </c>
      <c r="M1383">
        <v>0.10628038582378101</v>
      </c>
      <c r="N1383">
        <v>2010</v>
      </c>
      <c r="O1383" t="s">
        <v>13</v>
      </c>
      <c r="P1383" t="s">
        <v>295</v>
      </c>
      <c r="Q1383" t="s">
        <v>43</v>
      </c>
      <c r="R1383" t="s">
        <v>44</v>
      </c>
    </row>
    <row r="1384" spans="1:18" x14ac:dyDescent="0.25">
      <c r="A1384" t="s">
        <v>293</v>
      </c>
      <c r="B1384" t="s">
        <v>294</v>
      </c>
      <c r="C1384" t="s">
        <v>12</v>
      </c>
      <c r="D1384">
        <v>2</v>
      </c>
      <c r="E1384">
        <v>62.5</v>
      </c>
      <c r="F1384">
        <v>5.8873034693545101E-2</v>
      </c>
      <c r="G1384">
        <v>101</v>
      </c>
      <c r="H1384">
        <v>7.9189939807350895E-2</v>
      </c>
      <c r="I1384">
        <v>75</v>
      </c>
      <c r="L1384">
        <v>2.4105161716387699E-2</v>
      </c>
      <c r="M1384">
        <v>5.1016688279610499E-2</v>
      </c>
      <c r="N1384">
        <v>2010</v>
      </c>
      <c r="O1384" t="s">
        <v>13</v>
      </c>
      <c r="P1384" t="s">
        <v>295</v>
      </c>
      <c r="Q1384" t="s">
        <v>43</v>
      </c>
      <c r="R1384" t="s">
        <v>44</v>
      </c>
    </row>
    <row r="1385" spans="1:18" x14ac:dyDescent="0.25">
      <c r="A1385" t="s">
        <v>293</v>
      </c>
      <c r="B1385" t="s">
        <v>294</v>
      </c>
      <c r="C1385" t="s">
        <v>12</v>
      </c>
      <c r="D1385">
        <v>1</v>
      </c>
      <c r="E1385">
        <v>19</v>
      </c>
      <c r="F1385">
        <v>0</v>
      </c>
      <c r="G1385">
        <v>79</v>
      </c>
      <c r="H1385">
        <v>7.4935734515092899E-3</v>
      </c>
      <c r="I1385">
        <v>62</v>
      </c>
      <c r="L1385">
        <v>0.139005572031738</v>
      </c>
      <c r="M1385">
        <v>0</v>
      </c>
      <c r="N1385">
        <v>2010</v>
      </c>
      <c r="O1385" t="s">
        <v>13</v>
      </c>
      <c r="P1385" t="s">
        <v>295</v>
      </c>
      <c r="Q1385" t="s">
        <v>43</v>
      </c>
      <c r="R1385" t="s">
        <v>44</v>
      </c>
    </row>
    <row r="1386" spans="1:18" x14ac:dyDescent="0.25">
      <c r="A1386" t="s">
        <v>293</v>
      </c>
      <c r="B1386" t="s">
        <v>294</v>
      </c>
      <c r="C1386" t="s">
        <v>12</v>
      </c>
      <c r="D1386">
        <v>1</v>
      </c>
      <c r="E1386">
        <v>25</v>
      </c>
      <c r="F1386">
        <v>0</v>
      </c>
      <c r="G1386">
        <v>594</v>
      </c>
      <c r="H1386">
        <v>1.7213863339699199E-2</v>
      </c>
      <c r="I1386">
        <v>489</v>
      </c>
      <c r="L1386">
        <v>3.1015333180262401E-2</v>
      </c>
      <c r="M1386">
        <v>0</v>
      </c>
      <c r="N1386">
        <v>2010</v>
      </c>
      <c r="O1386" t="s">
        <v>13</v>
      </c>
      <c r="P1386" t="s">
        <v>295</v>
      </c>
      <c r="Q1386" t="s">
        <v>43</v>
      </c>
      <c r="R1386" t="s">
        <v>44</v>
      </c>
    </row>
    <row r="1387" spans="1:18" x14ac:dyDescent="0.25">
      <c r="A1387" t="s">
        <v>293</v>
      </c>
      <c r="B1387" t="s">
        <v>294</v>
      </c>
      <c r="C1387" t="s">
        <v>12</v>
      </c>
      <c r="D1387">
        <v>1</v>
      </c>
      <c r="E1387">
        <v>35</v>
      </c>
      <c r="F1387">
        <v>2.2220000733032198E-3</v>
      </c>
      <c r="G1387">
        <v>496</v>
      </c>
      <c r="H1387">
        <v>3.84868158768236E-2</v>
      </c>
      <c r="I1387">
        <v>398</v>
      </c>
      <c r="L1387">
        <v>1.97519701811028E-2</v>
      </c>
      <c r="M1387">
        <v>1.7143847505540401E-2</v>
      </c>
      <c r="N1387">
        <v>2010</v>
      </c>
      <c r="O1387" t="s">
        <v>13</v>
      </c>
      <c r="P1387" t="s">
        <v>295</v>
      </c>
      <c r="Q1387" t="s">
        <v>43</v>
      </c>
      <c r="R1387" t="s">
        <v>44</v>
      </c>
    </row>
    <row r="1388" spans="1:18" x14ac:dyDescent="0.25">
      <c r="A1388" t="s">
        <v>293</v>
      </c>
      <c r="B1388" t="s">
        <v>294</v>
      </c>
      <c r="C1388" t="s">
        <v>12</v>
      </c>
      <c r="D1388">
        <v>1</v>
      </c>
      <c r="E1388">
        <v>45</v>
      </c>
      <c r="F1388">
        <v>5.0291900803885597E-3</v>
      </c>
      <c r="G1388">
        <v>397</v>
      </c>
      <c r="H1388">
        <v>5.6937639743051799E-2</v>
      </c>
      <c r="I1388">
        <v>323</v>
      </c>
      <c r="L1388">
        <v>3.1965199961950998E-2</v>
      </c>
      <c r="M1388">
        <v>2.85702195740823E-2</v>
      </c>
      <c r="N1388">
        <v>2010</v>
      </c>
      <c r="O1388" t="s">
        <v>13</v>
      </c>
      <c r="P1388" t="s">
        <v>295</v>
      </c>
      <c r="Q1388" t="s">
        <v>43</v>
      </c>
      <c r="R1388" t="s">
        <v>44</v>
      </c>
    </row>
    <row r="1389" spans="1:18" x14ac:dyDescent="0.25">
      <c r="A1389" t="s">
        <v>293</v>
      </c>
      <c r="B1389" t="s">
        <v>294</v>
      </c>
      <c r="C1389" t="s">
        <v>12</v>
      </c>
      <c r="D1389">
        <v>1</v>
      </c>
      <c r="E1389">
        <v>55</v>
      </c>
      <c r="F1389">
        <v>2.0538459050965401E-2</v>
      </c>
      <c r="G1389">
        <v>242</v>
      </c>
      <c r="H1389">
        <v>5.9771082289074601E-2</v>
      </c>
      <c r="I1389">
        <v>201</v>
      </c>
      <c r="L1389">
        <v>2.5327621419156399E-2</v>
      </c>
      <c r="M1389">
        <v>4.0503648020538699E-2</v>
      </c>
      <c r="N1389">
        <v>2010</v>
      </c>
      <c r="O1389" t="s">
        <v>13</v>
      </c>
      <c r="P1389" t="s">
        <v>295</v>
      </c>
      <c r="Q1389" t="s">
        <v>43</v>
      </c>
      <c r="R1389" t="s">
        <v>44</v>
      </c>
    </row>
    <row r="1390" spans="1:18" x14ac:dyDescent="0.25">
      <c r="A1390" t="s">
        <v>293</v>
      </c>
      <c r="B1390" t="s">
        <v>294</v>
      </c>
      <c r="C1390" t="s">
        <v>12</v>
      </c>
      <c r="D1390">
        <v>1</v>
      </c>
      <c r="E1390">
        <v>62.5</v>
      </c>
      <c r="F1390">
        <v>3.45491140438203E-2</v>
      </c>
      <c r="G1390">
        <v>89</v>
      </c>
      <c r="H1390">
        <v>0.11094710001609</v>
      </c>
      <c r="I1390">
        <v>78</v>
      </c>
      <c r="L1390">
        <v>3.3057238161299102E-2</v>
      </c>
      <c r="M1390">
        <v>3.8846690532113898E-2</v>
      </c>
      <c r="N1390">
        <v>2010</v>
      </c>
      <c r="O1390" t="s">
        <v>13</v>
      </c>
      <c r="P1390" t="s">
        <v>295</v>
      </c>
      <c r="Q1390" t="s">
        <v>43</v>
      </c>
      <c r="R1390" t="s">
        <v>44</v>
      </c>
    </row>
    <row r="1391" spans="1:18" x14ac:dyDescent="0.25">
      <c r="A1391" t="s">
        <v>293</v>
      </c>
      <c r="B1391" t="s">
        <v>296</v>
      </c>
      <c r="C1391" t="s">
        <v>12</v>
      </c>
      <c r="D1391">
        <v>2</v>
      </c>
      <c r="E1391">
        <v>19</v>
      </c>
      <c r="F1391">
        <v>8.2398532512102593E-3</v>
      </c>
      <c r="G1391">
        <v>86</v>
      </c>
      <c r="H1391">
        <v>2.58271471241866E-2</v>
      </c>
      <c r="I1391">
        <v>78</v>
      </c>
      <c r="L1391">
        <v>9.2442116806604E-3</v>
      </c>
      <c r="M1391">
        <v>2.03942669432766E-2</v>
      </c>
      <c r="N1391">
        <v>2022</v>
      </c>
      <c r="O1391" t="s">
        <v>13</v>
      </c>
      <c r="P1391" t="s">
        <v>295</v>
      </c>
      <c r="Q1391" t="s">
        <v>43</v>
      </c>
      <c r="R1391" t="s">
        <v>44</v>
      </c>
    </row>
    <row r="1392" spans="1:18" x14ac:dyDescent="0.25">
      <c r="A1392" t="s">
        <v>293</v>
      </c>
      <c r="B1392" t="s">
        <v>296</v>
      </c>
      <c r="C1392" t="s">
        <v>12</v>
      </c>
      <c r="D1392">
        <v>2</v>
      </c>
      <c r="E1392">
        <v>25</v>
      </c>
      <c r="F1392">
        <v>0</v>
      </c>
      <c r="G1392">
        <v>513</v>
      </c>
      <c r="H1392">
        <v>5.0135905629236401E-2</v>
      </c>
      <c r="I1392">
        <v>478</v>
      </c>
      <c r="L1392">
        <v>2.81133057131394E-2</v>
      </c>
      <c r="M1392">
        <v>0</v>
      </c>
      <c r="N1392">
        <v>2022</v>
      </c>
      <c r="O1392" t="s">
        <v>13</v>
      </c>
      <c r="P1392" t="s">
        <v>295</v>
      </c>
      <c r="Q1392" t="s">
        <v>43</v>
      </c>
      <c r="R1392" t="s">
        <v>44</v>
      </c>
    </row>
    <row r="1393" spans="1:18" x14ac:dyDescent="0.25">
      <c r="A1393" t="s">
        <v>293</v>
      </c>
      <c r="B1393" t="s">
        <v>296</v>
      </c>
      <c r="C1393" t="s">
        <v>12</v>
      </c>
      <c r="D1393">
        <v>2</v>
      </c>
      <c r="E1393">
        <v>35</v>
      </c>
      <c r="F1393">
        <v>5.7132871026491601E-3</v>
      </c>
      <c r="G1393">
        <v>552</v>
      </c>
      <c r="H1393">
        <v>5.8658854337268598E-2</v>
      </c>
      <c r="I1393">
        <v>510</v>
      </c>
      <c r="L1393">
        <v>3.8017529553043501E-2</v>
      </c>
      <c r="M1393">
        <v>3.4318946203416398E-2</v>
      </c>
      <c r="N1393">
        <v>2022</v>
      </c>
      <c r="O1393" t="s">
        <v>13</v>
      </c>
      <c r="P1393" t="s">
        <v>295</v>
      </c>
      <c r="Q1393" t="s">
        <v>43</v>
      </c>
      <c r="R1393" t="s">
        <v>44</v>
      </c>
    </row>
    <row r="1394" spans="1:18" x14ac:dyDescent="0.25">
      <c r="A1394" t="s">
        <v>293</v>
      </c>
      <c r="B1394" t="s">
        <v>296</v>
      </c>
      <c r="C1394" t="s">
        <v>12</v>
      </c>
      <c r="D1394">
        <v>2</v>
      </c>
      <c r="E1394">
        <v>45</v>
      </c>
      <c r="F1394">
        <v>1.9965411556836898E-2</v>
      </c>
      <c r="G1394">
        <v>439</v>
      </c>
      <c r="H1394">
        <v>8.6036250132793701E-2</v>
      </c>
      <c r="I1394">
        <v>408</v>
      </c>
      <c r="L1394">
        <v>2.88019419788445E-2</v>
      </c>
      <c r="M1394">
        <v>3.1933469215734901E-2</v>
      </c>
      <c r="N1394">
        <v>2022</v>
      </c>
      <c r="O1394" t="s">
        <v>13</v>
      </c>
      <c r="P1394" t="s">
        <v>295</v>
      </c>
      <c r="Q1394" t="s">
        <v>43</v>
      </c>
      <c r="R1394" t="s">
        <v>44</v>
      </c>
    </row>
    <row r="1395" spans="1:18" x14ac:dyDescent="0.25">
      <c r="A1395" t="s">
        <v>293</v>
      </c>
      <c r="B1395" t="s">
        <v>296</v>
      </c>
      <c r="C1395" t="s">
        <v>12</v>
      </c>
      <c r="D1395">
        <v>2</v>
      </c>
      <c r="E1395">
        <v>55</v>
      </c>
      <c r="F1395">
        <v>4.8274292693625501E-2</v>
      </c>
      <c r="G1395">
        <v>331</v>
      </c>
      <c r="H1395">
        <v>0.135807668984609</v>
      </c>
      <c r="I1395">
        <v>300</v>
      </c>
      <c r="L1395">
        <v>3.80434596040218E-2</v>
      </c>
      <c r="M1395">
        <v>4.2015082708138002E-2</v>
      </c>
      <c r="N1395">
        <v>2022</v>
      </c>
      <c r="O1395" t="s">
        <v>13</v>
      </c>
      <c r="P1395" t="s">
        <v>295</v>
      </c>
      <c r="Q1395" t="s">
        <v>43</v>
      </c>
      <c r="R1395" t="s">
        <v>44</v>
      </c>
    </row>
    <row r="1396" spans="1:18" x14ac:dyDescent="0.25">
      <c r="A1396" t="s">
        <v>293</v>
      </c>
      <c r="B1396" t="s">
        <v>296</v>
      </c>
      <c r="C1396" t="s">
        <v>12</v>
      </c>
      <c r="D1396">
        <v>2</v>
      </c>
      <c r="E1396">
        <v>65</v>
      </c>
      <c r="F1396">
        <v>7.1424345131266304E-2</v>
      </c>
      <c r="G1396">
        <v>251</v>
      </c>
      <c r="H1396">
        <v>0.13430029484028799</v>
      </c>
      <c r="I1396">
        <v>229</v>
      </c>
      <c r="L1396">
        <v>4.0407352899497699E-2</v>
      </c>
      <c r="M1396">
        <v>5.6704912255665103E-2</v>
      </c>
      <c r="N1396">
        <v>2022</v>
      </c>
      <c r="O1396" t="s">
        <v>13</v>
      </c>
      <c r="P1396" t="s">
        <v>295</v>
      </c>
      <c r="Q1396" t="s">
        <v>43</v>
      </c>
      <c r="R1396" t="s">
        <v>44</v>
      </c>
    </row>
    <row r="1397" spans="1:18" x14ac:dyDescent="0.25">
      <c r="A1397" t="s">
        <v>293</v>
      </c>
      <c r="B1397" t="s">
        <v>296</v>
      </c>
      <c r="C1397" t="s">
        <v>12</v>
      </c>
      <c r="D1397">
        <v>1</v>
      </c>
      <c r="E1397">
        <v>19</v>
      </c>
      <c r="F1397">
        <v>0</v>
      </c>
      <c r="G1397">
        <v>80</v>
      </c>
      <c r="H1397">
        <v>4.7514741441081303E-2</v>
      </c>
      <c r="I1397">
        <v>73</v>
      </c>
      <c r="L1397">
        <v>1.15375352908796E-2</v>
      </c>
      <c r="M1397">
        <v>0</v>
      </c>
      <c r="N1397">
        <v>2022</v>
      </c>
      <c r="O1397" t="s">
        <v>13</v>
      </c>
      <c r="P1397" t="s">
        <v>295</v>
      </c>
      <c r="Q1397" t="s">
        <v>43</v>
      </c>
      <c r="R1397" t="s">
        <v>44</v>
      </c>
    </row>
    <row r="1398" spans="1:18" x14ac:dyDescent="0.25">
      <c r="A1398" t="s">
        <v>293</v>
      </c>
      <c r="B1398" t="s">
        <v>296</v>
      </c>
      <c r="C1398" t="s">
        <v>12</v>
      </c>
      <c r="D1398">
        <v>1</v>
      </c>
      <c r="E1398">
        <v>25</v>
      </c>
      <c r="F1398">
        <v>0</v>
      </c>
      <c r="G1398">
        <v>353</v>
      </c>
      <c r="H1398">
        <v>2.6518334458693699E-2</v>
      </c>
      <c r="I1398">
        <v>326</v>
      </c>
      <c r="L1398">
        <v>2.19308889383498E-2</v>
      </c>
      <c r="M1398">
        <v>0</v>
      </c>
      <c r="N1398">
        <v>2022</v>
      </c>
      <c r="O1398" t="s">
        <v>13</v>
      </c>
      <c r="P1398" t="s">
        <v>295</v>
      </c>
      <c r="Q1398" t="s">
        <v>43</v>
      </c>
      <c r="R1398" t="s">
        <v>44</v>
      </c>
    </row>
    <row r="1399" spans="1:18" x14ac:dyDescent="0.25">
      <c r="A1399" t="s">
        <v>293</v>
      </c>
      <c r="B1399" t="s">
        <v>296</v>
      </c>
      <c r="C1399" t="s">
        <v>12</v>
      </c>
      <c r="D1399">
        <v>1</v>
      </c>
      <c r="E1399">
        <v>35</v>
      </c>
      <c r="F1399">
        <v>7.6098348578600896E-3</v>
      </c>
      <c r="G1399">
        <v>385</v>
      </c>
      <c r="H1399">
        <v>4.9717909323165999E-2</v>
      </c>
      <c r="I1399">
        <v>356</v>
      </c>
      <c r="L1399">
        <v>3.18269778033256E-2</v>
      </c>
      <c r="M1399">
        <v>3.7350041330960697E-2</v>
      </c>
      <c r="N1399">
        <v>2022</v>
      </c>
      <c r="O1399" t="s">
        <v>13</v>
      </c>
      <c r="P1399" t="s">
        <v>295</v>
      </c>
      <c r="Q1399" t="s">
        <v>43</v>
      </c>
      <c r="R1399" t="s">
        <v>44</v>
      </c>
    </row>
    <row r="1400" spans="1:18" x14ac:dyDescent="0.25">
      <c r="A1400" t="s">
        <v>293</v>
      </c>
      <c r="B1400" t="s">
        <v>296</v>
      </c>
      <c r="C1400" t="s">
        <v>12</v>
      </c>
      <c r="D1400">
        <v>1</v>
      </c>
      <c r="E1400">
        <v>45</v>
      </c>
      <c r="F1400">
        <v>2.6529834983008701E-2</v>
      </c>
      <c r="G1400">
        <v>335</v>
      </c>
      <c r="H1400">
        <v>7.8232133400055498E-2</v>
      </c>
      <c r="I1400">
        <v>315</v>
      </c>
      <c r="L1400">
        <v>3.1650817637841201E-2</v>
      </c>
      <c r="M1400">
        <v>4.4055957928817599E-2</v>
      </c>
      <c r="N1400">
        <v>2022</v>
      </c>
      <c r="O1400" t="s">
        <v>13</v>
      </c>
      <c r="P1400" t="s">
        <v>295</v>
      </c>
      <c r="Q1400" t="s">
        <v>43</v>
      </c>
      <c r="R1400" t="s">
        <v>44</v>
      </c>
    </row>
    <row r="1401" spans="1:18" x14ac:dyDescent="0.25">
      <c r="A1401" t="s">
        <v>293</v>
      </c>
      <c r="B1401" t="s">
        <v>296</v>
      </c>
      <c r="C1401" t="s">
        <v>12</v>
      </c>
      <c r="D1401">
        <v>1</v>
      </c>
      <c r="E1401">
        <v>55</v>
      </c>
      <c r="F1401">
        <v>3.0544801747469801E-2</v>
      </c>
      <c r="G1401">
        <v>242</v>
      </c>
      <c r="H1401">
        <v>9.2282274277254106E-2</v>
      </c>
      <c r="I1401">
        <v>222</v>
      </c>
      <c r="L1401">
        <v>3.3336615839792499E-2</v>
      </c>
      <c r="M1401">
        <v>4.2371861939129597E-2</v>
      </c>
      <c r="N1401">
        <v>2022</v>
      </c>
      <c r="O1401" t="s">
        <v>13</v>
      </c>
      <c r="P1401" t="s">
        <v>295</v>
      </c>
      <c r="Q1401" t="s">
        <v>43</v>
      </c>
      <c r="R1401" t="s">
        <v>44</v>
      </c>
    </row>
    <row r="1402" spans="1:18" x14ac:dyDescent="0.25">
      <c r="A1402" t="s">
        <v>293</v>
      </c>
      <c r="B1402" t="s">
        <v>296</v>
      </c>
      <c r="C1402" t="s">
        <v>12</v>
      </c>
      <c r="D1402">
        <v>1</v>
      </c>
      <c r="E1402">
        <v>65</v>
      </c>
      <c r="F1402">
        <v>3.6542103260027999E-2</v>
      </c>
      <c r="G1402">
        <v>191</v>
      </c>
      <c r="H1402">
        <v>0.15619635541917401</v>
      </c>
      <c r="I1402">
        <v>167</v>
      </c>
      <c r="L1402">
        <v>1.99283723810561E-2</v>
      </c>
      <c r="M1402">
        <v>1.5714105650957801E-2</v>
      </c>
      <c r="N1402">
        <v>2022</v>
      </c>
      <c r="O1402" t="s">
        <v>13</v>
      </c>
      <c r="P1402" t="s">
        <v>295</v>
      </c>
      <c r="Q1402" t="s">
        <v>43</v>
      </c>
      <c r="R1402" t="s">
        <v>44</v>
      </c>
    </row>
    <row r="1403" spans="1:18" x14ac:dyDescent="0.25">
      <c r="A1403" t="s">
        <v>297</v>
      </c>
      <c r="B1403" t="s">
        <v>298</v>
      </c>
      <c r="C1403" t="s">
        <v>12</v>
      </c>
      <c r="D1403">
        <v>2</v>
      </c>
      <c r="E1403">
        <v>19</v>
      </c>
      <c r="F1403">
        <v>0</v>
      </c>
      <c r="G1403">
        <v>39</v>
      </c>
      <c r="H1403">
        <v>2.2662279944789102E-2</v>
      </c>
      <c r="I1403">
        <v>39</v>
      </c>
      <c r="L1403">
        <v>6.23015126311341E-2</v>
      </c>
      <c r="M1403">
        <v>0</v>
      </c>
      <c r="N1403">
        <v>2016</v>
      </c>
      <c r="O1403" t="s">
        <v>13</v>
      </c>
      <c r="P1403" t="s">
        <v>299</v>
      </c>
      <c r="Q1403" t="s">
        <v>29</v>
      </c>
      <c r="R1403" t="s">
        <v>20</v>
      </c>
    </row>
    <row r="1404" spans="1:18" x14ac:dyDescent="0.25">
      <c r="A1404" t="s">
        <v>297</v>
      </c>
      <c r="B1404" t="s">
        <v>298</v>
      </c>
      <c r="C1404" t="s">
        <v>12</v>
      </c>
      <c r="D1404">
        <v>2</v>
      </c>
      <c r="E1404">
        <v>25</v>
      </c>
      <c r="F1404">
        <v>2.0051428120739902E-3</v>
      </c>
      <c r="G1404">
        <v>359</v>
      </c>
      <c r="H1404">
        <v>2.03703036344338E-2</v>
      </c>
      <c r="I1404">
        <v>338</v>
      </c>
      <c r="L1404">
        <v>6.5407673760897997E-2</v>
      </c>
      <c r="M1404">
        <v>8.6612942006223603E-2</v>
      </c>
      <c r="N1404">
        <v>2016</v>
      </c>
      <c r="O1404" t="s">
        <v>13</v>
      </c>
      <c r="P1404" t="s">
        <v>299</v>
      </c>
      <c r="Q1404" t="s">
        <v>29</v>
      </c>
      <c r="R1404" t="s">
        <v>20</v>
      </c>
    </row>
    <row r="1405" spans="1:18" x14ac:dyDescent="0.25">
      <c r="A1405" t="s">
        <v>297</v>
      </c>
      <c r="B1405" t="s">
        <v>298</v>
      </c>
      <c r="C1405" t="s">
        <v>12</v>
      </c>
      <c r="D1405">
        <v>2</v>
      </c>
      <c r="E1405">
        <v>35</v>
      </c>
      <c r="F1405">
        <v>4.6279942496941899E-4</v>
      </c>
      <c r="G1405">
        <v>413</v>
      </c>
      <c r="H1405">
        <v>6.8774808706608903E-2</v>
      </c>
      <c r="I1405">
        <v>382</v>
      </c>
      <c r="L1405">
        <v>3.9273216398461798E-2</v>
      </c>
      <c r="M1405">
        <v>1.46522554732648E-2</v>
      </c>
      <c r="N1405">
        <v>2016</v>
      </c>
      <c r="O1405" t="s">
        <v>13</v>
      </c>
      <c r="P1405" t="s">
        <v>299</v>
      </c>
      <c r="Q1405" t="s">
        <v>29</v>
      </c>
      <c r="R1405" t="s">
        <v>20</v>
      </c>
    </row>
    <row r="1406" spans="1:18" x14ac:dyDescent="0.25">
      <c r="A1406" t="s">
        <v>297</v>
      </c>
      <c r="B1406" t="s">
        <v>298</v>
      </c>
      <c r="C1406" t="s">
        <v>12</v>
      </c>
      <c r="D1406">
        <v>2</v>
      </c>
      <c r="E1406">
        <v>45</v>
      </c>
      <c r="F1406">
        <v>1.29835147555191E-2</v>
      </c>
      <c r="G1406">
        <v>380</v>
      </c>
      <c r="H1406">
        <v>0.12566253952928</v>
      </c>
      <c r="I1406">
        <v>354</v>
      </c>
      <c r="L1406">
        <v>4.4744762175792603E-2</v>
      </c>
      <c r="M1406">
        <v>2.69454481764792E-2</v>
      </c>
      <c r="N1406">
        <v>2016</v>
      </c>
      <c r="O1406" t="s">
        <v>13</v>
      </c>
      <c r="P1406" t="s">
        <v>299</v>
      </c>
      <c r="Q1406" t="s">
        <v>29</v>
      </c>
      <c r="R1406" t="s">
        <v>20</v>
      </c>
    </row>
    <row r="1407" spans="1:18" x14ac:dyDescent="0.25">
      <c r="A1407" t="s">
        <v>297</v>
      </c>
      <c r="B1407" t="s">
        <v>298</v>
      </c>
      <c r="C1407" t="s">
        <v>12</v>
      </c>
      <c r="D1407">
        <v>2</v>
      </c>
      <c r="E1407">
        <v>55</v>
      </c>
      <c r="F1407">
        <v>4.0118598750940503E-2</v>
      </c>
      <c r="G1407">
        <v>242</v>
      </c>
      <c r="H1407">
        <v>0.172180228041932</v>
      </c>
      <c r="I1407">
        <v>222</v>
      </c>
      <c r="L1407">
        <v>5.8842270335866802E-2</v>
      </c>
      <c r="M1407">
        <v>4.13669008841746E-2</v>
      </c>
      <c r="N1407">
        <v>2016</v>
      </c>
      <c r="O1407" t="s">
        <v>13</v>
      </c>
      <c r="P1407" t="s">
        <v>299</v>
      </c>
      <c r="Q1407" t="s">
        <v>29</v>
      </c>
      <c r="R1407" t="s">
        <v>20</v>
      </c>
    </row>
    <row r="1408" spans="1:18" x14ac:dyDescent="0.25">
      <c r="A1408" t="s">
        <v>297</v>
      </c>
      <c r="B1408" t="s">
        <v>298</v>
      </c>
      <c r="C1408" t="s">
        <v>12</v>
      </c>
      <c r="D1408">
        <v>2</v>
      </c>
      <c r="E1408">
        <v>65</v>
      </c>
      <c r="F1408">
        <v>7.31631579889475E-2</v>
      </c>
      <c r="G1408">
        <v>134</v>
      </c>
      <c r="H1408">
        <v>0.236987880568062</v>
      </c>
      <c r="I1408">
        <v>120</v>
      </c>
      <c r="L1408">
        <v>5.7519751464006598E-2</v>
      </c>
      <c r="M1408">
        <v>3.6182599432720598E-2</v>
      </c>
      <c r="N1408">
        <v>2016</v>
      </c>
      <c r="O1408" t="s">
        <v>13</v>
      </c>
      <c r="P1408" t="s">
        <v>299</v>
      </c>
      <c r="Q1408" t="s">
        <v>29</v>
      </c>
      <c r="R1408" t="s">
        <v>20</v>
      </c>
    </row>
    <row r="1409" spans="1:18" x14ac:dyDescent="0.25">
      <c r="A1409" t="s">
        <v>297</v>
      </c>
      <c r="B1409" t="s">
        <v>298</v>
      </c>
      <c r="C1409" t="s">
        <v>12</v>
      </c>
      <c r="D1409">
        <v>1</v>
      </c>
      <c r="E1409">
        <v>19</v>
      </c>
      <c r="F1409">
        <v>0</v>
      </c>
      <c r="G1409">
        <v>39</v>
      </c>
      <c r="H1409">
        <v>1.4944896485881499E-2</v>
      </c>
      <c r="I1409">
        <v>33</v>
      </c>
      <c r="L1409">
        <v>6.2876365869830905E-2</v>
      </c>
      <c r="M1409">
        <v>0</v>
      </c>
      <c r="N1409">
        <v>2016</v>
      </c>
      <c r="O1409" t="s">
        <v>13</v>
      </c>
      <c r="P1409" t="s">
        <v>299</v>
      </c>
      <c r="Q1409" t="s">
        <v>29</v>
      </c>
      <c r="R1409" t="s">
        <v>20</v>
      </c>
    </row>
    <row r="1410" spans="1:18" x14ac:dyDescent="0.25">
      <c r="A1410" t="s">
        <v>297</v>
      </c>
      <c r="B1410" t="s">
        <v>298</v>
      </c>
      <c r="C1410" t="s">
        <v>12</v>
      </c>
      <c r="D1410">
        <v>1</v>
      </c>
      <c r="E1410">
        <v>25</v>
      </c>
      <c r="F1410">
        <v>0</v>
      </c>
      <c r="G1410">
        <v>273</v>
      </c>
      <c r="H1410">
        <v>4.2371480922837802E-2</v>
      </c>
      <c r="I1410">
        <v>255</v>
      </c>
      <c r="L1410">
        <v>4.17569214328486E-2</v>
      </c>
      <c r="M1410">
        <v>0</v>
      </c>
      <c r="N1410">
        <v>2016</v>
      </c>
      <c r="O1410" t="s">
        <v>13</v>
      </c>
      <c r="P1410" t="s">
        <v>299</v>
      </c>
      <c r="Q1410" t="s">
        <v>29</v>
      </c>
      <c r="R1410" t="s">
        <v>20</v>
      </c>
    </row>
    <row r="1411" spans="1:18" x14ac:dyDescent="0.25">
      <c r="A1411" t="s">
        <v>297</v>
      </c>
      <c r="B1411" t="s">
        <v>298</v>
      </c>
      <c r="C1411" t="s">
        <v>12</v>
      </c>
      <c r="D1411">
        <v>1</v>
      </c>
      <c r="E1411">
        <v>35</v>
      </c>
      <c r="F1411">
        <v>5.1761607495948402E-3</v>
      </c>
      <c r="G1411">
        <v>213</v>
      </c>
      <c r="H1411">
        <v>6.4879962625826196E-2</v>
      </c>
      <c r="I1411">
        <v>194</v>
      </c>
      <c r="L1411">
        <v>2.97788534366112E-2</v>
      </c>
      <c r="M1411">
        <v>2.3264017090248099E-2</v>
      </c>
      <c r="N1411">
        <v>2016</v>
      </c>
      <c r="O1411" t="s">
        <v>13</v>
      </c>
      <c r="P1411" t="s">
        <v>299</v>
      </c>
      <c r="Q1411" t="s">
        <v>29</v>
      </c>
      <c r="R1411" t="s">
        <v>20</v>
      </c>
    </row>
    <row r="1412" spans="1:18" x14ac:dyDescent="0.25">
      <c r="A1412" t="s">
        <v>297</v>
      </c>
      <c r="B1412" t="s">
        <v>298</v>
      </c>
      <c r="C1412" t="s">
        <v>12</v>
      </c>
      <c r="D1412">
        <v>1</v>
      </c>
      <c r="E1412">
        <v>45</v>
      </c>
      <c r="F1412">
        <v>7.6261355265062397E-3</v>
      </c>
      <c r="G1412">
        <v>258</v>
      </c>
      <c r="H1412">
        <v>8.4995720359490906E-2</v>
      </c>
      <c r="I1412">
        <v>243</v>
      </c>
      <c r="L1412">
        <v>6.6427446545504795E-2</v>
      </c>
      <c r="M1412">
        <v>4.7570700920421101E-2</v>
      </c>
      <c r="N1412">
        <v>2016</v>
      </c>
      <c r="O1412" t="s">
        <v>13</v>
      </c>
      <c r="P1412" t="s">
        <v>299</v>
      </c>
      <c r="Q1412" t="s">
        <v>29</v>
      </c>
      <c r="R1412" t="s">
        <v>20</v>
      </c>
    </row>
    <row r="1413" spans="1:18" x14ac:dyDescent="0.25">
      <c r="A1413" t="s">
        <v>297</v>
      </c>
      <c r="B1413" t="s">
        <v>298</v>
      </c>
      <c r="C1413" t="s">
        <v>12</v>
      </c>
      <c r="D1413">
        <v>1</v>
      </c>
      <c r="E1413">
        <v>55</v>
      </c>
      <c r="F1413">
        <v>3.5755229207554799E-2</v>
      </c>
      <c r="G1413">
        <v>212</v>
      </c>
      <c r="H1413">
        <v>0.180775141651768</v>
      </c>
      <c r="I1413">
        <v>199</v>
      </c>
      <c r="L1413">
        <v>3.2194559445410699E-2</v>
      </c>
      <c r="M1413">
        <v>2.0207931901117301E-2</v>
      </c>
      <c r="N1413">
        <v>2016</v>
      </c>
      <c r="O1413" t="s">
        <v>13</v>
      </c>
      <c r="P1413" t="s">
        <v>299</v>
      </c>
      <c r="Q1413" t="s">
        <v>29</v>
      </c>
      <c r="R1413" t="s">
        <v>20</v>
      </c>
    </row>
    <row r="1414" spans="1:18" x14ac:dyDescent="0.25">
      <c r="A1414" t="s">
        <v>297</v>
      </c>
      <c r="B1414" t="s">
        <v>298</v>
      </c>
      <c r="C1414" t="s">
        <v>12</v>
      </c>
      <c r="D1414">
        <v>1</v>
      </c>
      <c r="E1414">
        <v>65</v>
      </c>
      <c r="F1414">
        <v>7.7827393844246306E-2</v>
      </c>
      <c r="G1414">
        <v>103</v>
      </c>
      <c r="H1414">
        <v>0.20334908760079401</v>
      </c>
      <c r="I1414">
        <v>92</v>
      </c>
      <c r="L1414">
        <v>4.1051386469519897E-2</v>
      </c>
      <c r="M1414">
        <v>3.2610074294036701E-2</v>
      </c>
      <c r="N1414">
        <v>2016</v>
      </c>
      <c r="O1414" t="s">
        <v>13</v>
      </c>
      <c r="P1414" t="s">
        <v>299</v>
      </c>
      <c r="Q1414" t="s">
        <v>29</v>
      </c>
      <c r="R1414" t="s">
        <v>20</v>
      </c>
    </row>
    <row r="1415" spans="1:18" x14ac:dyDescent="0.25">
      <c r="A1415" t="s">
        <v>300</v>
      </c>
      <c r="B1415" t="s">
        <v>301</v>
      </c>
      <c r="C1415" t="s">
        <v>12</v>
      </c>
      <c r="D1415">
        <v>2</v>
      </c>
      <c r="E1415">
        <v>19</v>
      </c>
      <c r="F1415">
        <v>0</v>
      </c>
      <c r="G1415">
        <v>14</v>
      </c>
      <c r="H1415">
        <v>1.51974301961062E-2</v>
      </c>
      <c r="I1415">
        <v>13</v>
      </c>
      <c r="L1415">
        <v>0.150630923962628</v>
      </c>
      <c r="M1415">
        <v>0</v>
      </c>
      <c r="N1415">
        <v>2005</v>
      </c>
      <c r="O1415" t="s">
        <v>13</v>
      </c>
      <c r="P1415" t="s">
        <v>302</v>
      </c>
      <c r="Q1415" t="s">
        <v>33</v>
      </c>
      <c r="R1415" t="s">
        <v>34</v>
      </c>
    </row>
    <row r="1416" spans="1:18" x14ac:dyDescent="0.25">
      <c r="A1416" t="s">
        <v>300</v>
      </c>
      <c r="B1416" t="s">
        <v>301</v>
      </c>
      <c r="C1416" t="s">
        <v>12</v>
      </c>
      <c r="D1416">
        <v>2</v>
      </c>
      <c r="E1416">
        <v>25</v>
      </c>
      <c r="F1416">
        <v>1.85185185185185E-2</v>
      </c>
      <c r="G1416">
        <v>54</v>
      </c>
      <c r="H1416">
        <v>8.6429188732311799E-2</v>
      </c>
      <c r="I1416">
        <v>52</v>
      </c>
      <c r="L1416">
        <v>2.97475775196883E-2</v>
      </c>
      <c r="M1416">
        <v>3.0674204044446901E-2</v>
      </c>
      <c r="N1416">
        <v>2005</v>
      </c>
      <c r="O1416" t="s">
        <v>13</v>
      </c>
      <c r="P1416" t="s">
        <v>302</v>
      </c>
      <c r="Q1416" t="s">
        <v>33</v>
      </c>
      <c r="R1416" t="s">
        <v>34</v>
      </c>
    </row>
    <row r="1417" spans="1:18" x14ac:dyDescent="0.25">
      <c r="A1417" t="s">
        <v>300</v>
      </c>
      <c r="B1417" t="s">
        <v>301</v>
      </c>
      <c r="C1417" t="s">
        <v>12</v>
      </c>
      <c r="D1417">
        <v>2</v>
      </c>
      <c r="E1417">
        <v>35</v>
      </c>
      <c r="F1417">
        <v>1.6949152542372899E-2</v>
      </c>
      <c r="G1417">
        <v>59</v>
      </c>
      <c r="H1417">
        <v>0.23116280385419899</v>
      </c>
      <c r="I1417">
        <v>58</v>
      </c>
      <c r="L1417">
        <v>3.1385024119538099E-2</v>
      </c>
      <c r="M1417">
        <v>1.07406717548375E-2</v>
      </c>
      <c r="N1417">
        <v>2005</v>
      </c>
      <c r="O1417" t="s">
        <v>13</v>
      </c>
      <c r="P1417" t="s">
        <v>302</v>
      </c>
      <c r="Q1417" t="s">
        <v>33</v>
      </c>
      <c r="R1417" t="s">
        <v>34</v>
      </c>
    </row>
    <row r="1418" spans="1:18" x14ac:dyDescent="0.25">
      <c r="A1418" t="s">
        <v>300</v>
      </c>
      <c r="B1418" t="s">
        <v>301</v>
      </c>
      <c r="C1418" t="s">
        <v>12</v>
      </c>
      <c r="D1418">
        <v>2</v>
      </c>
      <c r="E1418">
        <v>45</v>
      </c>
      <c r="F1418">
        <v>0.10606060606060599</v>
      </c>
      <c r="G1418">
        <v>66</v>
      </c>
      <c r="H1418">
        <v>0.32840625052695099</v>
      </c>
      <c r="I1418">
        <v>58</v>
      </c>
      <c r="L1418">
        <v>3.4150128707152498E-2</v>
      </c>
      <c r="M1418">
        <v>1.48886840629774E-2</v>
      </c>
      <c r="N1418">
        <v>2005</v>
      </c>
      <c r="O1418" t="s">
        <v>13</v>
      </c>
      <c r="P1418" t="s">
        <v>302</v>
      </c>
      <c r="Q1418" t="s">
        <v>33</v>
      </c>
      <c r="R1418" t="s">
        <v>34</v>
      </c>
    </row>
    <row r="1419" spans="1:18" x14ac:dyDescent="0.25">
      <c r="A1419" t="s">
        <v>300</v>
      </c>
      <c r="B1419" t="s">
        <v>301</v>
      </c>
      <c r="C1419" t="s">
        <v>12</v>
      </c>
      <c r="D1419">
        <v>2</v>
      </c>
      <c r="E1419">
        <v>55</v>
      </c>
      <c r="F1419">
        <v>0.115384615384615</v>
      </c>
      <c r="G1419">
        <v>52</v>
      </c>
      <c r="H1419">
        <v>0.54114039528201097</v>
      </c>
      <c r="I1419">
        <v>45</v>
      </c>
      <c r="L1419">
        <v>4.7328350575028197E-2</v>
      </c>
      <c r="M1419">
        <v>7.6638365047309604E-3</v>
      </c>
      <c r="N1419">
        <v>2005</v>
      </c>
      <c r="O1419" t="s">
        <v>13</v>
      </c>
      <c r="P1419" t="s">
        <v>302</v>
      </c>
      <c r="Q1419" t="s">
        <v>33</v>
      </c>
      <c r="R1419" t="s">
        <v>34</v>
      </c>
    </row>
    <row r="1420" spans="1:18" x14ac:dyDescent="0.25">
      <c r="A1420" t="s">
        <v>300</v>
      </c>
      <c r="B1420" t="s">
        <v>301</v>
      </c>
      <c r="C1420" t="s">
        <v>12</v>
      </c>
      <c r="D1420">
        <v>2</v>
      </c>
      <c r="E1420">
        <v>62.5</v>
      </c>
      <c r="F1420">
        <v>0.27272727272727298</v>
      </c>
      <c r="G1420">
        <v>22</v>
      </c>
      <c r="H1420">
        <v>0.64318076739333896</v>
      </c>
      <c r="I1420">
        <v>16</v>
      </c>
      <c r="L1420">
        <v>4.7462304891851499E-2</v>
      </c>
      <c r="M1420">
        <v>6.1182611135457898E-3</v>
      </c>
      <c r="N1420">
        <v>2005</v>
      </c>
      <c r="O1420" t="s">
        <v>13</v>
      </c>
      <c r="P1420" t="s">
        <v>302</v>
      </c>
      <c r="Q1420" t="s">
        <v>33</v>
      </c>
      <c r="R1420" t="s">
        <v>34</v>
      </c>
    </row>
    <row r="1421" spans="1:18" x14ac:dyDescent="0.25">
      <c r="A1421" t="s">
        <v>300</v>
      </c>
      <c r="B1421" t="s">
        <v>301</v>
      </c>
      <c r="C1421" t="s">
        <v>12</v>
      </c>
      <c r="D1421">
        <v>1</v>
      </c>
      <c r="E1421">
        <v>19</v>
      </c>
      <c r="F1421">
        <v>0</v>
      </c>
      <c r="G1421">
        <v>15</v>
      </c>
      <c r="H1421">
        <v>1.52922796208863E-2</v>
      </c>
      <c r="I1421">
        <v>14</v>
      </c>
      <c r="L1421">
        <v>0.148300813216387</v>
      </c>
      <c r="M1421">
        <v>0</v>
      </c>
      <c r="N1421">
        <v>2005</v>
      </c>
      <c r="O1421" t="s">
        <v>13</v>
      </c>
      <c r="P1421" t="s">
        <v>302</v>
      </c>
      <c r="Q1421" t="s">
        <v>33</v>
      </c>
      <c r="R1421" t="s">
        <v>34</v>
      </c>
    </row>
    <row r="1422" spans="1:18" x14ac:dyDescent="0.25">
      <c r="A1422" t="s">
        <v>300</v>
      </c>
      <c r="B1422" t="s">
        <v>301</v>
      </c>
      <c r="C1422" t="s">
        <v>12</v>
      </c>
      <c r="D1422">
        <v>1</v>
      </c>
      <c r="E1422">
        <v>25</v>
      </c>
      <c r="F1422">
        <v>0</v>
      </c>
      <c r="G1422">
        <v>57</v>
      </c>
      <c r="H1422">
        <v>8.1055634874647606E-2</v>
      </c>
      <c r="I1422">
        <v>55</v>
      </c>
      <c r="L1422">
        <v>3.6113576114548802E-2</v>
      </c>
      <c r="M1422">
        <v>0</v>
      </c>
      <c r="N1422">
        <v>2005</v>
      </c>
      <c r="O1422" t="s">
        <v>13</v>
      </c>
      <c r="P1422" t="s">
        <v>302</v>
      </c>
      <c r="Q1422" t="s">
        <v>33</v>
      </c>
      <c r="R1422" t="s">
        <v>34</v>
      </c>
    </row>
    <row r="1423" spans="1:18" x14ac:dyDescent="0.25">
      <c r="A1423" t="s">
        <v>300</v>
      </c>
      <c r="B1423" t="s">
        <v>301</v>
      </c>
      <c r="C1423" t="s">
        <v>12</v>
      </c>
      <c r="D1423">
        <v>1</v>
      </c>
      <c r="E1423">
        <v>35</v>
      </c>
      <c r="F1423">
        <v>0</v>
      </c>
      <c r="G1423">
        <v>57</v>
      </c>
      <c r="H1423">
        <v>0.19571096819592301</v>
      </c>
      <c r="I1423">
        <v>57</v>
      </c>
      <c r="L1423">
        <v>7.6447562943530695E-2</v>
      </c>
      <c r="M1423">
        <v>0</v>
      </c>
      <c r="N1423">
        <v>2005</v>
      </c>
      <c r="O1423" t="s">
        <v>13</v>
      </c>
      <c r="P1423" t="s">
        <v>302</v>
      </c>
      <c r="Q1423" t="s">
        <v>33</v>
      </c>
      <c r="R1423" t="s">
        <v>34</v>
      </c>
    </row>
    <row r="1424" spans="1:18" x14ac:dyDescent="0.25">
      <c r="A1424" t="s">
        <v>300</v>
      </c>
      <c r="B1424" t="s">
        <v>301</v>
      </c>
      <c r="C1424" t="s">
        <v>12</v>
      </c>
      <c r="D1424">
        <v>1</v>
      </c>
      <c r="E1424">
        <v>45</v>
      </c>
      <c r="F1424">
        <v>0.13207547169811301</v>
      </c>
      <c r="G1424">
        <v>53</v>
      </c>
      <c r="H1424">
        <v>0.46700606894486402</v>
      </c>
      <c r="I1424">
        <v>45</v>
      </c>
      <c r="L1424">
        <v>2.78145684111951E-2</v>
      </c>
      <c r="M1424">
        <v>6.7535343301080896E-3</v>
      </c>
      <c r="N1424">
        <v>2005</v>
      </c>
      <c r="O1424" t="s">
        <v>13</v>
      </c>
      <c r="P1424" t="s">
        <v>302</v>
      </c>
      <c r="Q1424" t="s">
        <v>33</v>
      </c>
      <c r="R1424" t="s">
        <v>34</v>
      </c>
    </row>
    <row r="1425" spans="1:18" x14ac:dyDescent="0.25">
      <c r="A1425" t="s">
        <v>300</v>
      </c>
      <c r="B1425" t="s">
        <v>301</v>
      </c>
      <c r="C1425" t="s">
        <v>12</v>
      </c>
      <c r="D1425">
        <v>1</v>
      </c>
      <c r="E1425">
        <v>55</v>
      </c>
      <c r="F1425">
        <v>0.14285714285714299</v>
      </c>
      <c r="G1425">
        <v>42</v>
      </c>
      <c r="H1425">
        <v>0.518993158848988</v>
      </c>
      <c r="I1425">
        <v>36</v>
      </c>
      <c r="L1425">
        <v>2.4972773835631401E-2</v>
      </c>
      <c r="M1425">
        <v>4.6987809842376996E-3</v>
      </c>
      <c r="N1425">
        <v>2005</v>
      </c>
      <c r="O1425" t="s">
        <v>13</v>
      </c>
      <c r="P1425" t="s">
        <v>302</v>
      </c>
      <c r="Q1425" t="s">
        <v>33</v>
      </c>
      <c r="R1425" t="s">
        <v>34</v>
      </c>
    </row>
    <row r="1426" spans="1:18" x14ac:dyDescent="0.25">
      <c r="A1426" t="s">
        <v>300</v>
      </c>
      <c r="B1426" t="s">
        <v>301</v>
      </c>
      <c r="C1426" t="s">
        <v>12</v>
      </c>
      <c r="D1426">
        <v>1</v>
      </c>
      <c r="E1426">
        <v>62.5</v>
      </c>
      <c r="F1426">
        <v>5.8823529411764698E-2</v>
      </c>
      <c r="G1426">
        <v>17</v>
      </c>
      <c r="H1426">
        <v>0.38752524398093702</v>
      </c>
      <c r="I1426">
        <v>16</v>
      </c>
      <c r="L1426">
        <v>6.6502416030057299E-2</v>
      </c>
      <c r="M1426">
        <v>1.6313635308014201E-2</v>
      </c>
      <c r="N1426">
        <v>2005</v>
      </c>
      <c r="O1426" t="s">
        <v>13</v>
      </c>
      <c r="P1426" t="s">
        <v>302</v>
      </c>
      <c r="Q1426" t="s">
        <v>33</v>
      </c>
      <c r="R1426" t="s">
        <v>34</v>
      </c>
    </row>
    <row r="1427" spans="1:18" x14ac:dyDescent="0.25">
      <c r="A1427" t="s">
        <v>300</v>
      </c>
      <c r="B1427" t="s">
        <v>303</v>
      </c>
      <c r="C1427" t="s">
        <v>12</v>
      </c>
      <c r="D1427">
        <v>2</v>
      </c>
      <c r="E1427">
        <v>19</v>
      </c>
      <c r="F1427">
        <v>0</v>
      </c>
      <c r="G1427">
        <v>17</v>
      </c>
      <c r="H1427">
        <v>1.1724677500716501E-2</v>
      </c>
      <c r="I1427">
        <v>16</v>
      </c>
      <c r="L1427">
        <v>0.13614780354210601</v>
      </c>
      <c r="M1427">
        <v>0</v>
      </c>
      <c r="N1427">
        <v>2014</v>
      </c>
      <c r="O1427" t="s">
        <v>13</v>
      </c>
      <c r="P1427" t="s">
        <v>302</v>
      </c>
      <c r="Q1427" t="s">
        <v>33</v>
      </c>
      <c r="R1427" t="s">
        <v>34</v>
      </c>
    </row>
    <row r="1428" spans="1:18" x14ac:dyDescent="0.25">
      <c r="A1428" t="s">
        <v>300</v>
      </c>
      <c r="B1428" t="s">
        <v>303</v>
      </c>
      <c r="C1428" t="s">
        <v>12</v>
      </c>
      <c r="D1428">
        <v>2</v>
      </c>
      <c r="E1428">
        <v>25</v>
      </c>
      <c r="F1428">
        <v>1.49253731343284E-2</v>
      </c>
      <c r="G1428">
        <v>67</v>
      </c>
      <c r="H1428">
        <v>6.7491186712837603E-2</v>
      </c>
      <c r="I1428">
        <v>61</v>
      </c>
      <c r="L1428">
        <v>5.7345648174541901E-2</v>
      </c>
      <c r="M1428">
        <v>6.5600873106735097E-2</v>
      </c>
      <c r="N1428">
        <v>2014</v>
      </c>
      <c r="O1428" t="s">
        <v>13</v>
      </c>
      <c r="P1428" t="s">
        <v>302</v>
      </c>
      <c r="Q1428" t="s">
        <v>33</v>
      </c>
      <c r="R1428" t="s">
        <v>34</v>
      </c>
    </row>
    <row r="1429" spans="1:18" x14ac:dyDescent="0.25">
      <c r="A1429" t="s">
        <v>300</v>
      </c>
      <c r="B1429" t="s">
        <v>303</v>
      </c>
      <c r="C1429" t="s">
        <v>12</v>
      </c>
      <c r="D1429">
        <v>2</v>
      </c>
      <c r="E1429">
        <v>35</v>
      </c>
      <c r="F1429">
        <v>3.30417872103193E-2</v>
      </c>
      <c r="G1429">
        <v>57</v>
      </c>
      <c r="H1429">
        <v>0.18836223386016099</v>
      </c>
      <c r="I1429">
        <v>54</v>
      </c>
      <c r="L1429">
        <v>4.6409377101611797E-2</v>
      </c>
      <c r="M1429">
        <v>2.5672623878481501E-2</v>
      </c>
      <c r="N1429">
        <v>2014</v>
      </c>
      <c r="O1429" t="s">
        <v>13</v>
      </c>
      <c r="P1429" t="s">
        <v>302</v>
      </c>
      <c r="Q1429" t="s">
        <v>33</v>
      </c>
      <c r="R1429" t="s">
        <v>34</v>
      </c>
    </row>
    <row r="1430" spans="1:18" x14ac:dyDescent="0.25">
      <c r="A1430" t="s">
        <v>300</v>
      </c>
      <c r="B1430" t="s">
        <v>303</v>
      </c>
      <c r="C1430" t="s">
        <v>12</v>
      </c>
      <c r="D1430">
        <v>2</v>
      </c>
      <c r="E1430">
        <v>45</v>
      </c>
      <c r="F1430">
        <v>0.13447204818796499</v>
      </c>
      <c r="G1430">
        <v>60</v>
      </c>
      <c r="H1430">
        <v>0.300008903965642</v>
      </c>
      <c r="I1430">
        <v>48</v>
      </c>
      <c r="L1430">
        <v>4.5535864434550301E-2</v>
      </c>
      <c r="M1430">
        <v>2.63109856697245E-2</v>
      </c>
      <c r="N1430">
        <v>2014</v>
      </c>
      <c r="O1430" t="s">
        <v>13</v>
      </c>
      <c r="P1430" t="s">
        <v>302</v>
      </c>
      <c r="Q1430" t="s">
        <v>33</v>
      </c>
      <c r="R1430" t="s">
        <v>34</v>
      </c>
    </row>
    <row r="1431" spans="1:18" x14ac:dyDescent="0.25">
      <c r="A1431" t="s">
        <v>300</v>
      </c>
      <c r="B1431" t="s">
        <v>303</v>
      </c>
      <c r="C1431" t="s">
        <v>12</v>
      </c>
      <c r="D1431">
        <v>2</v>
      </c>
      <c r="E1431">
        <v>55</v>
      </c>
      <c r="F1431">
        <v>0.338983050847458</v>
      </c>
      <c r="G1431">
        <v>59</v>
      </c>
      <c r="H1431">
        <v>0.46868928183734099</v>
      </c>
      <c r="I1431">
        <v>37</v>
      </c>
      <c r="L1431">
        <v>2.9736736813291899E-2</v>
      </c>
      <c r="M1431">
        <v>1.1270953907300501E-2</v>
      </c>
      <c r="N1431">
        <v>2014</v>
      </c>
      <c r="O1431" t="s">
        <v>13</v>
      </c>
      <c r="P1431" t="s">
        <v>302</v>
      </c>
      <c r="Q1431" t="s">
        <v>33</v>
      </c>
      <c r="R1431" t="s">
        <v>34</v>
      </c>
    </row>
    <row r="1432" spans="1:18" x14ac:dyDescent="0.25">
      <c r="A1432" t="s">
        <v>300</v>
      </c>
      <c r="B1432" t="s">
        <v>303</v>
      </c>
      <c r="C1432" t="s">
        <v>12</v>
      </c>
      <c r="D1432">
        <v>2</v>
      </c>
      <c r="E1432">
        <v>62.5</v>
      </c>
      <c r="F1432">
        <v>0.35263157681381802</v>
      </c>
      <c r="G1432">
        <v>22</v>
      </c>
      <c r="H1432">
        <v>0.301057187853918</v>
      </c>
      <c r="I1432">
        <v>15</v>
      </c>
      <c r="L1432">
        <v>4.5739500033626E-2</v>
      </c>
      <c r="M1432">
        <v>5.0455599027323501E-2</v>
      </c>
      <c r="N1432">
        <v>2014</v>
      </c>
      <c r="O1432" t="s">
        <v>13</v>
      </c>
      <c r="P1432" t="s">
        <v>302</v>
      </c>
      <c r="Q1432" t="s">
        <v>33</v>
      </c>
      <c r="R1432" t="s">
        <v>34</v>
      </c>
    </row>
    <row r="1433" spans="1:18" x14ac:dyDescent="0.25">
      <c r="A1433" t="s">
        <v>300</v>
      </c>
      <c r="B1433" t="s">
        <v>303</v>
      </c>
      <c r="C1433" t="s">
        <v>12</v>
      </c>
      <c r="D1433">
        <v>1</v>
      </c>
      <c r="E1433">
        <v>19</v>
      </c>
      <c r="F1433">
        <v>0</v>
      </c>
      <c r="G1433">
        <v>20</v>
      </c>
      <c r="H1433">
        <v>0.150714232365489</v>
      </c>
      <c r="I1433">
        <v>18</v>
      </c>
      <c r="L1433">
        <v>3.2243724081182597E-2</v>
      </c>
      <c r="M1433">
        <v>0</v>
      </c>
      <c r="N1433">
        <v>2014</v>
      </c>
      <c r="O1433" t="s">
        <v>13</v>
      </c>
      <c r="P1433" t="s">
        <v>302</v>
      </c>
      <c r="Q1433" t="s">
        <v>33</v>
      </c>
      <c r="R1433" t="s">
        <v>34</v>
      </c>
    </row>
    <row r="1434" spans="1:18" x14ac:dyDescent="0.25">
      <c r="A1434" t="s">
        <v>300</v>
      </c>
      <c r="B1434" t="s">
        <v>303</v>
      </c>
      <c r="C1434" t="s">
        <v>12</v>
      </c>
      <c r="D1434">
        <v>1</v>
      </c>
      <c r="E1434">
        <v>25</v>
      </c>
      <c r="F1434">
        <v>1.4492753623188401E-2</v>
      </c>
      <c r="G1434">
        <v>69</v>
      </c>
      <c r="H1434">
        <v>9.5564139150918104E-2</v>
      </c>
      <c r="I1434">
        <v>67</v>
      </c>
      <c r="L1434">
        <v>4.459403293447E-2</v>
      </c>
      <c r="M1434">
        <v>3.5371838866517902E-2</v>
      </c>
      <c r="N1434">
        <v>2014</v>
      </c>
      <c r="O1434" t="s">
        <v>13</v>
      </c>
      <c r="P1434" t="s">
        <v>302</v>
      </c>
      <c r="Q1434" t="s">
        <v>33</v>
      </c>
      <c r="R1434" t="s">
        <v>34</v>
      </c>
    </row>
    <row r="1435" spans="1:18" x14ac:dyDescent="0.25">
      <c r="A1435" t="s">
        <v>300</v>
      </c>
      <c r="B1435" t="s">
        <v>303</v>
      </c>
      <c r="C1435" t="s">
        <v>12</v>
      </c>
      <c r="D1435">
        <v>1</v>
      </c>
      <c r="E1435">
        <v>35</v>
      </c>
      <c r="F1435">
        <v>9.9421544657627398E-2</v>
      </c>
      <c r="G1435">
        <v>48</v>
      </c>
      <c r="H1435">
        <v>0.21107146051397499</v>
      </c>
      <c r="I1435">
        <v>42</v>
      </c>
      <c r="L1435">
        <v>2.5163658525646299E-2</v>
      </c>
      <c r="M1435">
        <v>2.0600943970934E-2</v>
      </c>
      <c r="N1435">
        <v>2014</v>
      </c>
      <c r="O1435" t="s">
        <v>13</v>
      </c>
      <c r="P1435" t="s">
        <v>302</v>
      </c>
      <c r="Q1435" t="s">
        <v>33</v>
      </c>
      <c r="R1435" t="s">
        <v>34</v>
      </c>
    </row>
    <row r="1436" spans="1:18" x14ac:dyDescent="0.25">
      <c r="A1436" t="s">
        <v>300</v>
      </c>
      <c r="B1436" t="s">
        <v>303</v>
      </c>
      <c r="C1436" t="s">
        <v>12</v>
      </c>
      <c r="D1436">
        <v>1</v>
      </c>
      <c r="E1436">
        <v>45</v>
      </c>
      <c r="F1436">
        <v>9.5904983217206002E-2</v>
      </c>
      <c r="G1436">
        <v>53</v>
      </c>
      <c r="H1436">
        <v>0.41979902186191898</v>
      </c>
      <c r="I1436">
        <v>47</v>
      </c>
      <c r="L1436">
        <v>2.1761710082756399E-2</v>
      </c>
      <c r="M1436">
        <v>5.9417509337537696E-3</v>
      </c>
      <c r="N1436">
        <v>2014</v>
      </c>
      <c r="O1436" t="s">
        <v>13</v>
      </c>
      <c r="P1436" t="s">
        <v>302</v>
      </c>
      <c r="Q1436" t="s">
        <v>33</v>
      </c>
      <c r="R1436" t="s">
        <v>34</v>
      </c>
    </row>
    <row r="1437" spans="1:18" x14ac:dyDescent="0.25">
      <c r="A1437" t="s">
        <v>300</v>
      </c>
      <c r="B1437" t="s">
        <v>303</v>
      </c>
      <c r="C1437" t="s">
        <v>12</v>
      </c>
      <c r="D1437">
        <v>1</v>
      </c>
      <c r="E1437">
        <v>55</v>
      </c>
      <c r="F1437">
        <v>0.25925925925925902</v>
      </c>
      <c r="G1437">
        <v>54</v>
      </c>
      <c r="H1437">
        <v>0.65221804762049995</v>
      </c>
      <c r="I1437">
        <v>38</v>
      </c>
      <c r="L1437">
        <v>1.49339067085746E-2</v>
      </c>
      <c r="M1437">
        <v>1.7137450018437101E-3</v>
      </c>
      <c r="N1437">
        <v>2014</v>
      </c>
      <c r="O1437" t="s">
        <v>13</v>
      </c>
      <c r="P1437" t="s">
        <v>302</v>
      </c>
      <c r="Q1437" t="s">
        <v>33</v>
      </c>
      <c r="R1437" t="s">
        <v>34</v>
      </c>
    </row>
    <row r="1438" spans="1:18" x14ac:dyDescent="0.25">
      <c r="A1438" t="s">
        <v>300</v>
      </c>
      <c r="B1438" t="s">
        <v>303</v>
      </c>
      <c r="C1438" t="s">
        <v>12</v>
      </c>
      <c r="D1438">
        <v>1</v>
      </c>
      <c r="E1438">
        <v>62.5</v>
      </c>
      <c r="F1438">
        <v>0.24633124717162699</v>
      </c>
      <c r="G1438">
        <v>18</v>
      </c>
      <c r="H1438">
        <v>0.29610789889428302</v>
      </c>
      <c r="I1438">
        <v>12</v>
      </c>
      <c r="L1438">
        <v>4.8268855031091101E-2</v>
      </c>
      <c r="M1438">
        <v>4.0455910637149303E-2</v>
      </c>
      <c r="N1438">
        <v>2014</v>
      </c>
      <c r="O1438" t="s">
        <v>13</v>
      </c>
      <c r="P1438" t="s">
        <v>302</v>
      </c>
      <c r="Q1438" t="s">
        <v>33</v>
      </c>
      <c r="R1438" t="s">
        <v>34</v>
      </c>
    </row>
    <row r="1439" spans="1:18" x14ac:dyDescent="0.25">
      <c r="A1439" t="s">
        <v>304</v>
      </c>
      <c r="B1439" t="s">
        <v>305</v>
      </c>
      <c r="C1439" t="s">
        <v>12</v>
      </c>
      <c r="D1439">
        <v>2</v>
      </c>
      <c r="E1439">
        <v>19</v>
      </c>
      <c r="F1439">
        <v>0</v>
      </c>
      <c r="G1439">
        <v>129</v>
      </c>
      <c r="H1439">
        <v>0.14346191736675101</v>
      </c>
      <c r="I1439">
        <v>69</v>
      </c>
      <c r="L1439">
        <v>1.8486877944424501E-3</v>
      </c>
      <c r="M1439">
        <v>0</v>
      </c>
      <c r="N1439">
        <v>2013</v>
      </c>
      <c r="O1439" t="s">
        <v>13</v>
      </c>
      <c r="P1439" t="s">
        <v>306</v>
      </c>
      <c r="Q1439" t="s">
        <v>29</v>
      </c>
      <c r="R1439" t="s">
        <v>20</v>
      </c>
    </row>
    <row r="1440" spans="1:18" x14ac:dyDescent="0.25">
      <c r="A1440" t="s">
        <v>304</v>
      </c>
      <c r="B1440" t="s">
        <v>305</v>
      </c>
      <c r="C1440" t="s">
        <v>12</v>
      </c>
      <c r="D1440">
        <v>2</v>
      </c>
      <c r="E1440">
        <v>25</v>
      </c>
      <c r="F1440">
        <v>0</v>
      </c>
      <c r="G1440">
        <v>671</v>
      </c>
      <c r="H1440">
        <v>0.165295715112142</v>
      </c>
      <c r="I1440">
        <v>396</v>
      </c>
      <c r="L1440">
        <v>6.0383162210145801E-3</v>
      </c>
      <c r="M1440">
        <v>0</v>
      </c>
      <c r="N1440">
        <v>2013</v>
      </c>
      <c r="O1440" t="s">
        <v>13</v>
      </c>
      <c r="P1440" t="s">
        <v>306</v>
      </c>
      <c r="Q1440" t="s">
        <v>29</v>
      </c>
      <c r="R1440" t="s">
        <v>20</v>
      </c>
    </row>
    <row r="1441" spans="1:18" x14ac:dyDescent="0.25">
      <c r="A1441" t="s">
        <v>304</v>
      </c>
      <c r="B1441" t="s">
        <v>305</v>
      </c>
      <c r="C1441" t="s">
        <v>12</v>
      </c>
      <c r="D1441">
        <v>2</v>
      </c>
      <c r="E1441">
        <v>35</v>
      </c>
      <c r="F1441">
        <v>7.8143696164949799E-3</v>
      </c>
      <c r="G1441">
        <v>748</v>
      </c>
      <c r="H1441">
        <v>0.18760996315912701</v>
      </c>
      <c r="I1441">
        <v>483</v>
      </c>
      <c r="L1441">
        <v>9.51272495368965E-3</v>
      </c>
      <c r="M1441">
        <v>3.3636571620434602E-3</v>
      </c>
      <c r="N1441">
        <v>2013</v>
      </c>
      <c r="O1441" t="s">
        <v>13</v>
      </c>
      <c r="P1441" t="s">
        <v>306</v>
      </c>
      <c r="Q1441" t="s">
        <v>29</v>
      </c>
      <c r="R1441" t="s">
        <v>20</v>
      </c>
    </row>
    <row r="1442" spans="1:18" x14ac:dyDescent="0.25">
      <c r="A1442" t="s">
        <v>304</v>
      </c>
      <c r="B1442" t="s">
        <v>305</v>
      </c>
      <c r="C1442" t="s">
        <v>12</v>
      </c>
      <c r="D1442">
        <v>2</v>
      </c>
      <c r="E1442">
        <v>45</v>
      </c>
      <c r="F1442">
        <v>6.4260576639705797E-3</v>
      </c>
      <c r="G1442">
        <v>690</v>
      </c>
      <c r="H1442">
        <v>0.240701617510715</v>
      </c>
      <c r="I1442">
        <v>455</v>
      </c>
      <c r="L1442">
        <v>1.3939232563109499E-2</v>
      </c>
      <c r="M1442">
        <v>3.4002769150555901E-3</v>
      </c>
      <c r="N1442">
        <v>2013</v>
      </c>
      <c r="O1442" t="s">
        <v>13</v>
      </c>
      <c r="P1442" t="s">
        <v>306</v>
      </c>
      <c r="Q1442" t="s">
        <v>29</v>
      </c>
      <c r="R1442" t="s">
        <v>20</v>
      </c>
    </row>
    <row r="1443" spans="1:18" x14ac:dyDescent="0.25">
      <c r="A1443" t="s">
        <v>304</v>
      </c>
      <c r="B1443" t="s">
        <v>305</v>
      </c>
      <c r="C1443" t="s">
        <v>12</v>
      </c>
      <c r="D1443">
        <v>2</v>
      </c>
      <c r="E1443">
        <v>55</v>
      </c>
      <c r="F1443">
        <v>2.0011270537024201E-2</v>
      </c>
      <c r="G1443">
        <v>493</v>
      </c>
      <c r="H1443">
        <v>0.37204370036944301</v>
      </c>
      <c r="I1443">
        <v>344</v>
      </c>
      <c r="L1443">
        <v>1.5409530616132301E-2</v>
      </c>
      <c r="M1443">
        <v>2.91105822735792E-3</v>
      </c>
      <c r="N1443">
        <v>2013</v>
      </c>
      <c r="O1443" t="s">
        <v>13</v>
      </c>
      <c r="P1443" t="s">
        <v>306</v>
      </c>
      <c r="Q1443" t="s">
        <v>29</v>
      </c>
      <c r="R1443" t="s">
        <v>20</v>
      </c>
    </row>
    <row r="1444" spans="1:18" x14ac:dyDescent="0.25">
      <c r="A1444" t="s">
        <v>304</v>
      </c>
      <c r="B1444" t="s">
        <v>305</v>
      </c>
      <c r="C1444" t="s">
        <v>12</v>
      </c>
      <c r="D1444">
        <v>2</v>
      </c>
      <c r="E1444">
        <v>62.5</v>
      </c>
      <c r="F1444">
        <v>3.3763285018466302E-2</v>
      </c>
      <c r="G1444">
        <v>143</v>
      </c>
      <c r="H1444">
        <v>0.48292628945379001</v>
      </c>
      <c r="I1444">
        <v>97</v>
      </c>
      <c r="L1444">
        <v>1.8125721430880402E-2</v>
      </c>
      <c r="M1444">
        <v>2.4470499867153199E-3</v>
      </c>
      <c r="N1444">
        <v>2013</v>
      </c>
      <c r="O1444" t="s">
        <v>13</v>
      </c>
      <c r="P1444" t="s">
        <v>306</v>
      </c>
      <c r="Q1444" t="s">
        <v>29</v>
      </c>
      <c r="R1444" t="s">
        <v>20</v>
      </c>
    </row>
    <row r="1445" spans="1:18" x14ac:dyDescent="0.25">
      <c r="A1445" t="s">
        <v>304</v>
      </c>
      <c r="B1445" t="s">
        <v>305</v>
      </c>
      <c r="C1445" t="s">
        <v>12</v>
      </c>
      <c r="D1445">
        <v>1</v>
      </c>
      <c r="E1445">
        <v>19</v>
      </c>
      <c r="F1445">
        <v>0</v>
      </c>
      <c r="G1445">
        <v>57</v>
      </c>
      <c r="H1445">
        <v>4.2794927662000097E-2</v>
      </c>
      <c r="I1445">
        <v>26</v>
      </c>
      <c r="L1445">
        <v>1.57022419566724E-2</v>
      </c>
      <c r="M1445">
        <v>0</v>
      </c>
      <c r="N1445">
        <v>2013</v>
      </c>
      <c r="O1445" t="s">
        <v>13</v>
      </c>
      <c r="P1445" t="s">
        <v>306</v>
      </c>
      <c r="Q1445" t="s">
        <v>29</v>
      </c>
      <c r="R1445" t="s">
        <v>20</v>
      </c>
    </row>
    <row r="1446" spans="1:18" x14ac:dyDescent="0.25">
      <c r="A1446" t="s">
        <v>304</v>
      </c>
      <c r="B1446" t="s">
        <v>305</v>
      </c>
      <c r="C1446" t="s">
        <v>12</v>
      </c>
      <c r="D1446">
        <v>1</v>
      </c>
      <c r="E1446">
        <v>25</v>
      </c>
      <c r="F1446">
        <v>2.57124463097364E-3</v>
      </c>
      <c r="G1446">
        <v>540</v>
      </c>
      <c r="H1446">
        <v>0.12780463954394899</v>
      </c>
      <c r="I1446">
        <v>273</v>
      </c>
      <c r="L1446">
        <v>7.6709057885514E-3</v>
      </c>
      <c r="M1446">
        <v>2.8738240682214099E-3</v>
      </c>
      <c r="N1446">
        <v>2013</v>
      </c>
      <c r="O1446" t="s">
        <v>13</v>
      </c>
      <c r="P1446" t="s">
        <v>306</v>
      </c>
      <c r="Q1446" t="s">
        <v>29</v>
      </c>
      <c r="R1446" t="s">
        <v>20</v>
      </c>
    </row>
    <row r="1447" spans="1:18" x14ac:dyDescent="0.25">
      <c r="A1447" t="s">
        <v>304</v>
      </c>
      <c r="B1447" t="s">
        <v>305</v>
      </c>
      <c r="C1447" t="s">
        <v>12</v>
      </c>
      <c r="D1447">
        <v>1</v>
      </c>
      <c r="E1447">
        <v>35</v>
      </c>
      <c r="F1447">
        <v>2.5545778835423601E-3</v>
      </c>
      <c r="G1447">
        <v>569</v>
      </c>
      <c r="H1447">
        <v>0.17417562300859599</v>
      </c>
      <c r="I1447">
        <v>303</v>
      </c>
      <c r="L1447">
        <v>1.0309377647891801E-2</v>
      </c>
      <c r="M1447">
        <v>2.8592251288395102E-3</v>
      </c>
      <c r="N1447">
        <v>2013</v>
      </c>
      <c r="O1447" t="s">
        <v>13</v>
      </c>
      <c r="P1447" t="s">
        <v>306</v>
      </c>
      <c r="Q1447" t="s">
        <v>29</v>
      </c>
      <c r="R1447" t="s">
        <v>20</v>
      </c>
    </row>
    <row r="1448" spans="1:18" x14ac:dyDescent="0.25">
      <c r="A1448" t="s">
        <v>304</v>
      </c>
      <c r="B1448" t="s">
        <v>305</v>
      </c>
      <c r="C1448" t="s">
        <v>12</v>
      </c>
      <c r="D1448">
        <v>1</v>
      </c>
      <c r="E1448">
        <v>45</v>
      </c>
      <c r="F1448">
        <v>1.6366439526124201E-3</v>
      </c>
      <c r="G1448">
        <v>464</v>
      </c>
      <c r="H1448">
        <v>0.15774353016829601</v>
      </c>
      <c r="I1448">
        <v>257</v>
      </c>
      <c r="L1448">
        <v>2.0933590501238698E-2</v>
      </c>
      <c r="M1448">
        <v>5.5066078780616201E-3</v>
      </c>
      <c r="N1448">
        <v>2013</v>
      </c>
      <c r="O1448" t="s">
        <v>13</v>
      </c>
      <c r="P1448" t="s">
        <v>306</v>
      </c>
      <c r="Q1448" t="s">
        <v>29</v>
      </c>
      <c r="R1448" t="s">
        <v>20</v>
      </c>
    </row>
    <row r="1449" spans="1:18" x14ac:dyDescent="0.25">
      <c r="A1449" t="s">
        <v>304</v>
      </c>
      <c r="B1449" t="s">
        <v>305</v>
      </c>
      <c r="C1449" t="s">
        <v>12</v>
      </c>
      <c r="D1449">
        <v>1</v>
      </c>
      <c r="E1449">
        <v>55</v>
      </c>
      <c r="F1449">
        <v>6.4505791507185198E-3</v>
      </c>
      <c r="G1449">
        <v>311</v>
      </c>
      <c r="H1449">
        <v>0.36524582489412399</v>
      </c>
      <c r="I1449">
        <v>160</v>
      </c>
      <c r="L1449">
        <v>1.11622814191101E-2</v>
      </c>
      <c r="M1449">
        <v>1.5378942236370301E-3</v>
      </c>
      <c r="N1449">
        <v>2013</v>
      </c>
      <c r="O1449" t="s">
        <v>13</v>
      </c>
      <c r="P1449" t="s">
        <v>306</v>
      </c>
      <c r="Q1449" t="s">
        <v>29</v>
      </c>
      <c r="R1449" t="s">
        <v>20</v>
      </c>
    </row>
    <row r="1450" spans="1:18" x14ac:dyDescent="0.25">
      <c r="A1450" t="s">
        <v>304</v>
      </c>
      <c r="B1450" t="s">
        <v>305</v>
      </c>
      <c r="C1450" t="s">
        <v>12</v>
      </c>
      <c r="D1450">
        <v>1</v>
      </c>
      <c r="E1450">
        <v>62.5</v>
      </c>
      <c r="F1450">
        <v>7.48823021358868E-3</v>
      </c>
      <c r="G1450">
        <v>92</v>
      </c>
      <c r="H1450">
        <v>0.24388849363199899</v>
      </c>
      <c r="I1450">
        <v>54</v>
      </c>
      <c r="L1450">
        <v>5.20171270939239E-2</v>
      </c>
      <c r="M1450">
        <v>1.29964430600117E-2</v>
      </c>
      <c r="N1450">
        <v>2013</v>
      </c>
      <c r="O1450" t="s">
        <v>13</v>
      </c>
      <c r="P1450" t="s">
        <v>306</v>
      </c>
      <c r="Q1450" t="s">
        <v>29</v>
      </c>
      <c r="R1450" t="s">
        <v>20</v>
      </c>
    </row>
    <row r="1451" spans="1:18" x14ac:dyDescent="0.25">
      <c r="A1451" t="s">
        <v>304</v>
      </c>
      <c r="B1451" t="s">
        <v>307</v>
      </c>
      <c r="C1451" t="s">
        <v>12</v>
      </c>
      <c r="D1451">
        <v>2</v>
      </c>
      <c r="E1451">
        <v>19</v>
      </c>
      <c r="F1451">
        <v>0</v>
      </c>
      <c r="G1451">
        <v>65</v>
      </c>
      <c r="H1451">
        <v>1.8617165434622201E-2</v>
      </c>
      <c r="I1451">
        <v>62</v>
      </c>
      <c r="L1451">
        <v>2.9306410986179199E-2</v>
      </c>
      <c r="M1451">
        <v>0</v>
      </c>
      <c r="N1451">
        <v>2018</v>
      </c>
      <c r="O1451" t="s">
        <v>13</v>
      </c>
      <c r="P1451" t="s">
        <v>306</v>
      </c>
      <c r="Q1451" t="s">
        <v>29</v>
      </c>
      <c r="R1451" t="s">
        <v>20</v>
      </c>
    </row>
    <row r="1452" spans="1:18" x14ac:dyDescent="0.25">
      <c r="A1452" t="s">
        <v>304</v>
      </c>
      <c r="B1452" t="s">
        <v>307</v>
      </c>
      <c r="C1452" t="s">
        <v>12</v>
      </c>
      <c r="D1452">
        <v>2</v>
      </c>
      <c r="E1452">
        <v>25</v>
      </c>
      <c r="F1452">
        <v>0</v>
      </c>
      <c r="G1452">
        <v>458</v>
      </c>
      <c r="H1452">
        <v>3.6166662549913499E-2</v>
      </c>
      <c r="I1452">
        <v>442</v>
      </c>
      <c r="L1452">
        <v>3.3527449476197103E-2</v>
      </c>
      <c r="M1452">
        <v>0</v>
      </c>
      <c r="N1452">
        <v>2018</v>
      </c>
      <c r="O1452" t="s">
        <v>13</v>
      </c>
      <c r="P1452" t="s">
        <v>306</v>
      </c>
      <c r="Q1452" t="s">
        <v>29</v>
      </c>
      <c r="R1452" t="s">
        <v>20</v>
      </c>
    </row>
    <row r="1453" spans="1:18" x14ac:dyDescent="0.25">
      <c r="A1453" t="s">
        <v>304</v>
      </c>
      <c r="B1453" t="s">
        <v>307</v>
      </c>
      <c r="C1453" t="s">
        <v>12</v>
      </c>
      <c r="D1453">
        <v>2</v>
      </c>
      <c r="E1453">
        <v>35</v>
      </c>
      <c r="F1453">
        <v>4.7266345473622904E-3</v>
      </c>
      <c r="G1453">
        <v>550</v>
      </c>
      <c r="H1453">
        <v>5.7170267701840201E-2</v>
      </c>
      <c r="I1453">
        <v>522</v>
      </c>
      <c r="L1453">
        <v>3.01781857342894E-2</v>
      </c>
      <c r="M1453">
        <v>2.6203560951704001E-2</v>
      </c>
      <c r="N1453">
        <v>2018</v>
      </c>
      <c r="O1453" t="s">
        <v>13</v>
      </c>
      <c r="P1453" t="s">
        <v>306</v>
      </c>
      <c r="Q1453" t="s">
        <v>29</v>
      </c>
      <c r="R1453" t="s">
        <v>20</v>
      </c>
    </row>
    <row r="1454" spans="1:18" x14ac:dyDescent="0.25">
      <c r="A1454" t="s">
        <v>304</v>
      </c>
      <c r="B1454" t="s">
        <v>307</v>
      </c>
      <c r="C1454" t="s">
        <v>12</v>
      </c>
      <c r="D1454">
        <v>2</v>
      </c>
      <c r="E1454">
        <v>45</v>
      </c>
      <c r="F1454">
        <v>1.1900432159221199E-2</v>
      </c>
      <c r="G1454">
        <v>562</v>
      </c>
      <c r="H1454">
        <v>8.4873290632824394E-2</v>
      </c>
      <c r="I1454">
        <v>534</v>
      </c>
      <c r="L1454">
        <v>4.68264527477164E-2</v>
      </c>
      <c r="M1454">
        <v>4.2735347877531298E-2</v>
      </c>
      <c r="N1454">
        <v>2018</v>
      </c>
      <c r="O1454" t="s">
        <v>13</v>
      </c>
      <c r="P1454" t="s">
        <v>306</v>
      </c>
      <c r="Q1454" t="s">
        <v>29</v>
      </c>
      <c r="R1454" t="s">
        <v>20</v>
      </c>
    </row>
    <row r="1455" spans="1:18" x14ac:dyDescent="0.25">
      <c r="A1455" t="s">
        <v>304</v>
      </c>
      <c r="B1455" t="s">
        <v>307</v>
      </c>
      <c r="C1455" t="s">
        <v>12</v>
      </c>
      <c r="D1455">
        <v>2</v>
      </c>
      <c r="E1455">
        <v>55</v>
      </c>
      <c r="F1455">
        <v>2.1072151733318702E-2</v>
      </c>
      <c r="G1455">
        <v>382</v>
      </c>
      <c r="H1455">
        <v>0.16313382432375501</v>
      </c>
      <c r="I1455">
        <v>352</v>
      </c>
      <c r="L1455">
        <v>4.0955759822776397E-2</v>
      </c>
      <c r="M1455">
        <v>2.4517506633343299E-2</v>
      </c>
      <c r="N1455">
        <v>2018</v>
      </c>
      <c r="O1455" t="s">
        <v>13</v>
      </c>
      <c r="P1455" t="s">
        <v>306</v>
      </c>
      <c r="Q1455" t="s">
        <v>29</v>
      </c>
      <c r="R1455" t="s">
        <v>20</v>
      </c>
    </row>
    <row r="1456" spans="1:18" x14ac:dyDescent="0.25">
      <c r="A1456" t="s">
        <v>304</v>
      </c>
      <c r="B1456" t="s">
        <v>307</v>
      </c>
      <c r="C1456" t="s">
        <v>12</v>
      </c>
      <c r="D1456">
        <v>2</v>
      </c>
      <c r="E1456">
        <v>65</v>
      </c>
      <c r="F1456">
        <v>6.2854505324540094E-2</v>
      </c>
      <c r="G1456">
        <v>227</v>
      </c>
      <c r="H1456">
        <v>0.24837793666359301</v>
      </c>
      <c r="I1456">
        <v>198</v>
      </c>
      <c r="L1456">
        <v>5.0992630844386398E-2</v>
      </c>
      <c r="M1456">
        <v>2.9675670191588E-2</v>
      </c>
      <c r="N1456">
        <v>2018</v>
      </c>
      <c r="O1456" t="s">
        <v>13</v>
      </c>
      <c r="P1456" t="s">
        <v>306</v>
      </c>
      <c r="Q1456" t="s">
        <v>29</v>
      </c>
      <c r="R1456" t="s">
        <v>20</v>
      </c>
    </row>
    <row r="1457" spans="1:18" x14ac:dyDescent="0.25">
      <c r="A1457" t="s">
        <v>304</v>
      </c>
      <c r="B1457" t="s">
        <v>307</v>
      </c>
      <c r="C1457" t="s">
        <v>12</v>
      </c>
      <c r="D1457">
        <v>1</v>
      </c>
      <c r="E1457">
        <v>19</v>
      </c>
      <c r="F1457">
        <v>0</v>
      </c>
      <c r="G1457">
        <v>30</v>
      </c>
      <c r="H1457">
        <v>4.3610261456791102E-2</v>
      </c>
      <c r="I1457">
        <v>30</v>
      </c>
      <c r="L1457">
        <v>1.06555031179183E-2</v>
      </c>
      <c r="M1457">
        <v>0</v>
      </c>
      <c r="N1457">
        <v>2018</v>
      </c>
      <c r="O1457" t="s">
        <v>13</v>
      </c>
      <c r="P1457" t="s">
        <v>306</v>
      </c>
      <c r="Q1457" t="s">
        <v>29</v>
      </c>
      <c r="R1457" t="s">
        <v>20</v>
      </c>
    </row>
    <row r="1458" spans="1:18" x14ac:dyDescent="0.25">
      <c r="A1458" t="s">
        <v>304</v>
      </c>
      <c r="B1458" t="s">
        <v>307</v>
      </c>
      <c r="C1458" t="s">
        <v>12</v>
      </c>
      <c r="D1458">
        <v>1</v>
      </c>
      <c r="E1458">
        <v>25</v>
      </c>
      <c r="F1458">
        <v>0</v>
      </c>
      <c r="G1458">
        <v>400</v>
      </c>
      <c r="H1458">
        <v>3.9324513117400803E-2</v>
      </c>
      <c r="I1458">
        <v>386</v>
      </c>
      <c r="L1458">
        <v>2.2600099765162598E-2</v>
      </c>
      <c r="M1458">
        <v>0</v>
      </c>
      <c r="N1458">
        <v>2018</v>
      </c>
      <c r="O1458" t="s">
        <v>13</v>
      </c>
      <c r="P1458" t="s">
        <v>306</v>
      </c>
      <c r="Q1458" t="s">
        <v>29</v>
      </c>
      <c r="R1458" t="s">
        <v>20</v>
      </c>
    </row>
    <row r="1459" spans="1:18" x14ac:dyDescent="0.25">
      <c r="A1459" t="s">
        <v>304</v>
      </c>
      <c r="B1459" t="s">
        <v>307</v>
      </c>
      <c r="C1459" t="s">
        <v>12</v>
      </c>
      <c r="D1459">
        <v>1</v>
      </c>
      <c r="E1459">
        <v>35</v>
      </c>
      <c r="F1459">
        <v>2.8970168361374302E-3</v>
      </c>
      <c r="G1459">
        <v>451</v>
      </c>
      <c r="H1459">
        <v>4.9876359092832098E-2</v>
      </c>
      <c r="I1459">
        <v>420</v>
      </c>
      <c r="L1459">
        <v>4.0668600891628097E-2</v>
      </c>
      <c r="M1459">
        <v>3.2868541667599498E-2</v>
      </c>
      <c r="N1459">
        <v>2018</v>
      </c>
      <c r="O1459" t="s">
        <v>13</v>
      </c>
      <c r="P1459" t="s">
        <v>306</v>
      </c>
      <c r="Q1459" t="s">
        <v>29</v>
      </c>
      <c r="R1459" t="s">
        <v>20</v>
      </c>
    </row>
    <row r="1460" spans="1:18" x14ac:dyDescent="0.25">
      <c r="A1460" t="s">
        <v>304</v>
      </c>
      <c r="B1460" t="s">
        <v>307</v>
      </c>
      <c r="C1460" t="s">
        <v>12</v>
      </c>
      <c r="D1460">
        <v>1</v>
      </c>
      <c r="E1460">
        <v>45</v>
      </c>
      <c r="F1460">
        <v>1.36229188867964E-2</v>
      </c>
      <c r="G1460">
        <v>401</v>
      </c>
      <c r="H1460">
        <v>9.5692221315417506E-2</v>
      </c>
      <c r="I1460">
        <v>367</v>
      </c>
      <c r="L1460">
        <v>3.5410487398180701E-2</v>
      </c>
      <c r="M1460">
        <v>2.9798669900980301E-2</v>
      </c>
      <c r="N1460">
        <v>2018</v>
      </c>
      <c r="O1460" t="s">
        <v>13</v>
      </c>
      <c r="P1460" t="s">
        <v>306</v>
      </c>
      <c r="Q1460" t="s">
        <v>29</v>
      </c>
      <c r="R1460" t="s">
        <v>20</v>
      </c>
    </row>
    <row r="1461" spans="1:18" x14ac:dyDescent="0.25">
      <c r="A1461" t="s">
        <v>304</v>
      </c>
      <c r="B1461" t="s">
        <v>307</v>
      </c>
      <c r="C1461" t="s">
        <v>12</v>
      </c>
      <c r="D1461">
        <v>1</v>
      </c>
      <c r="E1461">
        <v>55</v>
      </c>
      <c r="F1461">
        <v>2.2208112210759499E-2</v>
      </c>
      <c r="G1461">
        <v>277</v>
      </c>
      <c r="H1461">
        <v>0.156278979005707</v>
      </c>
      <c r="I1461">
        <v>252</v>
      </c>
      <c r="L1461">
        <v>4.3351941353965799E-2</v>
      </c>
      <c r="M1461">
        <v>2.7285978269178199E-2</v>
      </c>
      <c r="N1461">
        <v>2018</v>
      </c>
      <c r="O1461" t="s">
        <v>13</v>
      </c>
      <c r="P1461" t="s">
        <v>306</v>
      </c>
      <c r="Q1461" t="s">
        <v>29</v>
      </c>
      <c r="R1461" t="s">
        <v>20</v>
      </c>
    </row>
    <row r="1462" spans="1:18" x14ac:dyDescent="0.25">
      <c r="A1462" t="s">
        <v>304</v>
      </c>
      <c r="B1462" t="s">
        <v>307</v>
      </c>
      <c r="C1462" t="s">
        <v>12</v>
      </c>
      <c r="D1462">
        <v>1</v>
      </c>
      <c r="E1462">
        <v>65</v>
      </c>
      <c r="F1462">
        <v>4.5858871919343201E-2</v>
      </c>
      <c r="G1462">
        <v>157</v>
      </c>
      <c r="H1462">
        <v>0.17888316013910899</v>
      </c>
      <c r="I1462">
        <v>139</v>
      </c>
      <c r="L1462">
        <v>4.1555487542820499E-2</v>
      </c>
      <c r="M1462">
        <v>3.12132292282933E-2</v>
      </c>
      <c r="N1462">
        <v>2018</v>
      </c>
      <c r="O1462" t="s">
        <v>13</v>
      </c>
      <c r="P1462" t="s">
        <v>306</v>
      </c>
      <c r="Q1462" t="s">
        <v>29</v>
      </c>
      <c r="R1462" t="s">
        <v>20</v>
      </c>
    </row>
    <row r="1463" spans="1:18" x14ac:dyDescent="0.25">
      <c r="A1463" t="s">
        <v>308</v>
      </c>
      <c r="B1463" t="s">
        <v>309</v>
      </c>
      <c r="C1463" t="s">
        <v>12</v>
      </c>
      <c r="D1463">
        <v>2</v>
      </c>
      <c r="E1463">
        <v>19</v>
      </c>
      <c r="F1463">
        <v>0</v>
      </c>
      <c r="G1463">
        <v>70</v>
      </c>
      <c r="H1463">
        <v>8.6499767231268797E-3</v>
      </c>
      <c r="I1463">
        <v>66</v>
      </c>
      <c r="L1463">
        <v>6.8393833717418596E-3</v>
      </c>
      <c r="M1463">
        <v>0</v>
      </c>
      <c r="N1463">
        <v>2014</v>
      </c>
      <c r="O1463" t="s">
        <v>13</v>
      </c>
      <c r="P1463" t="s">
        <v>310</v>
      </c>
      <c r="Q1463" t="s">
        <v>169</v>
      </c>
      <c r="R1463" t="s">
        <v>170</v>
      </c>
    </row>
    <row r="1464" spans="1:18" x14ac:dyDescent="0.25">
      <c r="A1464" t="s">
        <v>308</v>
      </c>
      <c r="B1464" t="s">
        <v>309</v>
      </c>
      <c r="C1464" t="s">
        <v>12</v>
      </c>
      <c r="D1464">
        <v>2</v>
      </c>
      <c r="E1464">
        <v>25</v>
      </c>
      <c r="F1464">
        <v>0</v>
      </c>
      <c r="G1464">
        <v>340</v>
      </c>
      <c r="H1464">
        <v>2.3321050531191498E-3</v>
      </c>
      <c r="I1464">
        <v>313</v>
      </c>
      <c r="L1464">
        <v>0.103059423283157</v>
      </c>
      <c r="M1464">
        <v>0</v>
      </c>
      <c r="N1464">
        <v>2014</v>
      </c>
      <c r="O1464" t="s">
        <v>13</v>
      </c>
      <c r="P1464" t="s">
        <v>310</v>
      </c>
      <c r="Q1464" t="s">
        <v>169</v>
      </c>
      <c r="R1464" t="s">
        <v>170</v>
      </c>
    </row>
    <row r="1465" spans="1:18" x14ac:dyDescent="0.25">
      <c r="A1465" t="s">
        <v>308</v>
      </c>
      <c r="B1465" t="s">
        <v>309</v>
      </c>
      <c r="C1465" t="s">
        <v>12</v>
      </c>
      <c r="D1465">
        <v>2</v>
      </c>
      <c r="E1465">
        <v>35</v>
      </c>
      <c r="F1465">
        <v>2.8382223217986802E-3</v>
      </c>
      <c r="G1465">
        <v>356</v>
      </c>
      <c r="H1465">
        <v>4.1715253419025503E-2</v>
      </c>
      <c r="I1465">
        <v>329</v>
      </c>
      <c r="L1465">
        <v>7.2376963782099096E-2</v>
      </c>
      <c r="M1465">
        <v>6.6582702228129897E-2</v>
      </c>
      <c r="N1465">
        <v>2014</v>
      </c>
      <c r="O1465" t="s">
        <v>13</v>
      </c>
      <c r="P1465" t="s">
        <v>310</v>
      </c>
      <c r="Q1465" t="s">
        <v>169</v>
      </c>
      <c r="R1465" t="s">
        <v>170</v>
      </c>
    </row>
    <row r="1466" spans="1:18" x14ac:dyDescent="0.25">
      <c r="A1466" t="s">
        <v>308</v>
      </c>
      <c r="B1466" t="s">
        <v>309</v>
      </c>
      <c r="C1466" t="s">
        <v>12</v>
      </c>
      <c r="D1466">
        <v>2</v>
      </c>
      <c r="E1466">
        <v>45</v>
      </c>
      <c r="F1466">
        <v>0</v>
      </c>
      <c r="G1466">
        <v>331</v>
      </c>
      <c r="H1466">
        <v>5.8988038106286701E-2</v>
      </c>
      <c r="I1466">
        <v>305</v>
      </c>
      <c r="L1466">
        <v>1.1737637351033701E-2</v>
      </c>
      <c r="M1466">
        <v>0</v>
      </c>
      <c r="N1466">
        <v>2014</v>
      </c>
      <c r="O1466" t="s">
        <v>13</v>
      </c>
      <c r="P1466" t="s">
        <v>310</v>
      </c>
      <c r="Q1466" t="s">
        <v>169</v>
      </c>
      <c r="R1466" t="s">
        <v>170</v>
      </c>
    </row>
    <row r="1467" spans="1:18" x14ac:dyDescent="0.25">
      <c r="A1467" t="s">
        <v>308</v>
      </c>
      <c r="B1467" t="s">
        <v>309</v>
      </c>
      <c r="C1467" t="s">
        <v>12</v>
      </c>
      <c r="D1467">
        <v>2</v>
      </c>
      <c r="E1467">
        <v>55</v>
      </c>
      <c r="F1467">
        <v>1.0714940520111E-2</v>
      </c>
      <c r="G1467">
        <v>178</v>
      </c>
      <c r="H1467">
        <v>2.8506769240378201E-2</v>
      </c>
      <c r="I1467">
        <v>164</v>
      </c>
      <c r="L1467">
        <v>2.3147246030005401E-2</v>
      </c>
      <c r="M1467">
        <v>5.0900005932580601E-2</v>
      </c>
      <c r="N1467">
        <v>2014</v>
      </c>
      <c r="O1467" t="s">
        <v>13</v>
      </c>
      <c r="P1467" t="s">
        <v>310</v>
      </c>
      <c r="Q1467" t="s">
        <v>169</v>
      </c>
      <c r="R1467" t="s">
        <v>170</v>
      </c>
    </row>
    <row r="1468" spans="1:18" x14ac:dyDescent="0.25">
      <c r="A1468" t="s">
        <v>308</v>
      </c>
      <c r="B1468" t="s">
        <v>309</v>
      </c>
      <c r="C1468" t="s">
        <v>12</v>
      </c>
      <c r="D1468">
        <v>2</v>
      </c>
      <c r="E1468">
        <v>65</v>
      </c>
      <c r="F1468">
        <v>0</v>
      </c>
      <c r="G1468">
        <v>190</v>
      </c>
      <c r="H1468">
        <v>3.8911986742186301E-2</v>
      </c>
      <c r="I1468">
        <v>179</v>
      </c>
      <c r="L1468">
        <v>3.4287015435372901E-2</v>
      </c>
      <c r="M1468">
        <v>0</v>
      </c>
      <c r="N1468">
        <v>2014</v>
      </c>
      <c r="O1468" t="s">
        <v>13</v>
      </c>
      <c r="P1468" t="s">
        <v>310</v>
      </c>
      <c r="Q1468" t="s">
        <v>169</v>
      </c>
      <c r="R1468" t="s">
        <v>170</v>
      </c>
    </row>
    <row r="1469" spans="1:18" x14ac:dyDescent="0.25">
      <c r="A1469" t="s">
        <v>308</v>
      </c>
      <c r="B1469" t="s">
        <v>309</v>
      </c>
      <c r="C1469" t="s">
        <v>12</v>
      </c>
      <c r="D1469">
        <v>1</v>
      </c>
      <c r="E1469">
        <v>19</v>
      </c>
      <c r="F1469">
        <v>0</v>
      </c>
      <c r="G1469">
        <v>30</v>
      </c>
      <c r="H1469">
        <v>1.6938677651126999E-2</v>
      </c>
      <c r="I1469">
        <v>27</v>
      </c>
      <c r="L1469">
        <v>6.9817221730967993E-2</v>
      </c>
      <c r="M1469">
        <v>0</v>
      </c>
      <c r="N1469">
        <v>2014</v>
      </c>
      <c r="O1469" t="s">
        <v>13</v>
      </c>
      <c r="P1469" t="s">
        <v>310</v>
      </c>
      <c r="Q1469" t="s">
        <v>169</v>
      </c>
      <c r="R1469" t="s">
        <v>170</v>
      </c>
    </row>
    <row r="1470" spans="1:18" x14ac:dyDescent="0.25">
      <c r="A1470" t="s">
        <v>308</v>
      </c>
      <c r="B1470" t="s">
        <v>309</v>
      </c>
      <c r="C1470" t="s">
        <v>12</v>
      </c>
      <c r="D1470">
        <v>1</v>
      </c>
      <c r="E1470">
        <v>25</v>
      </c>
      <c r="F1470">
        <v>0</v>
      </c>
      <c r="G1470">
        <v>196</v>
      </c>
      <c r="H1470">
        <v>1.2964585142468199E-2</v>
      </c>
      <c r="I1470">
        <v>175</v>
      </c>
      <c r="L1470">
        <v>6.1152795040734101E-3</v>
      </c>
      <c r="M1470">
        <v>0</v>
      </c>
      <c r="N1470">
        <v>2014</v>
      </c>
      <c r="O1470" t="s">
        <v>13</v>
      </c>
      <c r="P1470" t="s">
        <v>310</v>
      </c>
      <c r="Q1470" t="s">
        <v>169</v>
      </c>
      <c r="R1470" t="s">
        <v>170</v>
      </c>
    </row>
    <row r="1471" spans="1:18" x14ac:dyDescent="0.25">
      <c r="A1471" t="s">
        <v>308</v>
      </c>
      <c r="B1471" t="s">
        <v>309</v>
      </c>
      <c r="C1471" t="s">
        <v>12</v>
      </c>
      <c r="D1471">
        <v>1</v>
      </c>
      <c r="E1471">
        <v>35</v>
      </c>
      <c r="F1471">
        <v>1.7470281459620899E-3</v>
      </c>
      <c r="G1471">
        <v>225</v>
      </c>
      <c r="H1471">
        <v>9.3680901281519308E-3</v>
      </c>
      <c r="I1471">
        <v>203</v>
      </c>
      <c r="L1471">
        <v>2.1672967041577E-2</v>
      </c>
      <c r="M1471">
        <v>4.6730141213837798E-2</v>
      </c>
      <c r="N1471">
        <v>2014</v>
      </c>
      <c r="O1471" t="s">
        <v>13</v>
      </c>
      <c r="P1471" t="s">
        <v>310</v>
      </c>
      <c r="Q1471" t="s">
        <v>169</v>
      </c>
      <c r="R1471" t="s">
        <v>170</v>
      </c>
    </row>
    <row r="1472" spans="1:18" x14ac:dyDescent="0.25">
      <c r="A1472" t="s">
        <v>308</v>
      </c>
      <c r="B1472" t="s">
        <v>309</v>
      </c>
      <c r="C1472" t="s">
        <v>12</v>
      </c>
      <c r="D1472">
        <v>1</v>
      </c>
      <c r="E1472">
        <v>45</v>
      </c>
      <c r="F1472">
        <v>6.2800636702063401E-4</v>
      </c>
      <c r="G1472">
        <v>263</v>
      </c>
      <c r="H1472">
        <v>1.5826929163926501E-2</v>
      </c>
      <c r="I1472">
        <v>239</v>
      </c>
      <c r="L1472">
        <v>3.7973321967114497E-2</v>
      </c>
      <c r="M1472">
        <v>3.8544041098425297E-2</v>
      </c>
      <c r="N1472">
        <v>2014</v>
      </c>
      <c r="O1472" t="s">
        <v>13</v>
      </c>
      <c r="P1472" t="s">
        <v>310</v>
      </c>
      <c r="Q1472" t="s">
        <v>169</v>
      </c>
      <c r="R1472" t="s">
        <v>170</v>
      </c>
    </row>
    <row r="1473" spans="1:18" x14ac:dyDescent="0.25">
      <c r="A1473" t="s">
        <v>308</v>
      </c>
      <c r="B1473" t="s">
        <v>309</v>
      </c>
      <c r="C1473" t="s">
        <v>12</v>
      </c>
      <c r="D1473">
        <v>1</v>
      </c>
      <c r="E1473">
        <v>55</v>
      </c>
      <c r="F1473">
        <v>3.16944973307378E-3</v>
      </c>
      <c r="G1473">
        <v>169</v>
      </c>
      <c r="H1473">
        <v>3.74684496817509E-2</v>
      </c>
      <c r="I1473">
        <v>157</v>
      </c>
      <c r="L1473">
        <v>7.2581242252043404E-2</v>
      </c>
      <c r="M1473">
        <v>7.07555475623112E-2</v>
      </c>
      <c r="N1473">
        <v>2014</v>
      </c>
      <c r="O1473" t="s">
        <v>13</v>
      </c>
      <c r="P1473" t="s">
        <v>310</v>
      </c>
      <c r="Q1473" t="s">
        <v>169</v>
      </c>
      <c r="R1473" t="s">
        <v>170</v>
      </c>
    </row>
    <row r="1474" spans="1:18" x14ac:dyDescent="0.25">
      <c r="A1474" t="s">
        <v>308</v>
      </c>
      <c r="B1474" t="s">
        <v>309</v>
      </c>
      <c r="C1474" t="s">
        <v>12</v>
      </c>
      <c r="D1474">
        <v>1</v>
      </c>
      <c r="E1474">
        <v>65</v>
      </c>
      <c r="F1474">
        <v>2.1795682381352899E-3</v>
      </c>
      <c r="G1474">
        <v>197</v>
      </c>
      <c r="H1474">
        <v>7.6348555805497903E-2</v>
      </c>
      <c r="I1474">
        <v>178</v>
      </c>
      <c r="L1474">
        <v>0.14009852029632899</v>
      </c>
      <c r="M1474">
        <v>8.5864178424662999E-2</v>
      </c>
      <c r="N1474">
        <v>2014</v>
      </c>
      <c r="O1474" t="s">
        <v>13</v>
      </c>
      <c r="P1474" t="s">
        <v>310</v>
      </c>
      <c r="Q1474" t="s">
        <v>169</v>
      </c>
      <c r="R1474" t="s">
        <v>170</v>
      </c>
    </row>
    <row r="1475" spans="1:18" x14ac:dyDescent="0.25">
      <c r="A1475" t="s">
        <v>311</v>
      </c>
      <c r="B1475" t="s">
        <v>312</v>
      </c>
      <c r="C1475" t="s">
        <v>12</v>
      </c>
      <c r="D1475">
        <v>2</v>
      </c>
      <c r="E1475">
        <v>19</v>
      </c>
      <c r="J1475">
        <v>2.3107758977867199E-2</v>
      </c>
      <c r="K1475">
        <v>12</v>
      </c>
      <c r="L1475">
        <v>5.8837453540225799E-2</v>
      </c>
      <c r="M1475">
        <v>0</v>
      </c>
      <c r="N1475">
        <v>2004</v>
      </c>
      <c r="O1475" t="s">
        <v>13</v>
      </c>
      <c r="P1475" t="s">
        <v>313</v>
      </c>
      <c r="Q1475" t="s">
        <v>33</v>
      </c>
      <c r="R1475" t="s">
        <v>34</v>
      </c>
    </row>
    <row r="1476" spans="1:18" x14ac:dyDescent="0.25">
      <c r="A1476" t="s">
        <v>311</v>
      </c>
      <c r="B1476" t="s">
        <v>312</v>
      </c>
      <c r="C1476" t="s">
        <v>12</v>
      </c>
      <c r="D1476">
        <v>2</v>
      </c>
      <c r="E1476">
        <v>25</v>
      </c>
      <c r="J1476">
        <v>2.7258183626979401E-2</v>
      </c>
      <c r="K1476">
        <v>52</v>
      </c>
      <c r="L1476">
        <v>2.67660670067482E-2</v>
      </c>
      <c r="M1476">
        <v>0</v>
      </c>
      <c r="N1476">
        <v>2004</v>
      </c>
      <c r="O1476" t="s">
        <v>13</v>
      </c>
      <c r="P1476" t="s">
        <v>313</v>
      </c>
      <c r="Q1476" t="s">
        <v>33</v>
      </c>
      <c r="R1476" t="s">
        <v>34</v>
      </c>
    </row>
    <row r="1477" spans="1:18" x14ac:dyDescent="0.25">
      <c r="A1477" t="s">
        <v>311</v>
      </c>
      <c r="B1477" t="s">
        <v>312</v>
      </c>
      <c r="C1477" t="s">
        <v>12</v>
      </c>
      <c r="D1477">
        <v>2</v>
      </c>
      <c r="E1477">
        <v>35</v>
      </c>
      <c r="J1477">
        <v>0.14151103943138099</v>
      </c>
      <c r="K1477">
        <v>98</v>
      </c>
      <c r="L1477">
        <v>2.62151662574188E-2</v>
      </c>
      <c r="M1477">
        <v>0</v>
      </c>
      <c r="N1477">
        <v>2004</v>
      </c>
      <c r="O1477" t="s">
        <v>13</v>
      </c>
      <c r="P1477" t="s">
        <v>313</v>
      </c>
      <c r="Q1477" t="s">
        <v>33</v>
      </c>
      <c r="R1477" t="s">
        <v>34</v>
      </c>
    </row>
    <row r="1478" spans="1:18" x14ac:dyDescent="0.25">
      <c r="A1478" t="s">
        <v>311</v>
      </c>
      <c r="B1478" t="s">
        <v>312</v>
      </c>
      <c r="C1478" t="s">
        <v>12</v>
      </c>
      <c r="D1478">
        <v>2</v>
      </c>
      <c r="E1478">
        <v>45</v>
      </c>
      <c r="J1478">
        <v>0.25029154140316301</v>
      </c>
      <c r="K1478">
        <v>75</v>
      </c>
      <c r="L1478">
        <v>2.6580342202320199E-2</v>
      </c>
      <c r="M1478">
        <v>0</v>
      </c>
      <c r="N1478">
        <v>2004</v>
      </c>
      <c r="O1478" t="s">
        <v>13</v>
      </c>
      <c r="P1478" t="s">
        <v>313</v>
      </c>
      <c r="Q1478" t="s">
        <v>33</v>
      </c>
      <c r="R1478" t="s">
        <v>34</v>
      </c>
    </row>
    <row r="1479" spans="1:18" x14ac:dyDescent="0.25">
      <c r="A1479" t="s">
        <v>311</v>
      </c>
      <c r="B1479" t="s">
        <v>312</v>
      </c>
      <c r="C1479" t="s">
        <v>12</v>
      </c>
      <c r="D1479">
        <v>2</v>
      </c>
      <c r="E1479">
        <v>55</v>
      </c>
      <c r="J1479">
        <v>0.38185009056257002</v>
      </c>
      <c r="K1479">
        <v>56</v>
      </c>
      <c r="L1479">
        <v>2.6412954975072699E-2</v>
      </c>
      <c r="M1479">
        <v>0</v>
      </c>
      <c r="N1479">
        <v>2004</v>
      </c>
      <c r="O1479" t="s">
        <v>13</v>
      </c>
      <c r="P1479" t="s">
        <v>313</v>
      </c>
      <c r="Q1479" t="s">
        <v>33</v>
      </c>
      <c r="R1479" t="s">
        <v>34</v>
      </c>
    </row>
    <row r="1480" spans="1:18" x14ac:dyDescent="0.25">
      <c r="A1480" t="s">
        <v>311</v>
      </c>
      <c r="B1480" t="s">
        <v>312</v>
      </c>
      <c r="C1480" t="s">
        <v>12</v>
      </c>
      <c r="D1480">
        <v>2</v>
      </c>
      <c r="E1480">
        <v>62.5</v>
      </c>
      <c r="J1480">
        <v>0.271826082522313</v>
      </c>
      <c r="K1480">
        <v>8</v>
      </c>
      <c r="L1480">
        <v>2.61205213812588E-2</v>
      </c>
      <c r="M1480">
        <v>0</v>
      </c>
      <c r="N1480">
        <v>2004</v>
      </c>
      <c r="O1480" t="s">
        <v>13</v>
      </c>
      <c r="P1480" t="s">
        <v>313</v>
      </c>
      <c r="Q1480" t="s">
        <v>33</v>
      </c>
      <c r="R1480" t="s">
        <v>34</v>
      </c>
    </row>
    <row r="1481" spans="1:18" x14ac:dyDescent="0.25">
      <c r="A1481" t="s">
        <v>311</v>
      </c>
      <c r="B1481" t="s">
        <v>312</v>
      </c>
      <c r="C1481" t="s">
        <v>12</v>
      </c>
      <c r="D1481">
        <v>1</v>
      </c>
      <c r="E1481">
        <v>19</v>
      </c>
      <c r="J1481">
        <v>3.2064152663081102E-2</v>
      </c>
      <c r="K1481">
        <v>10</v>
      </c>
      <c r="L1481">
        <v>6.0530081307223198E-2</v>
      </c>
      <c r="M1481">
        <v>0</v>
      </c>
      <c r="N1481">
        <v>2004</v>
      </c>
      <c r="O1481" t="s">
        <v>13</v>
      </c>
      <c r="P1481" t="s">
        <v>313</v>
      </c>
      <c r="Q1481" t="s">
        <v>33</v>
      </c>
      <c r="R1481" t="s">
        <v>34</v>
      </c>
    </row>
    <row r="1482" spans="1:18" x14ac:dyDescent="0.25">
      <c r="A1482" t="s">
        <v>311</v>
      </c>
      <c r="B1482" t="s">
        <v>312</v>
      </c>
      <c r="C1482" t="s">
        <v>12</v>
      </c>
      <c r="D1482">
        <v>1</v>
      </c>
      <c r="E1482">
        <v>25</v>
      </c>
      <c r="J1482">
        <v>3.4971254825177198E-2</v>
      </c>
      <c r="K1482">
        <v>38</v>
      </c>
      <c r="L1482">
        <v>2.69996919286635E-2</v>
      </c>
      <c r="M1482">
        <v>0</v>
      </c>
      <c r="N1482">
        <v>2004</v>
      </c>
      <c r="O1482" t="s">
        <v>13</v>
      </c>
      <c r="P1482" t="s">
        <v>313</v>
      </c>
      <c r="Q1482" t="s">
        <v>33</v>
      </c>
      <c r="R1482" t="s">
        <v>34</v>
      </c>
    </row>
    <row r="1483" spans="1:18" x14ac:dyDescent="0.25">
      <c r="A1483" t="s">
        <v>311</v>
      </c>
      <c r="B1483" t="s">
        <v>312</v>
      </c>
      <c r="C1483" t="s">
        <v>12</v>
      </c>
      <c r="D1483">
        <v>1</v>
      </c>
      <c r="E1483">
        <v>35</v>
      </c>
      <c r="J1483">
        <v>9.0052537968451293E-2</v>
      </c>
      <c r="K1483">
        <v>60</v>
      </c>
      <c r="L1483">
        <v>2.4504837509829101E-2</v>
      </c>
      <c r="M1483">
        <v>0</v>
      </c>
      <c r="N1483">
        <v>2004</v>
      </c>
      <c r="O1483" t="s">
        <v>13</v>
      </c>
      <c r="P1483" t="s">
        <v>313</v>
      </c>
      <c r="Q1483" t="s">
        <v>33</v>
      </c>
      <c r="R1483" t="s">
        <v>34</v>
      </c>
    </row>
    <row r="1484" spans="1:18" x14ac:dyDescent="0.25">
      <c r="A1484" t="s">
        <v>311</v>
      </c>
      <c r="B1484" t="s">
        <v>312</v>
      </c>
      <c r="C1484" t="s">
        <v>12</v>
      </c>
      <c r="D1484">
        <v>1</v>
      </c>
      <c r="E1484">
        <v>45</v>
      </c>
      <c r="J1484">
        <v>0.187363313534196</v>
      </c>
      <c r="K1484">
        <v>63</v>
      </c>
      <c r="L1484">
        <v>2.7453514203964E-2</v>
      </c>
      <c r="M1484">
        <v>0</v>
      </c>
      <c r="N1484">
        <v>2004</v>
      </c>
      <c r="O1484" t="s">
        <v>13</v>
      </c>
      <c r="P1484" t="s">
        <v>313</v>
      </c>
      <c r="Q1484" t="s">
        <v>33</v>
      </c>
      <c r="R1484" t="s">
        <v>34</v>
      </c>
    </row>
    <row r="1485" spans="1:18" x14ac:dyDescent="0.25">
      <c r="A1485" t="s">
        <v>311</v>
      </c>
      <c r="B1485" t="s">
        <v>312</v>
      </c>
      <c r="C1485" t="s">
        <v>12</v>
      </c>
      <c r="D1485">
        <v>1</v>
      </c>
      <c r="E1485">
        <v>55</v>
      </c>
      <c r="J1485">
        <v>0.29847497715356502</v>
      </c>
      <c r="K1485">
        <v>46</v>
      </c>
      <c r="L1485">
        <v>2.8217129652805002E-2</v>
      </c>
      <c r="M1485">
        <v>0</v>
      </c>
      <c r="N1485">
        <v>2004</v>
      </c>
      <c r="O1485" t="s">
        <v>13</v>
      </c>
      <c r="P1485" t="s">
        <v>313</v>
      </c>
      <c r="Q1485" t="s">
        <v>33</v>
      </c>
      <c r="R1485" t="s">
        <v>34</v>
      </c>
    </row>
    <row r="1486" spans="1:18" x14ac:dyDescent="0.25">
      <c r="A1486" t="s">
        <v>311</v>
      </c>
      <c r="B1486" t="s">
        <v>312</v>
      </c>
      <c r="C1486" t="s">
        <v>12</v>
      </c>
      <c r="D1486">
        <v>1</v>
      </c>
      <c r="E1486">
        <v>62.5</v>
      </c>
      <c r="J1486">
        <v>0.343486880033889</v>
      </c>
      <c r="K1486">
        <v>20</v>
      </c>
      <c r="L1486">
        <v>2.5396929007225202E-2</v>
      </c>
      <c r="M1486">
        <v>0</v>
      </c>
      <c r="N1486">
        <v>2004</v>
      </c>
      <c r="O1486" t="s">
        <v>13</v>
      </c>
      <c r="P1486" t="s">
        <v>313</v>
      </c>
      <c r="Q1486" t="s">
        <v>33</v>
      </c>
      <c r="R1486" t="s">
        <v>34</v>
      </c>
    </row>
    <row r="1487" spans="1:18" x14ac:dyDescent="0.25">
      <c r="A1487" t="s">
        <v>311</v>
      </c>
      <c r="B1487" t="s">
        <v>314</v>
      </c>
      <c r="C1487" t="s">
        <v>12</v>
      </c>
      <c r="D1487">
        <v>2</v>
      </c>
      <c r="E1487">
        <v>25</v>
      </c>
      <c r="F1487">
        <v>1.49698297650569E-2</v>
      </c>
      <c r="G1487">
        <v>158</v>
      </c>
      <c r="H1487">
        <v>9.748063375431E-2</v>
      </c>
      <c r="I1487">
        <v>146</v>
      </c>
      <c r="L1487">
        <v>4.69838791046732E-2</v>
      </c>
      <c r="M1487">
        <v>3.7708497191579697E-2</v>
      </c>
      <c r="N1487">
        <v>2011</v>
      </c>
      <c r="O1487" t="s">
        <v>13</v>
      </c>
      <c r="P1487" t="s">
        <v>313</v>
      </c>
      <c r="Q1487" t="s">
        <v>33</v>
      </c>
      <c r="R1487" t="s">
        <v>34</v>
      </c>
    </row>
    <row r="1488" spans="1:18" x14ac:dyDescent="0.25">
      <c r="A1488" t="s">
        <v>311</v>
      </c>
      <c r="B1488" t="s">
        <v>314</v>
      </c>
      <c r="C1488" t="s">
        <v>12</v>
      </c>
      <c r="D1488">
        <v>2</v>
      </c>
      <c r="E1488">
        <v>35</v>
      </c>
      <c r="F1488">
        <v>1.9406257292581199E-2</v>
      </c>
      <c r="G1488">
        <v>386</v>
      </c>
      <c r="H1488">
        <v>0.13636890894241199</v>
      </c>
      <c r="I1488">
        <v>353</v>
      </c>
      <c r="L1488">
        <v>4.97730455012107E-2</v>
      </c>
      <c r="M1488">
        <v>3.09011077477278E-2</v>
      </c>
      <c r="N1488">
        <v>2011</v>
      </c>
      <c r="O1488" t="s">
        <v>13</v>
      </c>
      <c r="P1488" t="s">
        <v>313</v>
      </c>
      <c r="Q1488" t="s">
        <v>33</v>
      </c>
      <c r="R1488" t="s">
        <v>34</v>
      </c>
    </row>
    <row r="1489" spans="1:18" x14ac:dyDescent="0.25">
      <c r="A1489" t="s">
        <v>311</v>
      </c>
      <c r="B1489" t="s">
        <v>314</v>
      </c>
      <c r="C1489" t="s">
        <v>12</v>
      </c>
      <c r="D1489">
        <v>2</v>
      </c>
      <c r="E1489">
        <v>45</v>
      </c>
      <c r="F1489">
        <v>5.32394374744352E-2</v>
      </c>
      <c r="G1489">
        <v>496</v>
      </c>
      <c r="H1489">
        <v>0.30565240435984398</v>
      </c>
      <c r="I1489">
        <v>438</v>
      </c>
      <c r="L1489">
        <v>3.8658255970126801E-2</v>
      </c>
      <c r="M1489">
        <v>1.33063535918308E-2</v>
      </c>
      <c r="N1489">
        <v>2011</v>
      </c>
      <c r="O1489" t="s">
        <v>13</v>
      </c>
      <c r="P1489" t="s">
        <v>313</v>
      </c>
      <c r="Q1489" t="s">
        <v>33</v>
      </c>
      <c r="R1489" t="s">
        <v>34</v>
      </c>
    </row>
    <row r="1490" spans="1:18" x14ac:dyDescent="0.25">
      <c r="A1490" t="s">
        <v>311</v>
      </c>
      <c r="B1490" t="s">
        <v>314</v>
      </c>
      <c r="C1490" t="s">
        <v>12</v>
      </c>
      <c r="D1490">
        <v>2</v>
      </c>
      <c r="E1490">
        <v>55</v>
      </c>
      <c r="F1490">
        <v>0.17427879794541301</v>
      </c>
      <c r="G1490">
        <v>320</v>
      </c>
      <c r="H1490">
        <v>0.39673189983485702</v>
      </c>
      <c r="I1490">
        <v>249</v>
      </c>
      <c r="L1490">
        <v>3.8483936115703402E-2</v>
      </c>
      <c r="M1490">
        <v>1.4792993035536399E-2</v>
      </c>
      <c r="N1490">
        <v>2011</v>
      </c>
      <c r="O1490" t="s">
        <v>13</v>
      </c>
      <c r="P1490" t="s">
        <v>313</v>
      </c>
      <c r="Q1490" t="s">
        <v>33</v>
      </c>
      <c r="R1490" t="s">
        <v>34</v>
      </c>
    </row>
    <row r="1491" spans="1:18" x14ac:dyDescent="0.25">
      <c r="A1491" t="s">
        <v>311</v>
      </c>
      <c r="B1491" t="s">
        <v>314</v>
      </c>
      <c r="C1491" t="s">
        <v>12</v>
      </c>
      <c r="D1491">
        <v>2</v>
      </c>
      <c r="E1491">
        <v>62.5</v>
      </c>
      <c r="F1491">
        <v>0.29020029632993799</v>
      </c>
      <c r="G1491">
        <v>104</v>
      </c>
      <c r="H1491">
        <v>0.39381568905695802</v>
      </c>
      <c r="I1491">
        <v>73</v>
      </c>
      <c r="L1491">
        <v>3.8244141939425998E-2</v>
      </c>
      <c r="M1491">
        <v>2.01490202271839E-2</v>
      </c>
      <c r="N1491">
        <v>2011</v>
      </c>
      <c r="O1491" t="s">
        <v>13</v>
      </c>
      <c r="P1491" t="s">
        <v>313</v>
      </c>
      <c r="Q1491" t="s">
        <v>33</v>
      </c>
      <c r="R1491" t="s">
        <v>34</v>
      </c>
    </row>
    <row r="1492" spans="1:18" x14ac:dyDescent="0.25">
      <c r="A1492" t="s">
        <v>311</v>
      </c>
      <c r="B1492" t="s">
        <v>314</v>
      </c>
      <c r="C1492" t="s">
        <v>12</v>
      </c>
      <c r="D1492">
        <v>1</v>
      </c>
      <c r="E1492">
        <v>25</v>
      </c>
      <c r="F1492">
        <v>0</v>
      </c>
      <c r="G1492">
        <v>85</v>
      </c>
      <c r="H1492">
        <v>7.56473854162832E-2</v>
      </c>
      <c r="I1492">
        <v>77</v>
      </c>
      <c r="L1492">
        <v>5.1593143209992198E-2</v>
      </c>
      <c r="M1492">
        <v>0</v>
      </c>
      <c r="N1492">
        <v>2011</v>
      </c>
      <c r="O1492" t="s">
        <v>13</v>
      </c>
      <c r="P1492" t="s">
        <v>313</v>
      </c>
      <c r="Q1492" t="s">
        <v>33</v>
      </c>
      <c r="R1492" t="s">
        <v>34</v>
      </c>
    </row>
    <row r="1493" spans="1:18" x14ac:dyDescent="0.25">
      <c r="A1493" t="s">
        <v>311</v>
      </c>
      <c r="B1493" t="s">
        <v>314</v>
      </c>
      <c r="C1493" t="s">
        <v>12</v>
      </c>
      <c r="D1493">
        <v>1</v>
      </c>
      <c r="E1493">
        <v>35</v>
      </c>
      <c r="F1493">
        <v>1.0814221788880401E-2</v>
      </c>
      <c r="G1493">
        <v>247</v>
      </c>
      <c r="H1493">
        <v>0.100758830034869</v>
      </c>
      <c r="I1493">
        <v>221</v>
      </c>
      <c r="L1493">
        <v>3.7710032773574598E-2</v>
      </c>
      <c r="M1493">
        <v>2.5553655074610899E-2</v>
      </c>
      <c r="N1493">
        <v>2011</v>
      </c>
      <c r="O1493" t="s">
        <v>13</v>
      </c>
      <c r="P1493" t="s">
        <v>313</v>
      </c>
      <c r="Q1493" t="s">
        <v>33</v>
      </c>
      <c r="R1493" t="s">
        <v>34</v>
      </c>
    </row>
    <row r="1494" spans="1:18" x14ac:dyDescent="0.25">
      <c r="A1494" t="s">
        <v>311</v>
      </c>
      <c r="B1494" t="s">
        <v>314</v>
      </c>
      <c r="C1494" t="s">
        <v>12</v>
      </c>
      <c r="D1494">
        <v>1</v>
      </c>
      <c r="E1494">
        <v>45</v>
      </c>
      <c r="F1494">
        <v>3.0631879776759099E-2</v>
      </c>
      <c r="G1494">
        <v>338</v>
      </c>
      <c r="H1494">
        <v>0.17520228237559399</v>
      </c>
      <c r="I1494">
        <v>300</v>
      </c>
      <c r="L1494">
        <v>4.3435630656877999E-2</v>
      </c>
      <c r="M1494">
        <v>2.52249477788637E-2</v>
      </c>
      <c r="N1494">
        <v>2011</v>
      </c>
      <c r="O1494" t="s">
        <v>13</v>
      </c>
      <c r="P1494" t="s">
        <v>313</v>
      </c>
      <c r="Q1494" t="s">
        <v>33</v>
      </c>
      <c r="R1494" t="s">
        <v>34</v>
      </c>
    </row>
    <row r="1495" spans="1:18" x14ac:dyDescent="0.25">
      <c r="A1495" t="s">
        <v>311</v>
      </c>
      <c r="B1495" t="s">
        <v>314</v>
      </c>
      <c r="C1495" t="s">
        <v>12</v>
      </c>
      <c r="D1495">
        <v>1</v>
      </c>
      <c r="E1495">
        <v>55</v>
      </c>
      <c r="F1495">
        <v>0.100200492024262</v>
      </c>
      <c r="G1495">
        <v>194</v>
      </c>
      <c r="H1495">
        <v>0.30735986874438498</v>
      </c>
      <c r="I1495">
        <v>162</v>
      </c>
      <c r="L1495">
        <v>2.58993569283179E-2</v>
      </c>
      <c r="M1495">
        <v>1.1781819290334601E-2</v>
      </c>
      <c r="N1495">
        <v>2011</v>
      </c>
      <c r="O1495" t="s">
        <v>13</v>
      </c>
      <c r="P1495" t="s">
        <v>313</v>
      </c>
      <c r="Q1495" t="s">
        <v>33</v>
      </c>
      <c r="R1495" t="s">
        <v>34</v>
      </c>
    </row>
    <row r="1496" spans="1:18" x14ac:dyDescent="0.25">
      <c r="A1496" t="s">
        <v>311</v>
      </c>
      <c r="B1496" t="s">
        <v>314</v>
      </c>
      <c r="C1496" t="s">
        <v>12</v>
      </c>
      <c r="D1496">
        <v>1</v>
      </c>
      <c r="E1496">
        <v>62.5</v>
      </c>
      <c r="F1496">
        <v>0.15510751473857401</v>
      </c>
      <c r="G1496">
        <v>64</v>
      </c>
      <c r="H1496">
        <v>0.17670070518396799</v>
      </c>
      <c r="I1496">
        <v>52</v>
      </c>
      <c r="L1496">
        <v>5.9601699489551997E-2</v>
      </c>
      <c r="M1496">
        <v>8.5000221780771698E-2</v>
      </c>
      <c r="N1496">
        <v>2011</v>
      </c>
      <c r="O1496" t="s">
        <v>13</v>
      </c>
      <c r="P1496" t="s">
        <v>313</v>
      </c>
      <c r="Q1496" t="s">
        <v>33</v>
      </c>
      <c r="R1496" t="s">
        <v>34</v>
      </c>
    </row>
    <row r="1497" spans="1:18" x14ac:dyDescent="0.25">
      <c r="A1497" t="s">
        <v>315</v>
      </c>
      <c r="B1497" t="s">
        <v>316</v>
      </c>
      <c r="C1497" t="s">
        <v>12</v>
      </c>
      <c r="D1497">
        <v>2</v>
      </c>
      <c r="E1497">
        <v>19</v>
      </c>
      <c r="F1497">
        <v>0</v>
      </c>
      <c r="G1497">
        <v>49</v>
      </c>
      <c r="H1497">
        <v>0.20768263320042099</v>
      </c>
      <c r="I1497">
        <v>13</v>
      </c>
      <c r="L1497">
        <v>1.92329172799139E-3</v>
      </c>
      <c r="M1497">
        <v>0</v>
      </c>
      <c r="N1497">
        <v>2011</v>
      </c>
      <c r="O1497" t="s">
        <v>13</v>
      </c>
      <c r="P1497" t="s">
        <v>317</v>
      </c>
      <c r="Q1497" t="s">
        <v>61</v>
      </c>
      <c r="R1497" t="s">
        <v>25</v>
      </c>
    </row>
    <row r="1498" spans="1:18" x14ac:dyDescent="0.25">
      <c r="A1498" t="s">
        <v>315</v>
      </c>
      <c r="B1498" t="s">
        <v>316</v>
      </c>
      <c r="C1498" t="s">
        <v>12</v>
      </c>
      <c r="D1498">
        <v>2</v>
      </c>
      <c r="E1498">
        <v>25</v>
      </c>
      <c r="F1498">
        <v>2.4239214728258799E-3</v>
      </c>
      <c r="G1498">
        <v>324</v>
      </c>
      <c r="H1498">
        <v>0.133697552852162</v>
      </c>
      <c r="I1498">
        <v>64</v>
      </c>
      <c r="L1498">
        <v>1.0151671484115001E-2</v>
      </c>
      <c r="M1498">
        <v>3.5718398166541699E-3</v>
      </c>
      <c r="N1498">
        <v>2011</v>
      </c>
      <c r="O1498" t="s">
        <v>13</v>
      </c>
      <c r="P1498" t="s">
        <v>317</v>
      </c>
      <c r="Q1498" t="s">
        <v>61</v>
      </c>
      <c r="R1498" t="s">
        <v>25</v>
      </c>
    </row>
    <row r="1499" spans="1:18" x14ac:dyDescent="0.25">
      <c r="A1499" t="s">
        <v>315</v>
      </c>
      <c r="B1499" t="s">
        <v>316</v>
      </c>
      <c r="C1499" t="s">
        <v>12</v>
      </c>
      <c r="D1499">
        <v>2</v>
      </c>
      <c r="E1499">
        <v>35</v>
      </c>
      <c r="F1499">
        <v>2.2724773687673699E-2</v>
      </c>
      <c r="G1499">
        <v>322</v>
      </c>
      <c r="H1499">
        <v>0.297200929841413</v>
      </c>
      <c r="I1499">
        <v>75</v>
      </c>
      <c r="L1499">
        <v>6.3568205078766002E-3</v>
      </c>
      <c r="M1499">
        <v>1.84925598797052E-3</v>
      </c>
      <c r="N1499">
        <v>2011</v>
      </c>
      <c r="O1499" t="s">
        <v>13</v>
      </c>
      <c r="P1499" t="s">
        <v>317</v>
      </c>
      <c r="Q1499" t="s">
        <v>61</v>
      </c>
      <c r="R1499" t="s">
        <v>25</v>
      </c>
    </row>
    <row r="1500" spans="1:18" x14ac:dyDescent="0.25">
      <c r="A1500" t="s">
        <v>315</v>
      </c>
      <c r="B1500" t="s">
        <v>316</v>
      </c>
      <c r="C1500" t="s">
        <v>12</v>
      </c>
      <c r="D1500">
        <v>2</v>
      </c>
      <c r="E1500">
        <v>45</v>
      </c>
      <c r="F1500">
        <v>0.10312208938879799</v>
      </c>
      <c r="G1500">
        <v>315</v>
      </c>
      <c r="H1500">
        <v>0.19240590494958201</v>
      </c>
      <c r="I1500">
        <v>74</v>
      </c>
      <c r="L1500">
        <v>8.0685795057132397E-3</v>
      </c>
      <c r="M1500">
        <v>8.5094351833022806E-3</v>
      </c>
      <c r="N1500">
        <v>2011</v>
      </c>
      <c r="O1500" t="s">
        <v>13</v>
      </c>
      <c r="P1500" t="s">
        <v>317</v>
      </c>
      <c r="Q1500" t="s">
        <v>61</v>
      </c>
      <c r="R1500" t="s">
        <v>25</v>
      </c>
    </row>
    <row r="1501" spans="1:18" x14ac:dyDescent="0.25">
      <c r="A1501" t="s">
        <v>315</v>
      </c>
      <c r="B1501" t="s">
        <v>316</v>
      </c>
      <c r="C1501" t="s">
        <v>12</v>
      </c>
      <c r="D1501">
        <v>2</v>
      </c>
      <c r="E1501">
        <v>55</v>
      </c>
      <c r="F1501">
        <v>0.20334968031438</v>
      </c>
      <c r="G1501">
        <v>345</v>
      </c>
      <c r="H1501">
        <v>0.28593216930169801</v>
      </c>
      <c r="I1501">
        <v>57</v>
      </c>
      <c r="L1501">
        <v>1.3173384488391299E-2</v>
      </c>
      <c r="M1501">
        <v>1.1248593375905501E-2</v>
      </c>
      <c r="N1501">
        <v>2011</v>
      </c>
      <c r="O1501" t="s">
        <v>13</v>
      </c>
      <c r="P1501" t="s">
        <v>317</v>
      </c>
      <c r="Q1501" t="s">
        <v>61</v>
      </c>
      <c r="R1501" t="s">
        <v>25</v>
      </c>
    </row>
    <row r="1502" spans="1:18" x14ac:dyDescent="0.25">
      <c r="A1502" t="s">
        <v>315</v>
      </c>
      <c r="B1502" t="s">
        <v>316</v>
      </c>
      <c r="C1502" t="s">
        <v>12</v>
      </c>
      <c r="D1502">
        <v>2</v>
      </c>
      <c r="E1502">
        <v>62.5</v>
      </c>
      <c r="F1502">
        <v>0.24557867465749</v>
      </c>
      <c r="G1502">
        <v>183</v>
      </c>
      <c r="H1502">
        <v>0.177629608403502</v>
      </c>
      <c r="I1502">
        <v>38</v>
      </c>
      <c r="L1502">
        <v>1.22412700498397E-2</v>
      </c>
      <c r="M1502">
        <v>2.3603257232034301E-2</v>
      </c>
      <c r="N1502">
        <v>2011</v>
      </c>
      <c r="O1502" t="s">
        <v>13</v>
      </c>
      <c r="P1502" t="s">
        <v>317</v>
      </c>
      <c r="Q1502" t="s">
        <v>61</v>
      </c>
      <c r="R1502" t="s">
        <v>25</v>
      </c>
    </row>
    <row r="1503" spans="1:18" x14ac:dyDescent="0.25">
      <c r="A1503" t="s">
        <v>315</v>
      </c>
      <c r="B1503" t="s">
        <v>316</v>
      </c>
      <c r="C1503" t="s">
        <v>12</v>
      </c>
      <c r="D1503">
        <v>1</v>
      </c>
      <c r="E1503">
        <v>19</v>
      </c>
      <c r="F1503">
        <v>0</v>
      </c>
      <c r="G1503">
        <v>49</v>
      </c>
      <c r="H1503">
        <v>7.2279875198607499E-2</v>
      </c>
      <c r="I1503">
        <v>10</v>
      </c>
      <c r="L1503">
        <v>1.7706167466414499E-2</v>
      </c>
      <c r="M1503">
        <v>0</v>
      </c>
      <c r="N1503">
        <v>2011</v>
      </c>
      <c r="O1503" t="s">
        <v>13</v>
      </c>
      <c r="P1503" t="s">
        <v>317</v>
      </c>
      <c r="Q1503" t="s">
        <v>61</v>
      </c>
      <c r="R1503" t="s">
        <v>25</v>
      </c>
    </row>
    <row r="1504" spans="1:18" x14ac:dyDescent="0.25">
      <c r="A1504" t="s">
        <v>315</v>
      </c>
      <c r="B1504" t="s">
        <v>316</v>
      </c>
      <c r="C1504" t="s">
        <v>12</v>
      </c>
      <c r="D1504">
        <v>1</v>
      </c>
      <c r="E1504">
        <v>25</v>
      </c>
      <c r="F1504">
        <v>2.0951949400370598E-3</v>
      </c>
      <c r="G1504">
        <v>244</v>
      </c>
      <c r="H1504">
        <v>0.10830349735527001</v>
      </c>
      <c r="I1504">
        <v>53</v>
      </c>
      <c r="L1504">
        <v>7.9404977617463807E-3</v>
      </c>
      <c r="M1504">
        <v>3.28363361934139E-3</v>
      </c>
      <c r="N1504">
        <v>2011</v>
      </c>
      <c r="O1504" t="s">
        <v>13</v>
      </c>
      <c r="P1504" t="s">
        <v>317</v>
      </c>
      <c r="Q1504" t="s">
        <v>61</v>
      </c>
      <c r="R1504" t="s">
        <v>25</v>
      </c>
    </row>
    <row r="1505" spans="1:18" x14ac:dyDescent="0.25">
      <c r="A1505" t="s">
        <v>315</v>
      </c>
      <c r="B1505" t="s">
        <v>316</v>
      </c>
      <c r="C1505" t="s">
        <v>12</v>
      </c>
      <c r="D1505">
        <v>1</v>
      </c>
      <c r="E1505">
        <v>35</v>
      </c>
      <c r="F1505">
        <v>1.7784136997573599E-2</v>
      </c>
      <c r="G1505">
        <v>230</v>
      </c>
      <c r="H1505">
        <v>0.209252477145214</v>
      </c>
      <c r="I1505">
        <v>56</v>
      </c>
      <c r="L1505">
        <v>7.8896790522276702E-3</v>
      </c>
      <c r="M1505">
        <v>3.2911573298152899E-3</v>
      </c>
      <c r="N1505">
        <v>2011</v>
      </c>
      <c r="O1505" t="s">
        <v>13</v>
      </c>
      <c r="P1505" t="s">
        <v>317</v>
      </c>
      <c r="Q1505" t="s">
        <v>61</v>
      </c>
      <c r="R1505" t="s">
        <v>25</v>
      </c>
    </row>
    <row r="1506" spans="1:18" x14ac:dyDescent="0.25">
      <c r="A1506" t="s">
        <v>315</v>
      </c>
      <c r="B1506" t="s">
        <v>316</v>
      </c>
      <c r="C1506" t="s">
        <v>12</v>
      </c>
      <c r="D1506">
        <v>1</v>
      </c>
      <c r="E1506">
        <v>45</v>
      </c>
      <c r="F1506">
        <v>8.1257705594993596E-2</v>
      </c>
      <c r="G1506">
        <v>220</v>
      </c>
      <c r="H1506">
        <v>0.19811864274812499</v>
      </c>
      <c r="I1506">
        <v>47</v>
      </c>
      <c r="L1506">
        <v>1.4825281026654801E-2</v>
      </c>
      <c r="M1506">
        <v>1.3063032136596001E-2</v>
      </c>
      <c r="N1506">
        <v>2011</v>
      </c>
      <c r="O1506" t="s">
        <v>13</v>
      </c>
      <c r="P1506" t="s">
        <v>317</v>
      </c>
      <c r="Q1506" t="s">
        <v>61</v>
      </c>
      <c r="R1506" t="s">
        <v>25</v>
      </c>
    </row>
    <row r="1507" spans="1:18" x14ac:dyDescent="0.25">
      <c r="A1507" t="s">
        <v>315</v>
      </c>
      <c r="B1507" t="s">
        <v>316</v>
      </c>
      <c r="C1507" t="s">
        <v>12</v>
      </c>
      <c r="D1507">
        <v>1</v>
      </c>
      <c r="E1507">
        <v>55</v>
      </c>
      <c r="F1507">
        <v>0.15762199108785599</v>
      </c>
      <c r="G1507">
        <v>200</v>
      </c>
      <c r="H1507">
        <v>0.21778006297452601</v>
      </c>
      <c r="I1507">
        <v>31</v>
      </c>
      <c r="L1507">
        <v>3.2571722009775302E-3</v>
      </c>
      <c r="M1507">
        <v>3.9633120471489298E-3</v>
      </c>
      <c r="N1507">
        <v>2011</v>
      </c>
      <c r="O1507" t="s">
        <v>13</v>
      </c>
      <c r="P1507" t="s">
        <v>317</v>
      </c>
      <c r="Q1507" t="s">
        <v>61</v>
      </c>
      <c r="R1507" t="s">
        <v>25</v>
      </c>
    </row>
    <row r="1508" spans="1:18" x14ac:dyDescent="0.25">
      <c r="A1508" t="s">
        <v>315</v>
      </c>
      <c r="B1508" t="s">
        <v>316</v>
      </c>
      <c r="C1508" t="s">
        <v>12</v>
      </c>
      <c r="D1508">
        <v>1</v>
      </c>
      <c r="E1508">
        <v>62.5</v>
      </c>
      <c r="F1508">
        <v>0.177007682672042</v>
      </c>
      <c r="G1508">
        <v>107</v>
      </c>
      <c r="H1508">
        <v>0.284646131106359</v>
      </c>
      <c r="I1508">
        <v>19</v>
      </c>
      <c r="L1508">
        <v>1.0946943849061801E-2</v>
      </c>
      <c r="M1508">
        <v>8.0789475867719795E-3</v>
      </c>
      <c r="N1508">
        <v>2011</v>
      </c>
      <c r="O1508" t="s">
        <v>13</v>
      </c>
      <c r="P1508" t="s">
        <v>317</v>
      </c>
      <c r="Q1508" t="s">
        <v>61</v>
      </c>
      <c r="R1508" t="s">
        <v>25</v>
      </c>
    </row>
    <row r="1509" spans="1:18" x14ac:dyDescent="0.25">
      <c r="A1509" t="s">
        <v>318</v>
      </c>
      <c r="B1509" t="s">
        <v>319</v>
      </c>
      <c r="C1509" t="s">
        <v>12</v>
      </c>
      <c r="D1509">
        <v>2</v>
      </c>
      <c r="E1509">
        <v>19</v>
      </c>
      <c r="F1509">
        <v>6.1901410622140903E-3</v>
      </c>
      <c r="G1509">
        <v>79</v>
      </c>
      <c r="H1509">
        <v>5.8133002523085503E-3</v>
      </c>
      <c r="I1509">
        <v>33</v>
      </c>
      <c r="L1509">
        <v>4.7334455157881698E-2</v>
      </c>
      <c r="M1509">
        <v>0.39182346588977901</v>
      </c>
      <c r="N1509">
        <v>2017</v>
      </c>
      <c r="O1509" t="s">
        <v>13</v>
      </c>
      <c r="P1509" t="s">
        <v>320</v>
      </c>
      <c r="Q1509" t="s">
        <v>19</v>
      </c>
      <c r="R1509" t="s">
        <v>20</v>
      </c>
    </row>
    <row r="1510" spans="1:18" x14ac:dyDescent="0.25">
      <c r="A1510" t="s">
        <v>318</v>
      </c>
      <c r="B1510" t="s">
        <v>319</v>
      </c>
      <c r="C1510" t="s">
        <v>12</v>
      </c>
      <c r="D1510">
        <v>2</v>
      </c>
      <c r="E1510">
        <v>25</v>
      </c>
      <c r="F1510">
        <v>7.9829697139643697E-3</v>
      </c>
      <c r="G1510">
        <v>497</v>
      </c>
      <c r="H1510">
        <v>1.6573374775374801E-2</v>
      </c>
      <c r="I1510">
        <v>226</v>
      </c>
      <c r="L1510">
        <v>7.6126451885958304E-2</v>
      </c>
      <c r="M1510">
        <v>0.27689836196147699</v>
      </c>
      <c r="N1510">
        <v>2017</v>
      </c>
      <c r="O1510" t="s">
        <v>13</v>
      </c>
      <c r="P1510" t="s">
        <v>320</v>
      </c>
      <c r="Q1510" t="s">
        <v>19</v>
      </c>
      <c r="R1510" t="s">
        <v>20</v>
      </c>
    </row>
    <row r="1511" spans="1:18" x14ac:dyDescent="0.25">
      <c r="A1511" t="s">
        <v>318</v>
      </c>
      <c r="B1511" t="s">
        <v>319</v>
      </c>
      <c r="C1511" t="s">
        <v>12</v>
      </c>
      <c r="D1511">
        <v>2</v>
      </c>
      <c r="E1511">
        <v>35</v>
      </c>
      <c r="F1511">
        <v>1.01963104005797E-2</v>
      </c>
      <c r="G1511">
        <v>682</v>
      </c>
      <c r="H1511">
        <v>9.99476677421271E-2</v>
      </c>
      <c r="I1511">
        <v>312</v>
      </c>
      <c r="L1511">
        <v>2.7063727374394001E-2</v>
      </c>
      <c r="M1511">
        <v>1.8338343465984602E-2</v>
      </c>
      <c r="N1511">
        <v>2017</v>
      </c>
      <c r="O1511" t="s">
        <v>13</v>
      </c>
      <c r="P1511" t="s">
        <v>320</v>
      </c>
      <c r="Q1511" t="s">
        <v>19</v>
      </c>
      <c r="R1511" t="s">
        <v>20</v>
      </c>
    </row>
    <row r="1512" spans="1:18" x14ac:dyDescent="0.25">
      <c r="A1512" t="s">
        <v>318</v>
      </c>
      <c r="B1512" t="s">
        <v>319</v>
      </c>
      <c r="C1512" t="s">
        <v>12</v>
      </c>
      <c r="D1512">
        <v>2</v>
      </c>
      <c r="E1512">
        <v>45</v>
      </c>
      <c r="F1512">
        <v>7.3266369992873698E-2</v>
      </c>
      <c r="G1512">
        <v>683</v>
      </c>
      <c r="H1512">
        <v>0.104516613961834</v>
      </c>
      <c r="I1512">
        <v>334</v>
      </c>
      <c r="L1512">
        <v>3.6081184084243802E-2</v>
      </c>
      <c r="M1512">
        <v>6.5174573484217901E-2</v>
      </c>
      <c r="N1512">
        <v>2017</v>
      </c>
      <c r="O1512" t="s">
        <v>13</v>
      </c>
      <c r="P1512" t="s">
        <v>320</v>
      </c>
      <c r="Q1512" t="s">
        <v>19</v>
      </c>
      <c r="R1512" t="s">
        <v>20</v>
      </c>
    </row>
    <row r="1513" spans="1:18" x14ac:dyDescent="0.25">
      <c r="A1513" t="s">
        <v>318</v>
      </c>
      <c r="B1513" t="s">
        <v>319</v>
      </c>
      <c r="C1513" t="s">
        <v>12</v>
      </c>
      <c r="D1513">
        <v>2</v>
      </c>
      <c r="E1513">
        <v>55</v>
      </c>
      <c r="F1513">
        <v>0.145909419918936</v>
      </c>
      <c r="G1513">
        <v>644</v>
      </c>
      <c r="H1513">
        <v>0.18992716229269499</v>
      </c>
      <c r="I1513">
        <v>321</v>
      </c>
      <c r="L1513">
        <v>2.9900324320280901E-2</v>
      </c>
      <c r="M1513">
        <v>3.76015994014978E-2</v>
      </c>
      <c r="N1513">
        <v>2017</v>
      </c>
      <c r="O1513" t="s">
        <v>13</v>
      </c>
      <c r="P1513" t="s">
        <v>320</v>
      </c>
      <c r="Q1513" t="s">
        <v>19</v>
      </c>
      <c r="R1513" t="s">
        <v>20</v>
      </c>
    </row>
    <row r="1514" spans="1:18" x14ac:dyDescent="0.25">
      <c r="A1514" t="s">
        <v>318</v>
      </c>
      <c r="B1514" t="s">
        <v>319</v>
      </c>
      <c r="C1514" t="s">
        <v>12</v>
      </c>
      <c r="D1514">
        <v>2</v>
      </c>
      <c r="E1514">
        <v>65</v>
      </c>
      <c r="F1514">
        <v>0.23860537313878299</v>
      </c>
      <c r="G1514">
        <v>463</v>
      </c>
      <c r="H1514">
        <v>0.24538389706414801</v>
      </c>
      <c r="I1514">
        <v>205</v>
      </c>
      <c r="L1514">
        <v>4.7234316345391603E-2</v>
      </c>
      <c r="M1514">
        <v>5.6439458850185503E-2</v>
      </c>
      <c r="N1514">
        <v>2017</v>
      </c>
      <c r="O1514" t="s">
        <v>13</v>
      </c>
      <c r="P1514" t="s">
        <v>320</v>
      </c>
      <c r="Q1514" t="s">
        <v>19</v>
      </c>
      <c r="R1514" t="s">
        <v>20</v>
      </c>
    </row>
    <row r="1515" spans="1:18" x14ac:dyDescent="0.25">
      <c r="A1515" t="s">
        <v>318</v>
      </c>
      <c r="B1515" t="s">
        <v>319</v>
      </c>
      <c r="C1515" t="s">
        <v>12</v>
      </c>
      <c r="D1515">
        <v>2</v>
      </c>
      <c r="E1515">
        <v>75</v>
      </c>
      <c r="F1515">
        <v>0.27795323285710599</v>
      </c>
      <c r="G1515">
        <v>315</v>
      </c>
      <c r="H1515">
        <v>0.31145317153616697</v>
      </c>
      <c r="I1515">
        <v>162</v>
      </c>
      <c r="L1515">
        <v>4.1337725929553801E-2</v>
      </c>
      <c r="M1515">
        <v>3.8749397158090303E-2</v>
      </c>
      <c r="N1515">
        <v>2017</v>
      </c>
      <c r="O1515" t="s">
        <v>13</v>
      </c>
      <c r="P1515" t="s">
        <v>320</v>
      </c>
      <c r="Q1515" t="s">
        <v>19</v>
      </c>
      <c r="R1515" t="s">
        <v>20</v>
      </c>
    </row>
    <row r="1516" spans="1:18" x14ac:dyDescent="0.25">
      <c r="A1516" t="s">
        <v>318</v>
      </c>
      <c r="B1516" t="s">
        <v>319</v>
      </c>
      <c r="C1516" t="s">
        <v>12</v>
      </c>
      <c r="D1516">
        <v>2</v>
      </c>
      <c r="E1516">
        <v>84.91</v>
      </c>
      <c r="F1516">
        <v>0.26082637524365698</v>
      </c>
      <c r="G1516">
        <v>130</v>
      </c>
      <c r="H1516">
        <v>0.29937498981261101</v>
      </c>
      <c r="I1516">
        <v>60</v>
      </c>
      <c r="L1516">
        <v>4.5272390600314703E-2</v>
      </c>
      <c r="M1516">
        <v>4.2503576803951698E-2</v>
      </c>
      <c r="N1516">
        <v>2017</v>
      </c>
      <c r="O1516" t="s">
        <v>13</v>
      </c>
      <c r="P1516" t="s">
        <v>320</v>
      </c>
      <c r="Q1516" t="s">
        <v>19</v>
      </c>
      <c r="R1516" t="s">
        <v>20</v>
      </c>
    </row>
    <row r="1517" spans="1:18" x14ac:dyDescent="0.25">
      <c r="A1517" t="s">
        <v>318</v>
      </c>
      <c r="B1517" t="s">
        <v>319</v>
      </c>
      <c r="C1517" t="s">
        <v>12</v>
      </c>
      <c r="D1517">
        <v>1</v>
      </c>
      <c r="E1517">
        <v>19</v>
      </c>
      <c r="F1517">
        <v>6.8418454787243198E-3</v>
      </c>
      <c r="G1517">
        <v>71</v>
      </c>
      <c r="H1517">
        <v>9.3320572629291606E-3</v>
      </c>
      <c r="I1517">
        <v>35</v>
      </c>
      <c r="L1517">
        <v>6.3229184399980806E-2</v>
      </c>
      <c r="M1517">
        <v>0.37634511446970798</v>
      </c>
      <c r="N1517">
        <v>2017</v>
      </c>
      <c r="O1517" t="s">
        <v>13</v>
      </c>
      <c r="P1517" t="s">
        <v>320</v>
      </c>
      <c r="Q1517" t="s">
        <v>19</v>
      </c>
      <c r="R1517" t="s">
        <v>20</v>
      </c>
    </row>
    <row r="1518" spans="1:18" x14ac:dyDescent="0.25">
      <c r="A1518" t="s">
        <v>318</v>
      </c>
      <c r="B1518" t="s">
        <v>319</v>
      </c>
      <c r="C1518" t="s">
        <v>12</v>
      </c>
      <c r="D1518">
        <v>1</v>
      </c>
      <c r="E1518">
        <v>25</v>
      </c>
      <c r="F1518">
        <v>4.1272533567049303E-3</v>
      </c>
      <c r="G1518">
        <v>347</v>
      </c>
      <c r="H1518">
        <v>4.5645036168724402E-2</v>
      </c>
      <c r="I1518">
        <v>159</v>
      </c>
      <c r="L1518">
        <v>2.2579394967706001E-2</v>
      </c>
      <c r="M1518">
        <v>2.1465286691071901E-2</v>
      </c>
      <c r="N1518">
        <v>2017</v>
      </c>
      <c r="O1518" t="s">
        <v>13</v>
      </c>
      <c r="P1518" t="s">
        <v>320</v>
      </c>
      <c r="Q1518" t="s">
        <v>19</v>
      </c>
      <c r="R1518" t="s">
        <v>20</v>
      </c>
    </row>
    <row r="1519" spans="1:18" x14ac:dyDescent="0.25">
      <c r="A1519" t="s">
        <v>318</v>
      </c>
      <c r="B1519" t="s">
        <v>319</v>
      </c>
      <c r="C1519" t="s">
        <v>12</v>
      </c>
      <c r="D1519">
        <v>1</v>
      </c>
      <c r="E1519">
        <v>35</v>
      </c>
      <c r="F1519">
        <v>1.5670162036627199E-2</v>
      </c>
      <c r="G1519">
        <v>451</v>
      </c>
      <c r="H1519">
        <v>6.3581123269207104E-2</v>
      </c>
      <c r="I1519">
        <v>214</v>
      </c>
      <c r="L1519">
        <v>3.7805249908626E-2</v>
      </c>
      <c r="M1519">
        <v>4.8612611856996099E-2</v>
      </c>
      <c r="N1519">
        <v>2017</v>
      </c>
      <c r="O1519" t="s">
        <v>13</v>
      </c>
      <c r="P1519" t="s">
        <v>320</v>
      </c>
      <c r="Q1519" t="s">
        <v>19</v>
      </c>
      <c r="R1519" t="s">
        <v>20</v>
      </c>
    </row>
    <row r="1520" spans="1:18" x14ac:dyDescent="0.25">
      <c r="A1520" t="s">
        <v>318</v>
      </c>
      <c r="B1520" t="s">
        <v>319</v>
      </c>
      <c r="C1520" t="s">
        <v>12</v>
      </c>
      <c r="D1520">
        <v>1</v>
      </c>
      <c r="E1520">
        <v>45</v>
      </c>
      <c r="F1520">
        <v>2.7901300131871001E-2</v>
      </c>
      <c r="G1520">
        <v>404</v>
      </c>
      <c r="H1520">
        <v>0.10741122479034</v>
      </c>
      <c r="I1520">
        <v>183</v>
      </c>
      <c r="L1520">
        <v>3.7004790659047701E-2</v>
      </c>
      <c r="M1520">
        <v>3.7360056554501399E-2</v>
      </c>
      <c r="N1520">
        <v>2017</v>
      </c>
      <c r="O1520" t="s">
        <v>13</v>
      </c>
      <c r="P1520" t="s">
        <v>320</v>
      </c>
      <c r="Q1520" t="s">
        <v>19</v>
      </c>
      <c r="R1520" t="s">
        <v>20</v>
      </c>
    </row>
    <row r="1521" spans="1:18" x14ac:dyDescent="0.25">
      <c r="A1521" t="s">
        <v>318</v>
      </c>
      <c r="B1521" t="s">
        <v>319</v>
      </c>
      <c r="C1521" t="s">
        <v>12</v>
      </c>
      <c r="D1521">
        <v>1</v>
      </c>
      <c r="E1521">
        <v>55</v>
      </c>
      <c r="F1521">
        <v>0.13292421774020999</v>
      </c>
      <c r="G1521">
        <v>439</v>
      </c>
      <c r="H1521">
        <v>0.172090518715067</v>
      </c>
      <c r="I1521">
        <v>208</v>
      </c>
      <c r="L1521">
        <v>2.7788102435078101E-2</v>
      </c>
      <c r="M1521">
        <v>3.9775620874705903E-2</v>
      </c>
      <c r="N1521">
        <v>2017</v>
      </c>
      <c r="O1521" t="s">
        <v>13</v>
      </c>
      <c r="P1521" t="s">
        <v>320</v>
      </c>
      <c r="Q1521" t="s">
        <v>19</v>
      </c>
      <c r="R1521" t="s">
        <v>20</v>
      </c>
    </row>
    <row r="1522" spans="1:18" x14ac:dyDescent="0.25">
      <c r="A1522" t="s">
        <v>318</v>
      </c>
      <c r="B1522" t="s">
        <v>319</v>
      </c>
      <c r="C1522" t="s">
        <v>12</v>
      </c>
      <c r="D1522">
        <v>1</v>
      </c>
      <c r="E1522">
        <v>65</v>
      </c>
      <c r="F1522">
        <v>0.21826469166292201</v>
      </c>
      <c r="G1522">
        <v>381</v>
      </c>
      <c r="H1522">
        <v>0.203155733432312</v>
      </c>
      <c r="I1522">
        <v>173</v>
      </c>
      <c r="L1522">
        <v>1.9635224902826098E-2</v>
      </c>
      <c r="M1522">
        <v>2.9273793537442399E-2</v>
      </c>
      <c r="N1522">
        <v>2017</v>
      </c>
      <c r="O1522" t="s">
        <v>13</v>
      </c>
      <c r="P1522" t="s">
        <v>320</v>
      </c>
      <c r="Q1522" t="s">
        <v>19</v>
      </c>
      <c r="R1522" t="s">
        <v>20</v>
      </c>
    </row>
    <row r="1523" spans="1:18" x14ac:dyDescent="0.25">
      <c r="A1523" t="s">
        <v>318</v>
      </c>
      <c r="B1523" t="s">
        <v>319</v>
      </c>
      <c r="C1523" t="s">
        <v>12</v>
      </c>
      <c r="D1523">
        <v>1</v>
      </c>
      <c r="E1523">
        <v>75</v>
      </c>
      <c r="F1523">
        <v>0.19093516863656501</v>
      </c>
      <c r="G1523">
        <v>195</v>
      </c>
      <c r="H1523">
        <v>0.261889001815718</v>
      </c>
      <c r="I1523">
        <v>104</v>
      </c>
      <c r="L1523">
        <v>3.3906141184676601E-2</v>
      </c>
      <c r="M1523">
        <v>3.1521744540049398E-2</v>
      </c>
      <c r="N1523">
        <v>2017</v>
      </c>
      <c r="O1523" t="s">
        <v>13</v>
      </c>
      <c r="P1523" t="s">
        <v>320</v>
      </c>
      <c r="Q1523" t="s">
        <v>19</v>
      </c>
      <c r="R1523" t="s">
        <v>20</v>
      </c>
    </row>
    <row r="1524" spans="1:18" x14ac:dyDescent="0.25">
      <c r="A1524" t="s">
        <v>318</v>
      </c>
      <c r="B1524" t="s">
        <v>319</v>
      </c>
      <c r="C1524" t="s">
        <v>12</v>
      </c>
      <c r="D1524">
        <v>1</v>
      </c>
      <c r="E1524">
        <v>84.91</v>
      </c>
      <c r="F1524">
        <v>0.19856844274207699</v>
      </c>
      <c r="G1524">
        <v>81</v>
      </c>
      <c r="H1524">
        <v>0.365846142125972</v>
      </c>
      <c r="I1524">
        <v>38</v>
      </c>
      <c r="L1524">
        <v>3.00551709731307E-2</v>
      </c>
      <c r="M1524">
        <v>1.53253427832802E-2</v>
      </c>
      <c r="N1524">
        <v>2017</v>
      </c>
      <c r="O1524" t="s">
        <v>13</v>
      </c>
      <c r="P1524" t="s">
        <v>320</v>
      </c>
      <c r="Q1524" t="s">
        <v>19</v>
      </c>
      <c r="R1524" t="s">
        <v>20</v>
      </c>
    </row>
    <row r="1525" spans="1:18" x14ac:dyDescent="0.25">
      <c r="A1525" t="s">
        <v>321</v>
      </c>
      <c r="B1525" t="s">
        <v>322</v>
      </c>
      <c r="C1525" t="s">
        <v>12</v>
      </c>
      <c r="D1525">
        <v>2</v>
      </c>
      <c r="E1525">
        <v>19</v>
      </c>
      <c r="F1525">
        <v>0</v>
      </c>
      <c r="G1525">
        <v>19</v>
      </c>
      <c r="H1525">
        <v>8.2555839553829602E-4</v>
      </c>
      <c r="I1525">
        <v>15</v>
      </c>
      <c r="L1525">
        <v>8.2557198445736807E-2</v>
      </c>
      <c r="M1525">
        <v>0</v>
      </c>
      <c r="N1525">
        <v>2015</v>
      </c>
      <c r="O1525" t="s">
        <v>13</v>
      </c>
      <c r="P1525" t="s">
        <v>323</v>
      </c>
      <c r="Q1525" t="s">
        <v>33</v>
      </c>
      <c r="R1525" t="s">
        <v>34</v>
      </c>
    </row>
    <row r="1526" spans="1:18" x14ac:dyDescent="0.25">
      <c r="A1526" t="s">
        <v>321</v>
      </c>
      <c r="B1526" t="s">
        <v>322</v>
      </c>
      <c r="C1526" t="s">
        <v>12</v>
      </c>
      <c r="D1526">
        <v>2</v>
      </c>
      <c r="E1526">
        <v>25</v>
      </c>
      <c r="F1526">
        <v>0</v>
      </c>
      <c r="G1526">
        <v>129</v>
      </c>
      <c r="H1526">
        <v>1.06762769013441E-2</v>
      </c>
      <c r="I1526">
        <v>113</v>
      </c>
      <c r="L1526">
        <v>3.66578814461751E-2</v>
      </c>
      <c r="M1526">
        <v>0</v>
      </c>
      <c r="N1526">
        <v>2015</v>
      </c>
      <c r="O1526" t="s">
        <v>13</v>
      </c>
      <c r="P1526" t="s">
        <v>323</v>
      </c>
      <c r="Q1526" t="s">
        <v>33</v>
      </c>
      <c r="R1526" t="s">
        <v>34</v>
      </c>
    </row>
    <row r="1527" spans="1:18" x14ac:dyDescent="0.25">
      <c r="A1527" t="s">
        <v>321</v>
      </c>
      <c r="B1527" t="s">
        <v>322</v>
      </c>
      <c r="C1527" t="s">
        <v>12</v>
      </c>
      <c r="D1527">
        <v>2</v>
      </c>
      <c r="E1527">
        <v>35</v>
      </c>
      <c r="F1527">
        <v>4.3360433227923503E-2</v>
      </c>
      <c r="G1527">
        <v>127</v>
      </c>
      <c r="H1527">
        <v>5.4345997741867401E-2</v>
      </c>
      <c r="I1527">
        <v>106</v>
      </c>
      <c r="L1527">
        <v>1.44067267881539E-2</v>
      </c>
      <c r="M1527">
        <v>4.2241654449143198E-2</v>
      </c>
      <c r="N1527">
        <v>2015</v>
      </c>
      <c r="O1527" t="s">
        <v>13</v>
      </c>
      <c r="P1527" t="s">
        <v>323</v>
      </c>
      <c r="Q1527" t="s">
        <v>33</v>
      </c>
      <c r="R1527" t="s">
        <v>34</v>
      </c>
    </row>
    <row r="1528" spans="1:18" x14ac:dyDescent="0.25">
      <c r="A1528" t="s">
        <v>321</v>
      </c>
      <c r="B1528" t="s">
        <v>322</v>
      </c>
      <c r="C1528" t="s">
        <v>12</v>
      </c>
      <c r="D1528">
        <v>2</v>
      </c>
      <c r="E1528">
        <v>45</v>
      </c>
      <c r="F1528">
        <v>7.6252906426515998E-2</v>
      </c>
      <c r="G1528">
        <v>107</v>
      </c>
      <c r="H1528">
        <v>0.14185568379687499</v>
      </c>
      <c r="I1528">
        <v>90</v>
      </c>
      <c r="L1528">
        <v>3.42609414049276E-3</v>
      </c>
      <c r="M1528">
        <v>4.9931445188087604E-3</v>
      </c>
      <c r="N1528">
        <v>2015</v>
      </c>
      <c r="O1528" t="s">
        <v>13</v>
      </c>
      <c r="P1528" t="s">
        <v>323</v>
      </c>
      <c r="Q1528" t="s">
        <v>33</v>
      </c>
      <c r="R1528" t="s">
        <v>34</v>
      </c>
    </row>
    <row r="1529" spans="1:18" x14ac:dyDescent="0.25">
      <c r="A1529" t="s">
        <v>321</v>
      </c>
      <c r="B1529" t="s">
        <v>322</v>
      </c>
      <c r="C1529" t="s">
        <v>12</v>
      </c>
      <c r="D1529">
        <v>2</v>
      </c>
      <c r="E1529">
        <v>55</v>
      </c>
      <c r="F1529">
        <v>8.5317461051908197E-2</v>
      </c>
      <c r="G1529">
        <v>150</v>
      </c>
      <c r="H1529">
        <v>0.229174877505918</v>
      </c>
      <c r="I1529">
        <v>117</v>
      </c>
      <c r="L1529">
        <v>9.4294801539137E-3</v>
      </c>
      <c r="M1529">
        <v>7.5588115024562896E-3</v>
      </c>
      <c r="N1529">
        <v>2015</v>
      </c>
      <c r="O1529" t="s">
        <v>13</v>
      </c>
      <c r="P1529" t="s">
        <v>323</v>
      </c>
      <c r="Q1529" t="s">
        <v>33</v>
      </c>
      <c r="R1529" t="s">
        <v>34</v>
      </c>
    </row>
    <row r="1530" spans="1:18" x14ac:dyDescent="0.25">
      <c r="A1530" t="s">
        <v>321</v>
      </c>
      <c r="B1530" t="s">
        <v>322</v>
      </c>
      <c r="C1530" t="s">
        <v>12</v>
      </c>
      <c r="D1530">
        <v>2</v>
      </c>
      <c r="E1530">
        <v>65</v>
      </c>
      <c r="F1530">
        <v>0.120967741935484</v>
      </c>
      <c r="G1530">
        <v>84</v>
      </c>
      <c r="H1530">
        <v>0.145191428245003</v>
      </c>
      <c r="I1530">
        <v>72</v>
      </c>
      <c r="L1530">
        <v>9.3993831668988202E-3</v>
      </c>
      <c r="M1530">
        <v>1.6647550953149699E-2</v>
      </c>
      <c r="N1530">
        <v>2015</v>
      </c>
      <c r="O1530" t="s">
        <v>13</v>
      </c>
      <c r="P1530" t="s">
        <v>323</v>
      </c>
      <c r="Q1530" t="s">
        <v>33</v>
      </c>
      <c r="R1530" t="s">
        <v>34</v>
      </c>
    </row>
    <row r="1531" spans="1:18" x14ac:dyDescent="0.25">
      <c r="A1531" t="s">
        <v>321</v>
      </c>
      <c r="B1531" t="s">
        <v>322</v>
      </c>
      <c r="C1531" t="s">
        <v>12</v>
      </c>
      <c r="D1531">
        <v>1</v>
      </c>
      <c r="E1531">
        <v>19</v>
      </c>
      <c r="F1531">
        <v>0</v>
      </c>
      <c r="G1531">
        <v>24</v>
      </c>
      <c r="H1531">
        <v>5.6657278337209599E-2</v>
      </c>
      <c r="I1531">
        <v>22</v>
      </c>
      <c r="L1531">
        <v>2.63862139545013E-3</v>
      </c>
      <c r="M1531">
        <v>0</v>
      </c>
      <c r="N1531">
        <v>2015</v>
      </c>
      <c r="O1531" t="s">
        <v>13</v>
      </c>
      <c r="P1531" t="s">
        <v>323</v>
      </c>
      <c r="Q1531" t="s">
        <v>33</v>
      </c>
      <c r="R1531" t="s">
        <v>34</v>
      </c>
    </row>
    <row r="1532" spans="1:18" x14ac:dyDescent="0.25">
      <c r="A1532" t="s">
        <v>321</v>
      </c>
      <c r="B1532" t="s">
        <v>322</v>
      </c>
      <c r="C1532" t="s">
        <v>12</v>
      </c>
      <c r="D1532">
        <v>1</v>
      </c>
      <c r="E1532">
        <v>25</v>
      </c>
      <c r="F1532">
        <v>0</v>
      </c>
      <c r="G1532">
        <v>127</v>
      </c>
      <c r="H1532">
        <v>3.9638227719361501E-3</v>
      </c>
      <c r="I1532">
        <v>107</v>
      </c>
      <c r="L1532">
        <v>0.10203997533200899</v>
      </c>
      <c r="M1532">
        <v>0</v>
      </c>
      <c r="N1532">
        <v>2015</v>
      </c>
      <c r="O1532" t="s">
        <v>13</v>
      </c>
      <c r="P1532" t="s">
        <v>323</v>
      </c>
      <c r="Q1532" t="s">
        <v>33</v>
      </c>
      <c r="R1532" t="s">
        <v>34</v>
      </c>
    </row>
    <row r="1533" spans="1:18" x14ac:dyDescent="0.25">
      <c r="A1533" t="s">
        <v>321</v>
      </c>
      <c r="B1533" t="s">
        <v>322</v>
      </c>
      <c r="C1533" t="s">
        <v>12</v>
      </c>
      <c r="D1533">
        <v>1</v>
      </c>
      <c r="E1533">
        <v>35</v>
      </c>
      <c r="F1533">
        <v>0</v>
      </c>
      <c r="G1533">
        <v>101</v>
      </c>
      <c r="H1533">
        <v>6.2482816496195699E-2</v>
      </c>
      <c r="I1533">
        <v>90</v>
      </c>
      <c r="L1533">
        <v>5.4383392352733003E-3</v>
      </c>
      <c r="M1533">
        <v>0</v>
      </c>
      <c r="N1533">
        <v>2015</v>
      </c>
      <c r="O1533" t="s">
        <v>13</v>
      </c>
      <c r="P1533" t="s">
        <v>323</v>
      </c>
      <c r="Q1533" t="s">
        <v>33</v>
      </c>
      <c r="R1533" t="s">
        <v>34</v>
      </c>
    </row>
    <row r="1534" spans="1:18" x14ac:dyDescent="0.25">
      <c r="A1534" t="s">
        <v>321</v>
      </c>
      <c r="B1534" t="s">
        <v>322</v>
      </c>
      <c r="C1534" t="s">
        <v>12</v>
      </c>
      <c r="D1534">
        <v>1</v>
      </c>
      <c r="E1534">
        <v>45</v>
      </c>
      <c r="F1534">
        <v>8.0838039587648403E-2</v>
      </c>
      <c r="G1534">
        <v>98</v>
      </c>
      <c r="H1534">
        <v>7.8620934636224798E-2</v>
      </c>
      <c r="I1534">
        <v>76</v>
      </c>
      <c r="L1534">
        <v>3.2381765197970099E-3</v>
      </c>
      <c r="M1534">
        <v>1.02861268212676E-2</v>
      </c>
      <c r="N1534">
        <v>2015</v>
      </c>
      <c r="O1534" t="s">
        <v>13</v>
      </c>
      <c r="P1534" t="s">
        <v>323</v>
      </c>
      <c r="Q1534" t="s">
        <v>33</v>
      </c>
      <c r="R1534" t="s">
        <v>34</v>
      </c>
    </row>
    <row r="1535" spans="1:18" x14ac:dyDescent="0.25">
      <c r="A1535" t="s">
        <v>321</v>
      </c>
      <c r="B1535" t="s">
        <v>322</v>
      </c>
      <c r="C1535" t="s">
        <v>12</v>
      </c>
      <c r="D1535">
        <v>1</v>
      </c>
      <c r="E1535">
        <v>55</v>
      </c>
      <c r="F1535">
        <v>6.0109287247359297E-2</v>
      </c>
      <c r="G1535">
        <v>123</v>
      </c>
      <c r="H1535">
        <v>0.108715427456541</v>
      </c>
      <c r="I1535">
        <v>107</v>
      </c>
      <c r="L1535">
        <v>6.5556440525114199E-3</v>
      </c>
      <c r="M1535">
        <v>1.1163304112510901E-2</v>
      </c>
      <c r="N1535">
        <v>2015</v>
      </c>
      <c r="O1535" t="s">
        <v>13</v>
      </c>
      <c r="P1535" t="s">
        <v>323</v>
      </c>
      <c r="Q1535" t="s">
        <v>33</v>
      </c>
      <c r="R1535" t="s">
        <v>34</v>
      </c>
    </row>
    <row r="1536" spans="1:18" x14ac:dyDescent="0.25">
      <c r="A1536" t="s">
        <v>321</v>
      </c>
      <c r="B1536" t="s">
        <v>322</v>
      </c>
      <c r="C1536" t="s">
        <v>12</v>
      </c>
      <c r="D1536">
        <v>1</v>
      </c>
      <c r="E1536">
        <v>65</v>
      </c>
      <c r="F1536">
        <v>6.2068962398613398E-2</v>
      </c>
      <c r="G1536">
        <v>52</v>
      </c>
      <c r="H1536">
        <v>0.11874481997139</v>
      </c>
      <c r="I1536">
        <v>46</v>
      </c>
      <c r="L1536">
        <v>4.5019398920845503E-3</v>
      </c>
      <c r="M1536">
        <v>7.0208260555946903E-3</v>
      </c>
      <c r="N1536">
        <v>2015</v>
      </c>
      <c r="O1536" t="s">
        <v>13</v>
      </c>
      <c r="P1536" t="s">
        <v>323</v>
      </c>
      <c r="Q1536" t="s">
        <v>33</v>
      </c>
      <c r="R1536" t="s">
        <v>34</v>
      </c>
    </row>
    <row r="1537" spans="1:18" x14ac:dyDescent="0.25">
      <c r="A1537" t="s">
        <v>324</v>
      </c>
      <c r="B1537" t="s">
        <v>325</v>
      </c>
      <c r="C1537" t="s">
        <v>12</v>
      </c>
      <c r="D1537">
        <v>2</v>
      </c>
      <c r="E1537">
        <v>27.5</v>
      </c>
      <c r="F1537">
        <v>0</v>
      </c>
      <c r="G1537">
        <v>272</v>
      </c>
      <c r="H1537">
        <v>9.4918739848790096E-3</v>
      </c>
      <c r="I1537">
        <v>253</v>
      </c>
      <c r="L1537">
        <v>3.7421230890700902E-2</v>
      </c>
      <c r="M1537">
        <v>0</v>
      </c>
      <c r="N1537">
        <v>2011</v>
      </c>
      <c r="O1537" t="s">
        <v>53</v>
      </c>
      <c r="P1537" t="s">
        <v>326</v>
      </c>
      <c r="Q1537" t="s">
        <v>94</v>
      </c>
      <c r="R1537" t="s">
        <v>44</v>
      </c>
    </row>
    <row r="1538" spans="1:18" x14ac:dyDescent="0.25">
      <c r="A1538" t="s">
        <v>324</v>
      </c>
      <c r="B1538" t="s">
        <v>325</v>
      </c>
      <c r="C1538" t="s">
        <v>12</v>
      </c>
      <c r="D1538">
        <v>2</v>
      </c>
      <c r="E1538">
        <v>35</v>
      </c>
      <c r="F1538">
        <v>0</v>
      </c>
      <c r="G1538">
        <v>483</v>
      </c>
      <c r="H1538">
        <v>2.5848565261370599E-2</v>
      </c>
      <c r="I1538">
        <v>450</v>
      </c>
      <c r="L1538">
        <v>4.1570882313379E-2</v>
      </c>
      <c r="M1538">
        <v>0</v>
      </c>
      <c r="N1538">
        <v>2011</v>
      </c>
      <c r="O1538" t="s">
        <v>53</v>
      </c>
      <c r="P1538" t="s">
        <v>326</v>
      </c>
      <c r="Q1538" t="s">
        <v>94</v>
      </c>
      <c r="R1538" t="s">
        <v>44</v>
      </c>
    </row>
    <row r="1539" spans="1:18" x14ac:dyDescent="0.25">
      <c r="A1539" t="s">
        <v>324</v>
      </c>
      <c r="B1539" t="s">
        <v>325</v>
      </c>
      <c r="C1539" t="s">
        <v>12</v>
      </c>
      <c r="D1539">
        <v>2</v>
      </c>
      <c r="E1539">
        <v>45</v>
      </c>
      <c r="F1539">
        <v>5.7254750060960202E-3</v>
      </c>
      <c r="G1539">
        <v>412</v>
      </c>
      <c r="H1539">
        <v>4.8895287563432699E-2</v>
      </c>
      <c r="I1539">
        <v>388</v>
      </c>
      <c r="L1539">
        <v>3.2864934129131301E-2</v>
      </c>
      <c r="M1539">
        <v>3.4103856919445501E-2</v>
      </c>
      <c r="N1539">
        <v>2011</v>
      </c>
      <c r="O1539" t="s">
        <v>53</v>
      </c>
      <c r="P1539" t="s">
        <v>326</v>
      </c>
      <c r="Q1539" t="s">
        <v>94</v>
      </c>
      <c r="R1539" t="s">
        <v>44</v>
      </c>
    </row>
    <row r="1540" spans="1:18" x14ac:dyDescent="0.25">
      <c r="A1540" t="s">
        <v>324</v>
      </c>
      <c r="B1540" t="s">
        <v>325</v>
      </c>
      <c r="C1540" t="s">
        <v>12</v>
      </c>
      <c r="D1540">
        <v>2</v>
      </c>
      <c r="E1540">
        <v>55</v>
      </c>
      <c r="F1540">
        <v>2.3739192272939798E-2</v>
      </c>
      <c r="G1540">
        <v>256</v>
      </c>
      <c r="H1540">
        <v>8.6062196901276006E-2</v>
      </c>
      <c r="I1540">
        <v>235</v>
      </c>
      <c r="L1540">
        <v>3.8515517751422597E-2</v>
      </c>
      <c r="M1540">
        <v>4.8026403292560901E-2</v>
      </c>
      <c r="N1540">
        <v>2011</v>
      </c>
      <c r="O1540" t="s">
        <v>53</v>
      </c>
      <c r="P1540" t="s">
        <v>326</v>
      </c>
      <c r="Q1540" t="s">
        <v>94</v>
      </c>
      <c r="R1540" t="s">
        <v>44</v>
      </c>
    </row>
    <row r="1541" spans="1:18" x14ac:dyDescent="0.25">
      <c r="A1541" t="s">
        <v>324</v>
      </c>
      <c r="B1541" t="s">
        <v>325</v>
      </c>
      <c r="C1541" t="s">
        <v>12</v>
      </c>
      <c r="D1541">
        <v>2</v>
      </c>
      <c r="E1541">
        <v>62.5</v>
      </c>
      <c r="F1541">
        <v>1.0078211265934601E-2</v>
      </c>
      <c r="G1541">
        <v>101</v>
      </c>
      <c r="H1541">
        <v>9.7727269947338893E-2</v>
      </c>
      <c r="I1541">
        <v>88</v>
      </c>
      <c r="L1541">
        <v>3.4144431050718099E-2</v>
      </c>
      <c r="M1541">
        <v>2.4237178042843099E-2</v>
      </c>
      <c r="N1541">
        <v>2011</v>
      </c>
      <c r="O1541" t="s">
        <v>53</v>
      </c>
      <c r="P1541" t="s">
        <v>326</v>
      </c>
      <c r="Q1541" t="s">
        <v>94</v>
      </c>
      <c r="R1541" t="s">
        <v>44</v>
      </c>
    </row>
    <row r="1542" spans="1:18" x14ac:dyDescent="0.25">
      <c r="A1542" t="s">
        <v>324</v>
      </c>
      <c r="B1542" t="s">
        <v>325</v>
      </c>
      <c r="C1542" t="s">
        <v>12</v>
      </c>
      <c r="D1542">
        <v>1</v>
      </c>
      <c r="E1542">
        <v>27.5</v>
      </c>
      <c r="F1542">
        <v>0</v>
      </c>
      <c r="G1542">
        <v>194</v>
      </c>
      <c r="H1542">
        <v>9.8531071400671799E-3</v>
      </c>
      <c r="I1542">
        <v>171</v>
      </c>
      <c r="L1542">
        <v>6.1293132797689998E-2</v>
      </c>
      <c r="M1542">
        <v>0</v>
      </c>
      <c r="N1542">
        <v>2011</v>
      </c>
      <c r="O1542" t="s">
        <v>53</v>
      </c>
      <c r="P1542" t="s">
        <v>326</v>
      </c>
      <c r="Q1542" t="s">
        <v>94</v>
      </c>
      <c r="R1542" t="s">
        <v>44</v>
      </c>
    </row>
    <row r="1543" spans="1:18" x14ac:dyDescent="0.25">
      <c r="A1543" t="s">
        <v>324</v>
      </c>
      <c r="B1543" t="s">
        <v>325</v>
      </c>
      <c r="C1543" t="s">
        <v>12</v>
      </c>
      <c r="D1543">
        <v>1</v>
      </c>
      <c r="E1543">
        <v>35</v>
      </c>
      <c r="F1543">
        <v>0</v>
      </c>
      <c r="G1543">
        <v>256</v>
      </c>
      <c r="H1543">
        <v>9.7319311621225004E-3</v>
      </c>
      <c r="I1543">
        <v>230</v>
      </c>
      <c r="L1543">
        <v>0.14151758502269501</v>
      </c>
      <c r="M1543">
        <v>0</v>
      </c>
      <c r="N1543">
        <v>2011</v>
      </c>
      <c r="O1543" t="s">
        <v>53</v>
      </c>
      <c r="P1543" t="s">
        <v>326</v>
      </c>
      <c r="Q1543" t="s">
        <v>94</v>
      </c>
      <c r="R1543" t="s">
        <v>44</v>
      </c>
    </row>
    <row r="1544" spans="1:18" x14ac:dyDescent="0.25">
      <c r="A1544" t="s">
        <v>324</v>
      </c>
      <c r="B1544" t="s">
        <v>325</v>
      </c>
      <c r="C1544" t="s">
        <v>12</v>
      </c>
      <c r="D1544">
        <v>1</v>
      </c>
      <c r="E1544">
        <v>45</v>
      </c>
      <c r="F1544">
        <v>3.0803551536309499E-4</v>
      </c>
      <c r="G1544">
        <v>251</v>
      </c>
      <c r="H1544">
        <v>3.9680358875523597E-2</v>
      </c>
      <c r="I1544">
        <v>228</v>
      </c>
      <c r="L1544">
        <v>4.6344538384871403E-2</v>
      </c>
      <c r="M1544">
        <v>2.29385289047923E-2</v>
      </c>
      <c r="N1544">
        <v>2011</v>
      </c>
      <c r="O1544" t="s">
        <v>53</v>
      </c>
      <c r="P1544" t="s">
        <v>326</v>
      </c>
      <c r="Q1544" t="s">
        <v>94</v>
      </c>
      <c r="R1544" t="s">
        <v>44</v>
      </c>
    </row>
    <row r="1545" spans="1:18" x14ac:dyDescent="0.25">
      <c r="A1545" t="s">
        <v>324</v>
      </c>
      <c r="B1545" t="s">
        <v>325</v>
      </c>
      <c r="C1545" t="s">
        <v>12</v>
      </c>
      <c r="D1545">
        <v>1</v>
      </c>
      <c r="E1545">
        <v>55</v>
      </c>
      <c r="F1545">
        <v>4.3894183051007202E-2</v>
      </c>
      <c r="G1545">
        <v>214</v>
      </c>
      <c r="H1545">
        <v>5.2822419565613503E-2</v>
      </c>
      <c r="I1545">
        <v>193</v>
      </c>
      <c r="L1545">
        <v>2.3891297051384E-2</v>
      </c>
      <c r="M1545">
        <v>6.5154914284199505E-2</v>
      </c>
      <c r="N1545">
        <v>2011</v>
      </c>
      <c r="O1545" t="s">
        <v>53</v>
      </c>
      <c r="P1545" t="s">
        <v>326</v>
      </c>
      <c r="Q1545" t="s">
        <v>94</v>
      </c>
      <c r="R1545" t="s">
        <v>44</v>
      </c>
    </row>
    <row r="1546" spans="1:18" x14ac:dyDescent="0.25">
      <c r="A1546" t="s">
        <v>324</v>
      </c>
      <c r="B1546" t="s">
        <v>325</v>
      </c>
      <c r="C1546" t="s">
        <v>12</v>
      </c>
      <c r="D1546">
        <v>1</v>
      </c>
      <c r="E1546">
        <v>62.5</v>
      </c>
      <c r="F1546">
        <v>2.4899820466951501E-2</v>
      </c>
      <c r="G1546">
        <v>96</v>
      </c>
      <c r="H1546">
        <v>3.8874940127916702E-2</v>
      </c>
      <c r="I1546">
        <v>77</v>
      </c>
      <c r="L1546">
        <v>4.5392149862420302E-2</v>
      </c>
      <c r="M1546">
        <v>0.121903537985889</v>
      </c>
      <c r="N1546">
        <v>2011</v>
      </c>
      <c r="O1546" t="s">
        <v>53</v>
      </c>
      <c r="P1546" t="s">
        <v>326</v>
      </c>
      <c r="Q1546" t="s">
        <v>94</v>
      </c>
      <c r="R1546" t="s">
        <v>44</v>
      </c>
    </row>
    <row r="1547" spans="1:18" x14ac:dyDescent="0.25">
      <c r="A1547" t="s">
        <v>324</v>
      </c>
      <c r="B1547" t="s">
        <v>327</v>
      </c>
      <c r="C1547" t="s">
        <v>12</v>
      </c>
      <c r="D1547">
        <v>2</v>
      </c>
      <c r="E1547">
        <v>27.5</v>
      </c>
      <c r="F1547">
        <v>5.4167857735938E-4</v>
      </c>
      <c r="G1547">
        <v>487</v>
      </c>
      <c r="H1547">
        <v>3.88427455173639E-2</v>
      </c>
      <c r="I1547">
        <v>390</v>
      </c>
      <c r="L1547">
        <v>8.1336820662377393E-2</v>
      </c>
      <c r="M1547">
        <v>4.7784791176877499E-2</v>
      </c>
      <c r="N1547">
        <v>2012</v>
      </c>
      <c r="O1547" t="s">
        <v>13</v>
      </c>
      <c r="P1547" t="s">
        <v>326</v>
      </c>
      <c r="Q1547" t="s">
        <v>94</v>
      </c>
      <c r="R1547" t="s">
        <v>44</v>
      </c>
    </row>
    <row r="1548" spans="1:18" x14ac:dyDescent="0.25">
      <c r="A1548" t="s">
        <v>324</v>
      </c>
      <c r="B1548" t="s">
        <v>327</v>
      </c>
      <c r="C1548" t="s">
        <v>12</v>
      </c>
      <c r="D1548">
        <v>2</v>
      </c>
      <c r="E1548">
        <v>35</v>
      </c>
      <c r="F1548">
        <v>1.8024561575511501E-2</v>
      </c>
      <c r="G1548">
        <v>907</v>
      </c>
      <c r="H1548">
        <v>6.4493725193644699E-2</v>
      </c>
      <c r="I1548">
        <v>761</v>
      </c>
      <c r="L1548">
        <v>4.9743640131225501E-2</v>
      </c>
      <c r="M1548">
        <v>6.6939634157403699E-2</v>
      </c>
      <c r="N1548">
        <v>2012</v>
      </c>
      <c r="O1548" t="s">
        <v>13</v>
      </c>
      <c r="P1548" t="s">
        <v>326</v>
      </c>
      <c r="Q1548" t="s">
        <v>94</v>
      </c>
      <c r="R1548" t="s">
        <v>44</v>
      </c>
    </row>
    <row r="1549" spans="1:18" x14ac:dyDescent="0.25">
      <c r="A1549" t="s">
        <v>324</v>
      </c>
      <c r="B1549" t="s">
        <v>327</v>
      </c>
      <c r="C1549" t="s">
        <v>12</v>
      </c>
      <c r="D1549">
        <v>2</v>
      </c>
      <c r="E1549">
        <v>45</v>
      </c>
      <c r="F1549">
        <v>1.6398056460810599E-2</v>
      </c>
      <c r="G1549">
        <v>767</v>
      </c>
      <c r="H1549">
        <v>0.107810886240109</v>
      </c>
      <c r="I1549">
        <v>648</v>
      </c>
      <c r="L1549">
        <v>5.18858729373518E-2</v>
      </c>
      <c r="M1549">
        <v>4.0949182537525698E-2</v>
      </c>
      <c r="N1549">
        <v>2012</v>
      </c>
      <c r="O1549" t="s">
        <v>13</v>
      </c>
      <c r="P1549" t="s">
        <v>326</v>
      </c>
      <c r="Q1549" t="s">
        <v>94</v>
      </c>
      <c r="R1549" t="s">
        <v>44</v>
      </c>
    </row>
    <row r="1550" spans="1:18" x14ac:dyDescent="0.25">
      <c r="A1550" t="s">
        <v>324</v>
      </c>
      <c r="B1550" t="s">
        <v>327</v>
      </c>
      <c r="C1550" t="s">
        <v>12</v>
      </c>
      <c r="D1550">
        <v>2</v>
      </c>
      <c r="E1550">
        <v>55</v>
      </c>
      <c r="F1550">
        <v>1.3251762487509901E-2</v>
      </c>
      <c r="G1550">
        <v>451</v>
      </c>
      <c r="H1550">
        <v>0.145689219148432</v>
      </c>
      <c r="I1550">
        <v>395</v>
      </c>
      <c r="L1550">
        <v>5.3308093075252999E-2</v>
      </c>
      <c r="M1550">
        <v>2.8796484096137501E-2</v>
      </c>
      <c r="N1550">
        <v>2012</v>
      </c>
      <c r="O1550" t="s">
        <v>13</v>
      </c>
      <c r="P1550" t="s">
        <v>326</v>
      </c>
      <c r="Q1550" t="s">
        <v>94</v>
      </c>
      <c r="R1550" t="s">
        <v>44</v>
      </c>
    </row>
    <row r="1551" spans="1:18" x14ac:dyDescent="0.25">
      <c r="A1551" t="s">
        <v>324</v>
      </c>
      <c r="B1551" t="s">
        <v>327</v>
      </c>
      <c r="C1551" t="s">
        <v>12</v>
      </c>
      <c r="D1551">
        <v>2</v>
      </c>
      <c r="E1551">
        <v>62.5</v>
      </c>
      <c r="F1551">
        <v>8.73442907110108E-3</v>
      </c>
      <c r="G1551">
        <v>237</v>
      </c>
      <c r="H1551">
        <v>0.142763350432243</v>
      </c>
      <c r="I1551">
        <v>213</v>
      </c>
      <c r="L1551">
        <v>7.1235504168293398E-2</v>
      </c>
      <c r="M1551">
        <v>3.3664875165507598E-2</v>
      </c>
      <c r="N1551">
        <v>2012</v>
      </c>
      <c r="O1551" t="s">
        <v>13</v>
      </c>
      <c r="P1551" t="s">
        <v>326</v>
      </c>
      <c r="Q1551" t="s">
        <v>94</v>
      </c>
      <c r="R1551" t="s">
        <v>44</v>
      </c>
    </row>
    <row r="1552" spans="1:18" x14ac:dyDescent="0.25">
      <c r="A1552" t="s">
        <v>324</v>
      </c>
      <c r="B1552" t="s">
        <v>327</v>
      </c>
      <c r="C1552" t="s">
        <v>12</v>
      </c>
      <c r="D1552">
        <v>1</v>
      </c>
      <c r="E1552">
        <v>27.5</v>
      </c>
      <c r="F1552">
        <v>0</v>
      </c>
      <c r="G1552">
        <v>417</v>
      </c>
      <c r="H1552">
        <v>6.3264950421232105E-2</v>
      </c>
      <c r="I1552">
        <v>343</v>
      </c>
      <c r="L1552">
        <v>3.1962690531185799E-2</v>
      </c>
      <c r="M1552">
        <v>0</v>
      </c>
      <c r="N1552">
        <v>2012</v>
      </c>
      <c r="O1552" t="s">
        <v>13</v>
      </c>
      <c r="P1552" t="s">
        <v>326</v>
      </c>
      <c r="Q1552" t="s">
        <v>94</v>
      </c>
      <c r="R1552" t="s">
        <v>44</v>
      </c>
    </row>
    <row r="1553" spans="1:18" x14ac:dyDescent="0.25">
      <c r="A1553" t="s">
        <v>324</v>
      </c>
      <c r="B1553" t="s">
        <v>327</v>
      </c>
      <c r="C1553" t="s">
        <v>12</v>
      </c>
      <c r="D1553">
        <v>1</v>
      </c>
      <c r="E1553">
        <v>35</v>
      </c>
      <c r="F1553">
        <v>2.353762023203E-3</v>
      </c>
      <c r="G1553">
        <v>743</v>
      </c>
      <c r="H1553">
        <v>5.0715381252408098E-2</v>
      </c>
      <c r="I1553">
        <v>637</v>
      </c>
      <c r="L1553">
        <v>5.8343185053862198E-2</v>
      </c>
      <c r="M1553">
        <v>4.17112338867646E-2</v>
      </c>
      <c r="N1553">
        <v>2012</v>
      </c>
      <c r="O1553" t="s">
        <v>13</v>
      </c>
      <c r="P1553" t="s">
        <v>326</v>
      </c>
      <c r="Q1553" t="s">
        <v>94</v>
      </c>
      <c r="R1553" t="s">
        <v>44</v>
      </c>
    </row>
    <row r="1554" spans="1:18" x14ac:dyDescent="0.25">
      <c r="A1554" t="s">
        <v>324</v>
      </c>
      <c r="B1554" t="s">
        <v>327</v>
      </c>
      <c r="C1554" t="s">
        <v>12</v>
      </c>
      <c r="D1554">
        <v>1</v>
      </c>
      <c r="E1554">
        <v>45</v>
      </c>
      <c r="F1554">
        <v>1.42580098451513E-2</v>
      </c>
      <c r="G1554">
        <v>705</v>
      </c>
      <c r="H1554">
        <v>6.9224489083610896E-2</v>
      </c>
      <c r="I1554">
        <v>597</v>
      </c>
      <c r="L1554">
        <v>4.0253056846254E-2</v>
      </c>
      <c r="M1554">
        <v>4.5459749561610502E-2</v>
      </c>
      <c r="N1554">
        <v>2012</v>
      </c>
      <c r="O1554" t="s">
        <v>13</v>
      </c>
      <c r="P1554" t="s">
        <v>326</v>
      </c>
      <c r="Q1554" t="s">
        <v>94</v>
      </c>
      <c r="R1554" t="s">
        <v>44</v>
      </c>
    </row>
    <row r="1555" spans="1:18" x14ac:dyDescent="0.25">
      <c r="A1555" t="s">
        <v>324</v>
      </c>
      <c r="B1555" t="s">
        <v>327</v>
      </c>
      <c r="C1555" t="s">
        <v>12</v>
      </c>
      <c r="D1555">
        <v>1</v>
      </c>
      <c r="E1555">
        <v>55</v>
      </c>
      <c r="F1555">
        <v>1.13266736244145E-2</v>
      </c>
      <c r="G1555">
        <v>464</v>
      </c>
      <c r="H1555">
        <v>0.11463367949861</v>
      </c>
      <c r="I1555">
        <v>402</v>
      </c>
      <c r="L1555">
        <v>5.0928413977557097E-2</v>
      </c>
      <c r="M1555">
        <v>3.3062351896729701E-2</v>
      </c>
      <c r="N1555">
        <v>2012</v>
      </c>
      <c r="O1555" t="s">
        <v>13</v>
      </c>
      <c r="P1555" t="s">
        <v>326</v>
      </c>
      <c r="Q1555" t="s">
        <v>94</v>
      </c>
      <c r="R1555" t="s">
        <v>44</v>
      </c>
    </row>
    <row r="1556" spans="1:18" x14ac:dyDescent="0.25">
      <c r="A1556" t="s">
        <v>324</v>
      </c>
      <c r="B1556" t="s">
        <v>327</v>
      </c>
      <c r="C1556" t="s">
        <v>12</v>
      </c>
      <c r="D1556">
        <v>1</v>
      </c>
      <c r="E1556">
        <v>62.5</v>
      </c>
      <c r="F1556">
        <v>4.4265232592911999E-2</v>
      </c>
      <c r="G1556">
        <v>272</v>
      </c>
      <c r="H1556">
        <v>9.0794763593018801E-2</v>
      </c>
      <c r="I1556">
        <v>228</v>
      </c>
      <c r="L1556">
        <v>4.0587783905253798E-2</v>
      </c>
      <c r="M1556">
        <v>6.3041149885187095E-2</v>
      </c>
      <c r="N1556">
        <v>2012</v>
      </c>
      <c r="O1556" t="s">
        <v>13</v>
      </c>
      <c r="P1556" t="s">
        <v>326</v>
      </c>
      <c r="Q1556" t="s">
        <v>94</v>
      </c>
      <c r="R1556" t="s">
        <v>44</v>
      </c>
    </row>
    <row r="1557" spans="1:18" x14ac:dyDescent="0.25">
      <c r="A1557" t="s">
        <v>324</v>
      </c>
      <c r="B1557" t="s">
        <v>2327</v>
      </c>
      <c r="C1557" t="s">
        <v>12</v>
      </c>
      <c r="D1557">
        <v>2</v>
      </c>
      <c r="E1557">
        <v>19</v>
      </c>
      <c r="F1557">
        <v>0</v>
      </c>
      <c r="G1557">
        <v>82</v>
      </c>
      <c r="H1557">
        <v>8.1757376438457395E-3</v>
      </c>
      <c r="I1557">
        <v>63</v>
      </c>
      <c r="L1557">
        <v>0.140563249870686</v>
      </c>
      <c r="M1557">
        <v>0</v>
      </c>
      <c r="N1557">
        <v>2023</v>
      </c>
      <c r="O1557" t="s">
        <v>13</v>
      </c>
      <c r="P1557" t="s">
        <v>326</v>
      </c>
      <c r="Q1557" t="s">
        <v>94</v>
      </c>
      <c r="R1557" t="s">
        <v>44</v>
      </c>
    </row>
    <row r="1558" spans="1:18" x14ac:dyDescent="0.25">
      <c r="A1558" t="s">
        <v>324</v>
      </c>
      <c r="B1558" t="s">
        <v>2327</v>
      </c>
      <c r="C1558" t="s">
        <v>12</v>
      </c>
      <c r="D1558">
        <v>2</v>
      </c>
      <c r="E1558">
        <v>25</v>
      </c>
      <c r="F1558">
        <v>0</v>
      </c>
      <c r="G1558">
        <v>496</v>
      </c>
      <c r="H1558">
        <v>2.3558073363358599E-2</v>
      </c>
      <c r="I1558">
        <v>412</v>
      </c>
      <c r="L1558">
        <v>6.2593593871194703E-2</v>
      </c>
      <c r="M1558">
        <v>0</v>
      </c>
      <c r="N1558">
        <v>2023</v>
      </c>
      <c r="O1558" t="s">
        <v>13</v>
      </c>
      <c r="P1558" t="s">
        <v>326</v>
      </c>
      <c r="Q1558" t="s">
        <v>94</v>
      </c>
      <c r="R1558" t="s">
        <v>44</v>
      </c>
    </row>
    <row r="1559" spans="1:18" x14ac:dyDescent="0.25">
      <c r="A1559" t="s">
        <v>324</v>
      </c>
      <c r="B1559" t="s">
        <v>2327</v>
      </c>
      <c r="C1559" t="s">
        <v>12</v>
      </c>
      <c r="D1559">
        <v>2</v>
      </c>
      <c r="E1559">
        <v>35</v>
      </c>
      <c r="F1559">
        <v>7.2634811749400299E-3</v>
      </c>
      <c r="G1559">
        <v>487</v>
      </c>
      <c r="H1559">
        <v>3.0281364345915999E-2</v>
      </c>
      <c r="I1559">
        <v>414</v>
      </c>
      <c r="L1559">
        <v>5.6830303915535001E-2</v>
      </c>
      <c r="M1559">
        <v>0.101415265622113</v>
      </c>
      <c r="N1559">
        <v>2023</v>
      </c>
      <c r="O1559" t="s">
        <v>13</v>
      </c>
      <c r="P1559" t="s">
        <v>326</v>
      </c>
      <c r="Q1559" t="s">
        <v>94</v>
      </c>
      <c r="R1559" t="s">
        <v>44</v>
      </c>
    </row>
    <row r="1560" spans="1:18" x14ac:dyDescent="0.25">
      <c r="A1560" t="s">
        <v>324</v>
      </c>
      <c r="B1560" t="s">
        <v>2327</v>
      </c>
      <c r="C1560" t="s">
        <v>12</v>
      </c>
      <c r="D1560">
        <v>2</v>
      </c>
      <c r="E1560">
        <v>45</v>
      </c>
      <c r="F1560">
        <v>2.3986134859322302E-3</v>
      </c>
      <c r="G1560">
        <v>406</v>
      </c>
      <c r="H1560">
        <v>5.9999872232627503E-2</v>
      </c>
      <c r="I1560">
        <v>353</v>
      </c>
      <c r="L1560">
        <v>6.0336890663460999E-2</v>
      </c>
      <c r="M1560">
        <v>3.8554338468229699E-2</v>
      </c>
      <c r="N1560">
        <v>2023</v>
      </c>
      <c r="O1560" t="s">
        <v>13</v>
      </c>
      <c r="P1560" t="s">
        <v>326</v>
      </c>
      <c r="Q1560" t="s">
        <v>94</v>
      </c>
      <c r="R1560" t="s">
        <v>44</v>
      </c>
    </row>
    <row r="1561" spans="1:18" x14ac:dyDescent="0.25">
      <c r="A1561" t="s">
        <v>324</v>
      </c>
      <c r="B1561" t="s">
        <v>2327</v>
      </c>
      <c r="C1561" t="s">
        <v>12</v>
      </c>
      <c r="D1561">
        <v>2</v>
      </c>
      <c r="E1561">
        <v>55</v>
      </c>
      <c r="F1561">
        <v>1.34111093577473E-2</v>
      </c>
      <c r="G1561">
        <v>257</v>
      </c>
      <c r="H1561">
        <v>7.5408774549477503E-2</v>
      </c>
      <c r="I1561">
        <v>218</v>
      </c>
      <c r="L1561">
        <v>5.9781542222469598E-2</v>
      </c>
      <c r="M1561">
        <v>6.4807069872015302E-2</v>
      </c>
      <c r="N1561">
        <v>2023</v>
      </c>
      <c r="O1561" t="s">
        <v>13</v>
      </c>
      <c r="P1561" t="s">
        <v>326</v>
      </c>
      <c r="Q1561" t="s">
        <v>94</v>
      </c>
      <c r="R1561" t="s">
        <v>44</v>
      </c>
    </row>
    <row r="1562" spans="1:18" x14ac:dyDescent="0.25">
      <c r="A1562" t="s">
        <v>324</v>
      </c>
      <c r="B1562" t="s">
        <v>2327</v>
      </c>
      <c r="C1562" t="s">
        <v>12</v>
      </c>
      <c r="D1562">
        <v>2</v>
      </c>
      <c r="E1562">
        <v>65</v>
      </c>
      <c r="F1562">
        <v>2.1923591582417998E-2</v>
      </c>
      <c r="G1562">
        <v>217</v>
      </c>
      <c r="H1562">
        <v>0.161450383767925</v>
      </c>
      <c r="I1562">
        <v>191</v>
      </c>
      <c r="L1562">
        <v>4.8528780879929199E-2</v>
      </c>
      <c r="M1562">
        <v>2.9828533088092898E-2</v>
      </c>
      <c r="N1562">
        <v>2023</v>
      </c>
      <c r="O1562" t="s">
        <v>13</v>
      </c>
      <c r="P1562" t="s">
        <v>326</v>
      </c>
      <c r="Q1562" t="s">
        <v>94</v>
      </c>
      <c r="R1562" t="s">
        <v>44</v>
      </c>
    </row>
    <row r="1563" spans="1:18" x14ac:dyDescent="0.25">
      <c r="A1563" t="s">
        <v>324</v>
      </c>
      <c r="B1563" t="s">
        <v>2327</v>
      </c>
      <c r="C1563" t="s">
        <v>12</v>
      </c>
      <c r="D1563">
        <v>1</v>
      </c>
      <c r="E1563">
        <v>19</v>
      </c>
      <c r="F1563">
        <v>0</v>
      </c>
      <c r="G1563">
        <v>70</v>
      </c>
      <c r="H1563">
        <v>5.0237193918807503E-3</v>
      </c>
      <c r="I1563">
        <v>60</v>
      </c>
      <c r="L1563">
        <v>0.13107023243614399</v>
      </c>
      <c r="M1563">
        <v>0</v>
      </c>
      <c r="N1563">
        <v>2023</v>
      </c>
      <c r="O1563" t="s">
        <v>13</v>
      </c>
      <c r="P1563" t="s">
        <v>326</v>
      </c>
      <c r="Q1563" t="s">
        <v>94</v>
      </c>
      <c r="R1563" t="s">
        <v>44</v>
      </c>
    </row>
    <row r="1564" spans="1:18" x14ac:dyDescent="0.25">
      <c r="A1564" t="s">
        <v>324</v>
      </c>
      <c r="B1564" t="s">
        <v>2327</v>
      </c>
      <c r="C1564" t="s">
        <v>12</v>
      </c>
      <c r="D1564">
        <v>1</v>
      </c>
      <c r="E1564">
        <v>25</v>
      </c>
      <c r="F1564">
        <v>4.0742045409910502E-3</v>
      </c>
      <c r="G1564">
        <v>342</v>
      </c>
      <c r="H1564">
        <v>1.7048316555979801E-2</v>
      </c>
      <c r="I1564">
        <v>280</v>
      </c>
      <c r="L1564">
        <v>3.3209570805742598E-2</v>
      </c>
      <c r="M1564">
        <v>6.7110016925969407E-2</v>
      </c>
      <c r="N1564">
        <v>2023</v>
      </c>
      <c r="O1564" t="s">
        <v>13</v>
      </c>
      <c r="P1564" t="s">
        <v>326</v>
      </c>
      <c r="Q1564" t="s">
        <v>94</v>
      </c>
      <c r="R1564" t="s">
        <v>44</v>
      </c>
    </row>
    <row r="1565" spans="1:18" x14ac:dyDescent="0.25">
      <c r="A1565" t="s">
        <v>324</v>
      </c>
      <c r="B1565" t="s">
        <v>2327</v>
      </c>
      <c r="C1565" t="s">
        <v>12</v>
      </c>
      <c r="D1565">
        <v>1</v>
      </c>
      <c r="E1565">
        <v>35</v>
      </c>
      <c r="F1565">
        <v>0</v>
      </c>
      <c r="G1565">
        <v>367</v>
      </c>
      <c r="H1565">
        <v>4.0522826652895201E-2</v>
      </c>
      <c r="I1565">
        <v>306</v>
      </c>
      <c r="L1565">
        <v>4.7986563175412202E-2</v>
      </c>
      <c r="M1565">
        <v>0</v>
      </c>
      <c r="N1565">
        <v>2023</v>
      </c>
      <c r="O1565" t="s">
        <v>13</v>
      </c>
      <c r="P1565" t="s">
        <v>326</v>
      </c>
      <c r="Q1565" t="s">
        <v>94</v>
      </c>
      <c r="R1565" t="s">
        <v>44</v>
      </c>
    </row>
    <row r="1566" spans="1:18" x14ac:dyDescent="0.25">
      <c r="A1566" t="s">
        <v>324</v>
      </c>
      <c r="B1566" t="s">
        <v>2327</v>
      </c>
      <c r="C1566" t="s">
        <v>12</v>
      </c>
      <c r="D1566">
        <v>1</v>
      </c>
      <c r="E1566">
        <v>45</v>
      </c>
      <c r="F1566">
        <v>0</v>
      </c>
      <c r="G1566">
        <v>296</v>
      </c>
      <c r="H1566">
        <v>3.2309144515416E-2</v>
      </c>
      <c r="I1566">
        <v>262</v>
      </c>
      <c r="L1566">
        <v>4.5447457358566402E-2</v>
      </c>
      <c r="M1566">
        <v>0</v>
      </c>
      <c r="N1566">
        <v>2023</v>
      </c>
      <c r="O1566" t="s">
        <v>13</v>
      </c>
      <c r="P1566" t="s">
        <v>326</v>
      </c>
      <c r="Q1566" t="s">
        <v>94</v>
      </c>
      <c r="R1566" t="s">
        <v>44</v>
      </c>
    </row>
    <row r="1567" spans="1:18" x14ac:dyDescent="0.25">
      <c r="A1567" t="s">
        <v>324</v>
      </c>
      <c r="B1567" t="s">
        <v>2327</v>
      </c>
      <c r="C1567" t="s">
        <v>12</v>
      </c>
      <c r="D1567">
        <v>1</v>
      </c>
      <c r="E1567">
        <v>55</v>
      </c>
      <c r="F1567">
        <v>1.16575346500195E-3</v>
      </c>
      <c r="G1567">
        <v>228</v>
      </c>
      <c r="H1567">
        <v>0.102921861907368</v>
      </c>
      <c r="I1567">
        <v>198</v>
      </c>
      <c r="L1567">
        <v>3.3517915442490102E-2</v>
      </c>
      <c r="M1567">
        <v>1.16549849319659E-2</v>
      </c>
      <c r="N1567">
        <v>2023</v>
      </c>
      <c r="O1567" t="s">
        <v>13</v>
      </c>
      <c r="P1567" t="s">
        <v>326</v>
      </c>
      <c r="Q1567" t="s">
        <v>94</v>
      </c>
      <c r="R1567" t="s">
        <v>44</v>
      </c>
    </row>
    <row r="1568" spans="1:18" x14ac:dyDescent="0.25">
      <c r="A1568" t="s">
        <v>324</v>
      </c>
      <c r="B1568" t="s">
        <v>2327</v>
      </c>
      <c r="C1568" t="s">
        <v>12</v>
      </c>
      <c r="D1568">
        <v>1</v>
      </c>
      <c r="E1568">
        <v>65</v>
      </c>
      <c r="F1568">
        <v>5.4496104394638298E-2</v>
      </c>
      <c r="G1568">
        <v>156</v>
      </c>
      <c r="H1568">
        <v>6.4562830572861302E-2</v>
      </c>
      <c r="I1568">
        <v>132</v>
      </c>
      <c r="L1568">
        <v>2.39325121216598E-2</v>
      </c>
      <c r="M1568">
        <v>5.99534251188839E-2</v>
      </c>
      <c r="N1568">
        <v>2023</v>
      </c>
      <c r="O1568" t="s">
        <v>13</v>
      </c>
      <c r="P1568" t="s">
        <v>326</v>
      </c>
      <c r="Q1568" t="s">
        <v>94</v>
      </c>
      <c r="R1568" t="s">
        <v>44</v>
      </c>
    </row>
    <row r="1569" spans="1:18" x14ac:dyDescent="0.25">
      <c r="A1569" t="s">
        <v>328</v>
      </c>
      <c r="B1569" t="s">
        <v>329</v>
      </c>
      <c r="C1569" t="s">
        <v>12</v>
      </c>
      <c r="D1569">
        <v>2</v>
      </c>
      <c r="E1569">
        <v>19</v>
      </c>
      <c r="F1569">
        <v>0</v>
      </c>
      <c r="G1569">
        <v>161</v>
      </c>
      <c r="H1569">
        <v>2.9546114749603599E-3</v>
      </c>
      <c r="I1569">
        <v>151</v>
      </c>
      <c r="L1569">
        <v>0.11532191787238</v>
      </c>
      <c r="M1569">
        <v>0</v>
      </c>
      <c r="N1569">
        <v>2014</v>
      </c>
      <c r="O1569" t="s">
        <v>13</v>
      </c>
      <c r="P1569" t="s">
        <v>330</v>
      </c>
      <c r="Q1569" t="s">
        <v>94</v>
      </c>
      <c r="R1569" t="s">
        <v>44</v>
      </c>
    </row>
    <row r="1570" spans="1:18" x14ac:dyDescent="0.25">
      <c r="A1570" t="s">
        <v>328</v>
      </c>
      <c r="B1570" t="s">
        <v>329</v>
      </c>
      <c r="C1570" t="s">
        <v>12</v>
      </c>
      <c r="D1570">
        <v>2</v>
      </c>
      <c r="E1570">
        <v>25</v>
      </c>
      <c r="F1570">
        <v>0</v>
      </c>
      <c r="G1570">
        <v>636</v>
      </c>
      <c r="H1570">
        <v>1.1305517725309499E-2</v>
      </c>
      <c r="I1570">
        <v>586</v>
      </c>
      <c r="L1570">
        <v>4.6792886626854303E-2</v>
      </c>
      <c r="M1570">
        <v>0</v>
      </c>
      <c r="N1570">
        <v>2014</v>
      </c>
      <c r="O1570" t="s">
        <v>13</v>
      </c>
      <c r="P1570" t="s">
        <v>330</v>
      </c>
      <c r="Q1570" t="s">
        <v>94</v>
      </c>
      <c r="R1570" t="s">
        <v>44</v>
      </c>
    </row>
    <row r="1571" spans="1:18" x14ac:dyDescent="0.25">
      <c r="A1571" t="s">
        <v>328</v>
      </c>
      <c r="B1571" t="s">
        <v>329</v>
      </c>
      <c r="C1571" t="s">
        <v>12</v>
      </c>
      <c r="D1571">
        <v>2</v>
      </c>
      <c r="E1571">
        <v>35</v>
      </c>
      <c r="F1571">
        <v>0</v>
      </c>
      <c r="G1571">
        <v>551</v>
      </c>
      <c r="H1571">
        <v>2.4014188876930499E-2</v>
      </c>
      <c r="I1571">
        <v>503</v>
      </c>
      <c r="L1571">
        <v>2.5146674941305701E-2</v>
      </c>
      <c r="M1571">
        <v>0</v>
      </c>
      <c r="N1571">
        <v>2014</v>
      </c>
      <c r="O1571" t="s">
        <v>13</v>
      </c>
      <c r="P1571" t="s">
        <v>330</v>
      </c>
      <c r="Q1571" t="s">
        <v>94</v>
      </c>
      <c r="R1571" t="s">
        <v>44</v>
      </c>
    </row>
    <row r="1572" spans="1:18" x14ac:dyDescent="0.25">
      <c r="A1572" t="s">
        <v>328</v>
      </c>
      <c r="B1572" t="s">
        <v>329</v>
      </c>
      <c r="C1572" t="s">
        <v>12</v>
      </c>
      <c r="D1572">
        <v>2</v>
      </c>
      <c r="E1572">
        <v>45</v>
      </c>
      <c r="F1572">
        <v>6.3102731418590201E-3</v>
      </c>
      <c r="G1572">
        <v>367</v>
      </c>
      <c r="H1572">
        <v>2.3117281901247601E-2</v>
      </c>
      <c r="I1572">
        <v>337</v>
      </c>
      <c r="L1572">
        <v>3.2122246768723398E-2</v>
      </c>
      <c r="M1572">
        <v>6.5645830917504505E-2</v>
      </c>
      <c r="N1572">
        <v>2014</v>
      </c>
      <c r="O1572" t="s">
        <v>13</v>
      </c>
      <c r="P1572" t="s">
        <v>330</v>
      </c>
      <c r="Q1572" t="s">
        <v>94</v>
      </c>
      <c r="R1572" t="s">
        <v>44</v>
      </c>
    </row>
    <row r="1573" spans="1:18" x14ac:dyDescent="0.25">
      <c r="A1573" t="s">
        <v>328</v>
      </c>
      <c r="B1573" t="s">
        <v>329</v>
      </c>
      <c r="C1573" t="s">
        <v>12</v>
      </c>
      <c r="D1573">
        <v>2</v>
      </c>
      <c r="E1573">
        <v>55</v>
      </c>
      <c r="F1573">
        <v>1.9756443133235099E-2</v>
      </c>
      <c r="G1573">
        <v>236</v>
      </c>
      <c r="H1573">
        <v>1.6569721537129E-2</v>
      </c>
      <c r="I1573">
        <v>216</v>
      </c>
      <c r="L1573">
        <v>4.0017109833758002E-2</v>
      </c>
      <c r="M1573">
        <v>0.25306364149965799</v>
      </c>
      <c r="N1573">
        <v>2014</v>
      </c>
      <c r="O1573" t="s">
        <v>13</v>
      </c>
      <c r="P1573" t="s">
        <v>330</v>
      </c>
      <c r="Q1573" t="s">
        <v>94</v>
      </c>
      <c r="R1573" t="s">
        <v>44</v>
      </c>
    </row>
    <row r="1574" spans="1:18" x14ac:dyDescent="0.25">
      <c r="A1574" t="s">
        <v>328</v>
      </c>
      <c r="B1574" t="s">
        <v>329</v>
      </c>
      <c r="C1574" t="s">
        <v>12</v>
      </c>
      <c r="D1574">
        <v>2</v>
      </c>
      <c r="E1574">
        <v>65</v>
      </c>
      <c r="F1574">
        <v>1.44940875122691E-2</v>
      </c>
      <c r="G1574">
        <v>181</v>
      </c>
      <c r="H1574">
        <v>3.3930248013726502E-2</v>
      </c>
      <c r="I1574">
        <v>159</v>
      </c>
      <c r="L1574">
        <v>6.7382557104261304E-2</v>
      </c>
      <c r="M1574">
        <v>0.19169547960447</v>
      </c>
      <c r="N1574">
        <v>2014</v>
      </c>
      <c r="O1574" t="s">
        <v>13</v>
      </c>
      <c r="P1574" t="s">
        <v>330</v>
      </c>
      <c r="Q1574" t="s">
        <v>94</v>
      </c>
      <c r="R1574" t="s">
        <v>44</v>
      </c>
    </row>
    <row r="1575" spans="1:18" x14ac:dyDescent="0.25">
      <c r="A1575" t="s">
        <v>328</v>
      </c>
      <c r="B1575" t="s">
        <v>329</v>
      </c>
      <c r="C1575" t="s">
        <v>12</v>
      </c>
      <c r="D1575">
        <v>1</v>
      </c>
      <c r="E1575">
        <v>19</v>
      </c>
      <c r="F1575">
        <v>3.7361935775285801E-3</v>
      </c>
      <c r="G1575">
        <v>124</v>
      </c>
      <c r="H1575">
        <v>4.1511757567165098E-3</v>
      </c>
      <c r="I1575">
        <v>111</v>
      </c>
      <c r="L1575">
        <v>3.7828397422560098E-2</v>
      </c>
      <c r="M1575">
        <v>0.34701359493699702</v>
      </c>
      <c r="N1575">
        <v>2014</v>
      </c>
      <c r="O1575" t="s">
        <v>13</v>
      </c>
      <c r="P1575" t="s">
        <v>330</v>
      </c>
      <c r="Q1575" t="s">
        <v>94</v>
      </c>
      <c r="R1575" t="s">
        <v>44</v>
      </c>
    </row>
    <row r="1576" spans="1:18" x14ac:dyDescent="0.25">
      <c r="A1576" t="s">
        <v>328</v>
      </c>
      <c r="B1576" t="s">
        <v>329</v>
      </c>
      <c r="C1576" t="s">
        <v>12</v>
      </c>
      <c r="D1576">
        <v>1</v>
      </c>
      <c r="E1576">
        <v>25</v>
      </c>
      <c r="F1576">
        <v>0</v>
      </c>
      <c r="G1576">
        <v>519</v>
      </c>
      <c r="H1576">
        <v>5.5885695441138302E-3</v>
      </c>
      <c r="I1576">
        <v>463</v>
      </c>
      <c r="L1576">
        <v>5.8755818471912601E-2</v>
      </c>
      <c r="M1576">
        <v>0</v>
      </c>
      <c r="N1576">
        <v>2014</v>
      </c>
      <c r="O1576" t="s">
        <v>13</v>
      </c>
      <c r="P1576" t="s">
        <v>330</v>
      </c>
      <c r="Q1576" t="s">
        <v>94</v>
      </c>
      <c r="R1576" t="s">
        <v>44</v>
      </c>
    </row>
    <row r="1577" spans="1:18" x14ac:dyDescent="0.25">
      <c r="A1577" t="s">
        <v>328</v>
      </c>
      <c r="B1577" t="s">
        <v>329</v>
      </c>
      <c r="C1577" t="s">
        <v>12</v>
      </c>
      <c r="D1577">
        <v>1</v>
      </c>
      <c r="E1577">
        <v>35</v>
      </c>
      <c r="F1577">
        <v>1.46772113411436E-3</v>
      </c>
      <c r="G1577">
        <v>405</v>
      </c>
      <c r="H1577">
        <v>3.9569557667035099E-2</v>
      </c>
      <c r="I1577">
        <v>365</v>
      </c>
      <c r="L1577">
        <v>9.6575008356459494E-3</v>
      </c>
      <c r="M1577">
        <v>7.6917004303672697E-3</v>
      </c>
      <c r="N1577">
        <v>2014</v>
      </c>
      <c r="O1577" t="s">
        <v>13</v>
      </c>
      <c r="P1577" t="s">
        <v>330</v>
      </c>
      <c r="Q1577" t="s">
        <v>94</v>
      </c>
      <c r="R1577" t="s">
        <v>44</v>
      </c>
    </row>
    <row r="1578" spans="1:18" x14ac:dyDescent="0.25">
      <c r="A1578" t="s">
        <v>328</v>
      </c>
      <c r="B1578" t="s">
        <v>329</v>
      </c>
      <c r="C1578" t="s">
        <v>12</v>
      </c>
      <c r="D1578">
        <v>1</v>
      </c>
      <c r="E1578">
        <v>45</v>
      </c>
      <c r="F1578">
        <v>4.5651231494083103E-3</v>
      </c>
      <c r="G1578">
        <v>261</v>
      </c>
      <c r="H1578">
        <v>2.48351172411309E-2</v>
      </c>
      <c r="I1578">
        <v>239</v>
      </c>
      <c r="L1578">
        <v>2.0738913583371901E-2</v>
      </c>
      <c r="M1578">
        <v>3.5150137674928701E-2</v>
      </c>
      <c r="N1578">
        <v>2014</v>
      </c>
      <c r="O1578" t="s">
        <v>13</v>
      </c>
      <c r="P1578" t="s">
        <v>330</v>
      </c>
      <c r="Q1578" t="s">
        <v>94</v>
      </c>
      <c r="R1578" t="s">
        <v>44</v>
      </c>
    </row>
    <row r="1579" spans="1:18" x14ac:dyDescent="0.25">
      <c r="A1579" t="s">
        <v>328</v>
      </c>
      <c r="B1579" t="s">
        <v>329</v>
      </c>
      <c r="C1579" t="s">
        <v>12</v>
      </c>
      <c r="D1579">
        <v>1</v>
      </c>
      <c r="E1579">
        <v>55</v>
      </c>
      <c r="F1579">
        <v>5.4030293111154001E-3</v>
      </c>
      <c r="G1579">
        <v>174</v>
      </c>
      <c r="H1579">
        <v>3.8641232447298703E-2</v>
      </c>
      <c r="I1579">
        <v>157</v>
      </c>
      <c r="L1579">
        <v>2.18313024627423E-2</v>
      </c>
      <c r="M1579">
        <v>2.7201391481695401E-2</v>
      </c>
      <c r="N1579">
        <v>2014</v>
      </c>
      <c r="O1579" t="s">
        <v>13</v>
      </c>
      <c r="P1579" t="s">
        <v>330</v>
      </c>
      <c r="Q1579" t="s">
        <v>94</v>
      </c>
      <c r="R1579" t="s">
        <v>44</v>
      </c>
    </row>
    <row r="1580" spans="1:18" x14ac:dyDescent="0.25">
      <c r="A1580" t="s">
        <v>328</v>
      </c>
      <c r="B1580" t="s">
        <v>329</v>
      </c>
      <c r="C1580" t="s">
        <v>12</v>
      </c>
      <c r="D1580">
        <v>1</v>
      </c>
      <c r="E1580">
        <v>65</v>
      </c>
      <c r="F1580">
        <v>9.4157211672272808E-3</v>
      </c>
      <c r="G1580">
        <v>87</v>
      </c>
      <c r="H1580">
        <v>1.2422634113362399E-2</v>
      </c>
      <c r="I1580">
        <v>76</v>
      </c>
      <c r="L1580">
        <v>5.2775249027050698E-2</v>
      </c>
      <c r="M1580">
        <v>0.31298008013178202</v>
      </c>
      <c r="N1580">
        <v>2014</v>
      </c>
      <c r="O1580" t="s">
        <v>13</v>
      </c>
      <c r="P1580" t="s">
        <v>330</v>
      </c>
      <c r="Q1580" t="s">
        <v>94</v>
      </c>
      <c r="R1580" t="s">
        <v>44</v>
      </c>
    </row>
    <row r="1581" spans="1:18" x14ac:dyDescent="0.25">
      <c r="A1581" t="s">
        <v>328</v>
      </c>
      <c r="B1581" t="s">
        <v>331</v>
      </c>
      <c r="C1581" t="s">
        <v>12</v>
      </c>
      <c r="D1581">
        <v>2</v>
      </c>
      <c r="E1581">
        <v>19</v>
      </c>
      <c r="F1581">
        <v>0</v>
      </c>
      <c r="G1581">
        <v>86</v>
      </c>
      <c r="H1581">
        <v>4.6596741900304904E-3</v>
      </c>
      <c r="I1581">
        <v>81</v>
      </c>
      <c r="L1581">
        <v>0.126515398085493</v>
      </c>
      <c r="M1581">
        <v>0</v>
      </c>
      <c r="N1581">
        <v>2023</v>
      </c>
      <c r="O1581" t="s">
        <v>13</v>
      </c>
      <c r="P1581" t="s">
        <v>330</v>
      </c>
      <c r="Q1581" t="s">
        <v>94</v>
      </c>
      <c r="R1581" t="s">
        <v>44</v>
      </c>
    </row>
    <row r="1582" spans="1:18" x14ac:dyDescent="0.25">
      <c r="A1582" t="s">
        <v>328</v>
      </c>
      <c r="B1582" t="s">
        <v>331</v>
      </c>
      <c r="C1582" t="s">
        <v>12</v>
      </c>
      <c r="D1582">
        <v>2</v>
      </c>
      <c r="E1582">
        <v>25</v>
      </c>
      <c r="F1582">
        <v>7.6116822728741797E-3</v>
      </c>
      <c r="G1582">
        <v>539</v>
      </c>
      <c r="H1582">
        <v>1.8980477382219401E-2</v>
      </c>
      <c r="I1582">
        <v>513</v>
      </c>
      <c r="L1582">
        <v>2.6546857657296301E-2</v>
      </c>
      <c r="M1582">
        <v>6.9580115021453601E-2</v>
      </c>
      <c r="N1582">
        <v>2023</v>
      </c>
      <c r="O1582" t="s">
        <v>13</v>
      </c>
      <c r="P1582" t="s">
        <v>330</v>
      </c>
      <c r="Q1582" t="s">
        <v>94</v>
      </c>
      <c r="R1582" t="s">
        <v>44</v>
      </c>
    </row>
    <row r="1583" spans="1:18" x14ac:dyDescent="0.25">
      <c r="A1583" t="s">
        <v>328</v>
      </c>
      <c r="B1583" t="s">
        <v>331</v>
      </c>
      <c r="C1583" t="s">
        <v>12</v>
      </c>
      <c r="D1583">
        <v>2</v>
      </c>
      <c r="E1583">
        <v>35</v>
      </c>
      <c r="F1583">
        <v>4.9083477540791901E-3</v>
      </c>
      <c r="G1583">
        <v>528</v>
      </c>
      <c r="H1583">
        <v>3.3132020284592098E-2</v>
      </c>
      <c r="I1583">
        <v>508</v>
      </c>
      <c r="L1583">
        <v>4.2097245454424698E-2</v>
      </c>
      <c r="M1583">
        <v>5.7038782967883797E-2</v>
      </c>
      <c r="N1583">
        <v>2023</v>
      </c>
      <c r="O1583" t="s">
        <v>13</v>
      </c>
      <c r="P1583" t="s">
        <v>330</v>
      </c>
      <c r="Q1583" t="s">
        <v>94</v>
      </c>
      <c r="R1583" t="s">
        <v>44</v>
      </c>
    </row>
    <row r="1584" spans="1:18" x14ac:dyDescent="0.25">
      <c r="A1584" t="s">
        <v>328</v>
      </c>
      <c r="B1584" t="s">
        <v>331</v>
      </c>
      <c r="C1584" t="s">
        <v>12</v>
      </c>
      <c r="D1584">
        <v>2</v>
      </c>
      <c r="E1584">
        <v>45</v>
      </c>
      <c r="F1584">
        <v>1.6757158449077499E-2</v>
      </c>
      <c r="G1584">
        <v>414</v>
      </c>
      <c r="H1584">
        <v>9.0866417416143694E-2</v>
      </c>
      <c r="I1584">
        <v>391</v>
      </c>
      <c r="L1584">
        <v>2.5658457441637899E-2</v>
      </c>
      <c r="M1584">
        <v>2.39742827476589E-2</v>
      </c>
      <c r="N1584">
        <v>2023</v>
      </c>
      <c r="O1584" t="s">
        <v>13</v>
      </c>
      <c r="P1584" t="s">
        <v>330</v>
      </c>
      <c r="Q1584" t="s">
        <v>94</v>
      </c>
      <c r="R1584" t="s">
        <v>44</v>
      </c>
    </row>
    <row r="1585" spans="1:18" x14ac:dyDescent="0.25">
      <c r="A1585" t="s">
        <v>328</v>
      </c>
      <c r="B1585" t="s">
        <v>331</v>
      </c>
      <c r="C1585" t="s">
        <v>12</v>
      </c>
      <c r="D1585">
        <v>2</v>
      </c>
      <c r="E1585">
        <v>55</v>
      </c>
      <c r="F1585">
        <v>3.0105751524256701E-2</v>
      </c>
      <c r="G1585">
        <v>286</v>
      </c>
      <c r="H1585">
        <v>6.4124078961958E-2</v>
      </c>
      <c r="I1585">
        <v>273</v>
      </c>
      <c r="L1585">
        <v>4.4964193910376399E-2</v>
      </c>
      <c r="M1585">
        <v>8.3712806021183805E-2</v>
      </c>
      <c r="N1585">
        <v>2023</v>
      </c>
      <c r="O1585" t="s">
        <v>13</v>
      </c>
      <c r="P1585" t="s">
        <v>330</v>
      </c>
      <c r="Q1585" t="s">
        <v>94</v>
      </c>
      <c r="R1585" t="s">
        <v>44</v>
      </c>
    </row>
    <row r="1586" spans="1:18" x14ac:dyDescent="0.25">
      <c r="A1586" t="s">
        <v>328</v>
      </c>
      <c r="B1586" t="s">
        <v>331</v>
      </c>
      <c r="C1586" t="s">
        <v>12</v>
      </c>
      <c r="D1586">
        <v>2</v>
      </c>
      <c r="E1586">
        <v>65</v>
      </c>
      <c r="F1586">
        <v>1.58118886842014E-2</v>
      </c>
      <c r="G1586">
        <v>216</v>
      </c>
      <c r="H1586">
        <v>7.7709704581015296E-2</v>
      </c>
      <c r="I1586">
        <v>208</v>
      </c>
      <c r="L1586">
        <v>5.0082473800629503E-2</v>
      </c>
      <c r="M1586">
        <v>5.1759901838954202E-2</v>
      </c>
      <c r="N1586">
        <v>2023</v>
      </c>
      <c r="O1586" t="s">
        <v>13</v>
      </c>
      <c r="P1586" t="s">
        <v>330</v>
      </c>
      <c r="Q1586" t="s">
        <v>94</v>
      </c>
      <c r="R1586" t="s">
        <v>44</v>
      </c>
    </row>
    <row r="1587" spans="1:18" x14ac:dyDescent="0.25">
      <c r="A1587" t="s">
        <v>328</v>
      </c>
      <c r="B1587" t="s">
        <v>331</v>
      </c>
      <c r="C1587" t="s">
        <v>12</v>
      </c>
      <c r="D1587">
        <v>1</v>
      </c>
      <c r="E1587">
        <v>19</v>
      </c>
      <c r="F1587">
        <v>0</v>
      </c>
      <c r="G1587">
        <v>78</v>
      </c>
      <c r="H1587">
        <v>1.6859812228184699E-2</v>
      </c>
      <c r="I1587">
        <v>77</v>
      </c>
      <c r="L1587">
        <v>5.0771600952215501E-2</v>
      </c>
      <c r="M1587">
        <v>0</v>
      </c>
      <c r="N1587">
        <v>2023</v>
      </c>
      <c r="O1587" t="s">
        <v>13</v>
      </c>
      <c r="P1587" t="s">
        <v>330</v>
      </c>
      <c r="Q1587" t="s">
        <v>94</v>
      </c>
      <c r="R1587" t="s">
        <v>44</v>
      </c>
    </row>
    <row r="1588" spans="1:18" x14ac:dyDescent="0.25">
      <c r="A1588" t="s">
        <v>328</v>
      </c>
      <c r="B1588" t="s">
        <v>331</v>
      </c>
      <c r="C1588" t="s">
        <v>12</v>
      </c>
      <c r="D1588">
        <v>1</v>
      </c>
      <c r="E1588">
        <v>25</v>
      </c>
      <c r="F1588">
        <v>9.7437167679728697E-4</v>
      </c>
      <c r="G1588">
        <v>391</v>
      </c>
      <c r="H1588">
        <v>1.07643807247508E-2</v>
      </c>
      <c r="I1588">
        <v>368</v>
      </c>
      <c r="L1588">
        <v>3.4679652836004597E-2</v>
      </c>
      <c r="M1588">
        <v>5.2425952328383603E-2</v>
      </c>
      <c r="N1588">
        <v>2023</v>
      </c>
      <c r="O1588" t="s">
        <v>13</v>
      </c>
      <c r="P1588" t="s">
        <v>330</v>
      </c>
      <c r="Q1588" t="s">
        <v>94</v>
      </c>
      <c r="R1588" t="s">
        <v>44</v>
      </c>
    </row>
    <row r="1589" spans="1:18" x14ac:dyDescent="0.25">
      <c r="A1589" t="s">
        <v>328</v>
      </c>
      <c r="B1589" t="s">
        <v>331</v>
      </c>
      <c r="C1589" t="s">
        <v>12</v>
      </c>
      <c r="D1589">
        <v>1</v>
      </c>
      <c r="E1589">
        <v>35</v>
      </c>
      <c r="F1589">
        <v>6.0100128900707501E-3</v>
      </c>
      <c r="G1589">
        <v>325</v>
      </c>
      <c r="H1589">
        <v>1.3234029030735501E-2</v>
      </c>
      <c r="I1589">
        <v>311</v>
      </c>
      <c r="L1589">
        <v>4.4153390365450899E-2</v>
      </c>
      <c r="M1589">
        <v>0.14346708159678301</v>
      </c>
      <c r="N1589">
        <v>2023</v>
      </c>
      <c r="O1589" t="s">
        <v>13</v>
      </c>
      <c r="P1589" t="s">
        <v>330</v>
      </c>
      <c r="Q1589" t="s">
        <v>94</v>
      </c>
      <c r="R1589" t="s">
        <v>44</v>
      </c>
    </row>
    <row r="1590" spans="1:18" x14ac:dyDescent="0.25">
      <c r="A1590" t="s">
        <v>328</v>
      </c>
      <c r="B1590" t="s">
        <v>331</v>
      </c>
      <c r="C1590" t="s">
        <v>12</v>
      </c>
      <c r="D1590">
        <v>1</v>
      </c>
      <c r="E1590">
        <v>45</v>
      </c>
      <c r="F1590">
        <v>4.69361892512162E-3</v>
      </c>
      <c r="G1590">
        <v>264</v>
      </c>
      <c r="H1590">
        <v>2.46396302700971E-2</v>
      </c>
      <c r="I1590">
        <v>250</v>
      </c>
      <c r="L1590">
        <v>5.08326176495782E-2</v>
      </c>
      <c r="M1590">
        <v>8.3757920688421403E-2</v>
      </c>
      <c r="N1590">
        <v>2023</v>
      </c>
      <c r="O1590" t="s">
        <v>13</v>
      </c>
      <c r="P1590" t="s">
        <v>330</v>
      </c>
      <c r="Q1590" t="s">
        <v>94</v>
      </c>
      <c r="R1590" t="s">
        <v>44</v>
      </c>
    </row>
    <row r="1591" spans="1:18" x14ac:dyDescent="0.25">
      <c r="A1591" t="s">
        <v>328</v>
      </c>
      <c r="B1591" t="s">
        <v>331</v>
      </c>
      <c r="C1591" t="s">
        <v>12</v>
      </c>
      <c r="D1591">
        <v>1</v>
      </c>
      <c r="E1591">
        <v>55</v>
      </c>
      <c r="F1591">
        <v>4.1577156241692101E-2</v>
      </c>
      <c r="G1591">
        <v>222</v>
      </c>
      <c r="H1591">
        <v>5.4995264375775697E-2</v>
      </c>
      <c r="I1591">
        <v>206</v>
      </c>
      <c r="L1591">
        <v>1.76447047879447E-2</v>
      </c>
      <c r="M1591">
        <v>4.5013512558504901E-2</v>
      </c>
      <c r="N1591">
        <v>2023</v>
      </c>
      <c r="O1591" t="s">
        <v>13</v>
      </c>
      <c r="P1591" t="s">
        <v>330</v>
      </c>
      <c r="Q1591" t="s">
        <v>94</v>
      </c>
      <c r="R1591" t="s">
        <v>44</v>
      </c>
    </row>
    <row r="1592" spans="1:18" x14ac:dyDescent="0.25">
      <c r="A1592" t="s">
        <v>328</v>
      </c>
      <c r="B1592" t="s">
        <v>331</v>
      </c>
      <c r="C1592" t="s">
        <v>12</v>
      </c>
      <c r="D1592">
        <v>1</v>
      </c>
      <c r="E1592">
        <v>65</v>
      </c>
      <c r="F1592">
        <v>1.29007265818353E-2</v>
      </c>
      <c r="G1592">
        <v>146</v>
      </c>
      <c r="H1592">
        <v>6.9168183926044902E-2</v>
      </c>
      <c r="I1592">
        <v>138</v>
      </c>
      <c r="L1592">
        <v>3.8137548079553898E-2</v>
      </c>
      <c r="M1592">
        <v>4.1330538145579299E-2</v>
      </c>
      <c r="N1592">
        <v>2023</v>
      </c>
      <c r="O1592" t="s">
        <v>13</v>
      </c>
      <c r="P1592" t="s">
        <v>330</v>
      </c>
      <c r="Q1592" t="s">
        <v>94</v>
      </c>
      <c r="R1592" t="s">
        <v>44</v>
      </c>
    </row>
    <row r="1593" spans="1:18" x14ac:dyDescent="0.25">
      <c r="A1593" t="s">
        <v>332</v>
      </c>
      <c r="B1593" t="s">
        <v>333</v>
      </c>
      <c r="C1593" t="s">
        <v>12</v>
      </c>
      <c r="D1593">
        <v>2</v>
      </c>
      <c r="E1593">
        <v>19</v>
      </c>
      <c r="F1593">
        <v>0</v>
      </c>
      <c r="G1593">
        <v>42</v>
      </c>
      <c r="H1593">
        <v>1.77531195489306E-2</v>
      </c>
      <c r="I1593">
        <v>26</v>
      </c>
      <c r="L1593">
        <v>1.78293435371412E-3</v>
      </c>
      <c r="M1593">
        <v>0</v>
      </c>
      <c r="N1593">
        <v>2019</v>
      </c>
      <c r="O1593" t="s">
        <v>13</v>
      </c>
      <c r="P1593" t="s">
        <v>334</v>
      </c>
      <c r="Q1593" t="s">
        <v>65</v>
      </c>
      <c r="R1593" t="s">
        <v>66</v>
      </c>
    </row>
    <row r="1594" spans="1:18" x14ac:dyDescent="0.25">
      <c r="A1594" t="s">
        <v>332</v>
      </c>
      <c r="B1594" t="s">
        <v>333</v>
      </c>
      <c r="C1594" t="s">
        <v>12</v>
      </c>
      <c r="D1594">
        <v>2</v>
      </c>
      <c r="E1594">
        <v>25</v>
      </c>
      <c r="F1594">
        <v>8.2596935479584896E-3</v>
      </c>
      <c r="G1594">
        <v>262</v>
      </c>
      <c r="H1594">
        <v>2.32013386346147E-2</v>
      </c>
      <c r="I1594">
        <v>171</v>
      </c>
      <c r="L1594">
        <v>8.1981590945373595E-4</v>
      </c>
      <c r="M1594">
        <v>2.22714990559702E-3</v>
      </c>
      <c r="N1594">
        <v>2019</v>
      </c>
      <c r="O1594" t="s">
        <v>13</v>
      </c>
      <c r="P1594" t="s">
        <v>334</v>
      </c>
      <c r="Q1594" t="s">
        <v>65</v>
      </c>
      <c r="R1594" t="s">
        <v>66</v>
      </c>
    </row>
    <row r="1595" spans="1:18" x14ac:dyDescent="0.25">
      <c r="A1595" t="s">
        <v>332</v>
      </c>
      <c r="B1595" t="s">
        <v>333</v>
      </c>
      <c r="C1595" t="s">
        <v>12</v>
      </c>
      <c r="D1595">
        <v>2</v>
      </c>
      <c r="E1595">
        <v>35</v>
      </c>
      <c r="F1595">
        <v>1.03561391415942E-2</v>
      </c>
      <c r="G1595">
        <v>418</v>
      </c>
      <c r="H1595">
        <v>2.1051611810515399E-2</v>
      </c>
      <c r="I1595">
        <v>294</v>
      </c>
      <c r="L1595">
        <v>3.9917260074009801E-3</v>
      </c>
      <c r="M1595">
        <v>1.21970696445788E-2</v>
      </c>
      <c r="N1595">
        <v>2019</v>
      </c>
      <c r="O1595" t="s">
        <v>13</v>
      </c>
      <c r="P1595" t="s">
        <v>334</v>
      </c>
      <c r="Q1595" t="s">
        <v>65</v>
      </c>
      <c r="R1595" t="s">
        <v>66</v>
      </c>
    </row>
    <row r="1596" spans="1:18" x14ac:dyDescent="0.25">
      <c r="A1596" t="s">
        <v>332</v>
      </c>
      <c r="B1596" t="s">
        <v>333</v>
      </c>
      <c r="C1596" t="s">
        <v>12</v>
      </c>
      <c r="D1596">
        <v>2</v>
      </c>
      <c r="E1596">
        <v>45</v>
      </c>
      <c r="F1596">
        <v>1.8073891254761401E-2</v>
      </c>
      <c r="G1596">
        <v>499</v>
      </c>
      <c r="H1596">
        <v>5.4751016024287898E-2</v>
      </c>
      <c r="I1596">
        <v>353</v>
      </c>
      <c r="L1596">
        <v>3.7932791793725898E-3</v>
      </c>
      <c r="M1596">
        <v>6.6057551194050297E-3</v>
      </c>
      <c r="N1596">
        <v>2019</v>
      </c>
      <c r="O1596" t="s">
        <v>13</v>
      </c>
      <c r="P1596" t="s">
        <v>334</v>
      </c>
      <c r="Q1596" t="s">
        <v>65</v>
      </c>
      <c r="R1596" t="s">
        <v>66</v>
      </c>
    </row>
    <row r="1597" spans="1:18" x14ac:dyDescent="0.25">
      <c r="A1597" t="s">
        <v>332</v>
      </c>
      <c r="B1597" t="s">
        <v>333</v>
      </c>
      <c r="C1597" t="s">
        <v>12</v>
      </c>
      <c r="D1597">
        <v>2</v>
      </c>
      <c r="E1597">
        <v>55</v>
      </c>
      <c r="F1597">
        <v>3.3266711700535599E-2</v>
      </c>
      <c r="G1597">
        <v>615</v>
      </c>
      <c r="H1597">
        <v>6.35767815449889E-2</v>
      </c>
      <c r="I1597">
        <v>442</v>
      </c>
      <c r="L1597">
        <v>6.0672619454932098E-3</v>
      </c>
      <c r="M1597">
        <v>1.2196238628395801E-2</v>
      </c>
      <c r="N1597">
        <v>2019</v>
      </c>
      <c r="O1597" t="s">
        <v>13</v>
      </c>
      <c r="P1597" t="s">
        <v>334</v>
      </c>
      <c r="Q1597" t="s">
        <v>65</v>
      </c>
      <c r="R1597" t="s">
        <v>66</v>
      </c>
    </row>
    <row r="1598" spans="1:18" x14ac:dyDescent="0.25">
      <c r="A1598" t="s">
        <v>332</v>
      </c>
      <c r="B1598" t="s">
        <v>333</v>
      </c>
      <c r="C1598" t="s">
        <v>12</v>
      </c>
      <c r="D1598">
        <v>2</v>
      </c>
      <c r="E1598">
        <v>65</v>
      </c>
      <c r="F1598">
        <v>0.11835712775559599</v>
      </c>
      <c r="G1598">
        <v>826</v>
      </c>
      <c r="H1598">
        <v>0.124032276305719</v>
      </c>
      <c r="I1598">
        <v>502</v>
      </c>
      <c r="L1598">
        <v>3.65500987989793E-3</v>
      </c>
      <c r="M1598">
        <v>7.79645847830354E-3</v>
      </c>
      <c r="N1598">
        <v>2019</v>
      </c>
      <c r="O1598" t="s">
        <v>13</v>
      </c>
      <c r="P1598" t="s">
        <v>334</v>
      </c>
      <c r="Q1598" t="s">
        <v>65</v>
      </c>
      <c r="R1598" t="s">
        <v>66</v>
      </c>
    </row>
    <row r="1599" spans="1:18" x14ac:dyDescent="0.25">
      <c r="A1599" t="s">
        <v>332</v>
      </c>
      <c r="B1599" t="s">
        <v>333</v>
      </c>
      <c r="C1599" t="s">
        <v>12</v>
      </c>
      <c r="D1599">
        <v>1</v>
      </c>
      <c r="E1599">
        <v>19</v>
      </c>
      <c r="F1599">
        <v>0</v>
      </c>
      <c r="G1599">
        <v>27</v>
      </c>
      <c r="H1599">
        <v>7.6936061444887002E-2</v>
      </c>
      <c r="I1599">
        <v>16</v>
      </c>
      <c r="L1599">
        <v>7.1228027538809398E-5</v>
      </c>
      <c r="M1599">
        <v>0</v>
      </c>
      <c r="N1599">
        <v>2019</v>
      </c>
      <c r="O1599" t="s">
        <v>13</v>
      </c>
      <c r="P1599" t="s">
        <v>334</v>
      </c>
      <c r="Q1599" t="s">
        <v>65</v>
      </c>
      <c r="R1599" t="s">
        <v>66</v>
      </c>
    </row>
    <row r="1600" spans="1:18" x14ac:dyDescent="0.25">
      <c r="A1600" t="s">
        <v>332</v>
      </c>
      <c r="B1600" t="s">
        <v>333</v>
      </c>
      <c r="C1600" t="s">
        <v>12</v>
      </c>
      <c r="D1600">
        <v>1</v>
      </c>
      <c r="E1600">
        <v>25</v>
      </c>
      <c r="F1600">
        <v>0</v>
      </c>
      <c r="G1600">
        <v>231</v>
      </c>
      <c r="H1600">
        <v>3.1589017249602398E-2</v>
      </c>
      <c r="I1600">
        <v>148</v>
      </c>
      <c r="L1600">
        <v>1.74272814591506E-3</v>
      </c>
      <c r="M1600">
        <v>0</v>
      </c>
      <c r="N1600">
        <v>2019</v>
      </c>
      <c r="O1600" t="s">
        <v>13</v>
      </c>
      <c r="P1600" t="s">
        <v>334</v>
      </c>
      <c r="Q1600" t="s">
        <v>65</v>
      </c>
      <c r="R1600" t="s">
        <v>66</v>
      </c>
    </row>
    <row r="1601" spans="1:18" x14ac:dyDescent="0.25">
      <c r="A1601" t="s">
        <v>332</v>
      </c>
      <c r="B1601" t="s">
        <v>333</v>
      </c>
      <c r="C1601" t="s">
        <v>12</v>
      </c>
      <c r="D1601">
        <v>1</v>
      </c>
      <c r="E1601">
        <v>35</v>
      </c>
      <c r="F1601">
        <v>7.8737434468931101E-3</v>
      </c>
      <c r="G1601">
        <v>312</v>
      </c>
      <c r="H1601">
        <v>3.5102307157536601E-2</v>
      </c>
      <c r="I1601">
        <v>201</v>
      </c>
      <c r="L1601">
        <v>3.2104097687884301E-3</v>
      </c>
      <c r="M1601">
        <v>5.5126426594836802E-3</v>
      </c>
      <c r="N1601">
        <v>2019</v>
      </c>
      <c r="O1601" t="s">
        <v>13</v>
      </c>
      <c r="P1601" t="s">
        <v>334</v>
      </c>
      <c r="Q1601" t="s">
        <v>65</v>
      </c>
      <c r="R1601" t="s">
        <v>66</v>
      </c>
    </row>
    <row r="1602" spans="1:18" x14ac:dyDescent="0.25">
      <c r="A1602" t="s">
        <v>332</v>
      </c>
      <c r="B1602" t="s">
        <v>333</v>
      </c>
      <c r="C1602" t="s">
        <v>12</v>
      </c>
      <c r="D1602">
        <v>1</v>
      </c>
      <c r="E1602">
        <v>45</v>
      </c>
      <c r="F1602">
        <v>8.4293914923853092E-3</v>
      </c>
      <c r="G1602">
        <v>315</v>
      </c>
      <c r="H1602">
        <v>8.7322245581371402E-2</v>
      </c>
      <c r="I1602">
        <v>201</v>
      </c>
      <c r="L1602">
        <v>1.8458618198854699E-3</v>
      </c>
      <c r="M1602">
        <v>1.5077728755813599E-3</v>
      </c>
      <c r="N1602">
        <v>2019</v>
      </c>
      <c r="O1602" t="s">
        <v>13</v>
      </c>
      <c r="P1602" t="s">
        <v>334</v>
      </c>
      <c r="Q1602" t="s">
        <v>65</v>
      </c>
      <c r="R1602" t="s">
        <v>66</v>
      </c>
    </row>
    <row r="1603" spans="1:18" x14ac:dyDescent="0.25">
      <c r="A1603" t="s">
        <v>332</v>
      </c>
      <c r="B1603" t="s">
        <v>333</v>
      </c>
      <c r="C1603" t="s">
        <v>12</v>
      </c>
      <c r="D1603">
        <v>1</v>
      </c>
      <c r="E1603">
        <v>55</v>
      </c>
      <c r="F1603">
        <v>3.6508701410288398E-2</v>
      </c>
      <c r="G1603">
        <v>310</v>
      </c>
      <c r="H1603">
        <v>4.8722612974765003E-2</v>
      </c>
      <c r="I1603">
        <v>183</v>
      </c>
      <c r="L1603">
        <v>8.6976375443643394E-3</v>
      </c>
      <c r="M1603">
        <v>2.36878811196671E-2</v>
      </c>
      <c r="N1603">
        <v>2019</v>
      </c>
      <c r="O1603" t="s">
        <v>13</v>
      </c>
      <c r="P1603" t="s">
        <v>334</v>
      </c>
      <c r="Q1603" t="s">
        <v>65</v>
      </c>
      <c r="R1603" t="s">
        <v>66</v>
      </c>
    </row>
    <row r="1604" spans="1:18" x14ac:dyDescent="0.25">
      <c r="A1604" t="s">
        <v>332</v>
      </c>
      <c r="B1604" t="s">
        <v>333</v>
      </c>
      <c r="C1604" t="s">
        <v>12</v>
      </c>
      <c r="D1604">
        <v>1</v>
      </c>
      <c r="E1604">
        <v>65</v>
      </c>
      <c r="F1604">
        <v>6.7654570276595702E-2</v>
      </c>
      <c r="G1604">
        <v>415</v>
      </c>
      <c r="H1604">
        <v>7.6894445341005396E-2</v>
      </c>
      <c r="I1604">
        <v>250</v>
      </c>
      <c r="L1604">
        <v>3.72784718611825E-3</v>
      </c>
      <c r="M1604">
        <v>9.8048355158866299E-3</v>
      </c>
      <c r="N1604">
        <v>2019</v>
      </c>
      <c r="O1604" t="s">
        <v>13</v>
      </c>
      <c r="P1604" t="s">
        <v>334</v>
      </c>
      <c r="Q1604" t="s">
        <v>65</v>
      </c>
      <c r="R1604" t="s">
        <v>66</v>
      </c>
    </row>
    <row r="1605" spans="1:18" x14ac:dyDescent="0.25">
      <c r="A1605" t="s">
        <v>335</v>
      </c>
      <c r="B1605" t="s">
        <v>336</v>
      </c>
      <c r="C1605" t="s">
        <v>40</v>
      </c>
      <c r="D1605">
        <v>2</v>
      </c>
      <c r="E1605">
        <v>19</v>
      </c>
      <c r="F1605">
        <v>0</v>
      </c>
      <c r="G1605">
        <v>33</v>
      </c>
      <c r="H1605">
        <v>6.2580970485829699E-3</v>
      </c>
      <c r="I1605">
        <v>17</v>
      </c>
      <c r="L1605">
        <v>0.12729186729311601</v>
      </c>
      <c r="M1605">
        <v>0</v>
      </c>
      <c r="N1605">
        <v>2013</v>
      </c>
      <c r="O1605" t="s">
        <v>13</v>
      </c>
      <c r="P1605" t="s">
        <v>337</v>
      </c>
      <c r="Q1605" t="s">
        <v>24</v>
      </c>
      <c r="R1605" t="s">
        <v>25</v>
      </c>
    </row>
    <row r="1606" spans="1:18" x14ac:dyDescent="0.25">
      <c r="A1606" t="s">
        <v>335</v>
      </c>
      <c r="B1606" t="s">
        <v>336</v>
      </c>
      <c r="C1606" t="s">
        <v>40</v>
      </c>
      <c r="D1606">
        <v>2</v>
      </c>
      <c r="E1606">
        <v>25</v>
      </c>
      <c r="F1606">
        <v>9.5703152171854305E-3</v>
      </c>
      <c r="G1606">
        <v>241</v>
      </c>
      <c r="H1606">
        <v>1.3358386481706499E-2</v>
      </c>
      <c r="I1606">
        <v>129</v>
      </c>
      <c r="L1606">
        <v>5.0296484015943999E-2</v>
      </c>
      <c r="M1606">
        <v>0.25179950543155599</v>
      </c>
      <c r="N1606">
        <v>2013</v>
      </c>
      <c r="O1606" t="s">
        <v>13</v>
      </c>
      <c r="P1606" t="s">
        <v>337</v>
      </c>
      <c r="Q1606" t="s">
        <v>24</v>
      </c>
      <c r="R1606" t="s">
        <v>25</v>
      </c>
    </row>
    <row r="1607" spans="1:18" x14ac:dyDescent="0.25">
      <c r="A1607" t="s">
        <v>335</v>
      </c>
      <c r="B1607" t="s">
        <v>336</v>
      </c>
      <c r="C1607" t="s">
        <v>40</v>
      </c>
      <c r="D1607">
        <v>2</v>
      </c>
      <c r="E1607">
        <v>35</v>
      </c>
      <c r="F1607">
        <v>3.8458587074933402E-2</v>
      </c>
      <c r="G1607">
        <v>335</v>
      </c>
      <c r="H1607">
        <v>4.1757269958296601E-2</v>
      </c>
      <c r="I1607">
        <v>162</v>
      </c>
      <c r="L1607">
        <v>1.9747888843880901E-2</v>
      </c>
      <c r="M1607">
        <v>6.3553228118765598E-2</v>
      </c>
      <c r="N1607">
        <v>2013</v>
      </c>
      <c r="O1607" t="s">
        <v>13</v>
      </c>
      <c r="P1607" t="s">
        <v>337</v>
      </c>
      <c r="Q1607" t="s">
        <v>24</v>
      </c>
      <c r="R1607" t="s">
        <v>25</v>
      </c>
    </row>
    <row r="1608" spans="1:18" x14ac:dyDescent="0.25">
      <c r="A1608" t="s">
        <v>335</v>
      </c>
      <c r="B1608" t="s">
        <v>336</v>
      </c>
      <c r="C1608" t="s">
        <v>40</v>
      </c>
      <c r="D1608">
        <v>2</v>
      </c>
      <c r="E1608">
        <v>45</v>
      </c>
      <c r="F1608">
        <v>5.20530389717496E-2</v>
      </c>
      <c r="G1608">
        <v>317</v>
      </c>
      <c r="H1608">
        <v>4.7619054894442299E-2</v>
      </c>
      <c r="I1608">
        <v>157</v>
      </c>
      <c r="L1608">
        <v>3.8548869789512302E-2</v>
      </c>
      <c r="M1608">
        <v>0.14216948555595901</v>
      </c>
      <c r="N1608">
        <v>2013</v>
      </c>
      <c r="O1608" t="s">
        <v>13</v>
      </c>
      <c r="P1608" t="s">
        <v>337</v>
      </c>
      <c r="Q1608" t="s">
        <v>24</v>
      </c>
      <c r="R1608" t="s">
        <v>25</v>
      </c>
    </row>
    <row r="1609" spans="1:18" x14ac:dyDescent="0.25">
      <c r="A1609" t="s">
        <v>335</v>
      </c>
      <c r="B1609" t="s">
        <v>336</v>
      </c>
      <c r="C1609" t="s">
        <v>40</v>
      </c>
      <c r="D1609">
        <v>2</v>
      </c>
      <c r="E1609">
        <v>55</v>
      </c>
      <c r="F1609">
        <v>9.4347978571962199E-2</v>
      </c>
      <c r="G1609">
        <v>352</v>
      </c>
      <c r="H1609">
        <v>0.120535187437039</v>
      </c>
      <c r="I1609">
        <v>192</v>
      </c>
      <c r="L1609">
        <v>2.82117731656998E-2</v>
      </c>
      <c r="M1609">
        <v>4.8775966484805401E-2</v>
      </c>
      <c r="N1609">
        <v>2013</v>
      </c>
      <c r="O1609" t="s">
        <v>13</v>
      </c>
      <c r="P1609" t="s">
        <v>337</v>
      </c>
      <c r="Q1609" t="s">
        <v>24</v>
      </c>
      <c r="R1609" t="s">
        <v>25</v>
      </c>
    </row>
    <row r="1610" spans="1:18" x14ac:dyDescent="0.25">
      <c r="A1610" t="s">
        <v>335</v>
      </c>
      <c r="B1610" t="s">
        <v>336</v>
      </c>
      <c r="C1610" t="s">
        <v>40</v>
      </c>
      <c r="D1610">
        <v>2</v>
      </c>
      <c r="E1610">
        <v>62.5</v>
      </c>
      <c r="F1610">
        <v>0.159610900865959</v>
      </c>
      <c r="G1610">
        <v>190</v>
      </c>
      <c r="H1610">
        <v>9.0096541137335201E-2</v>
      </c>
      <c r="I1610">
        <v>105</v>
      </c>
      <c r="L1610">
        <v>3.3086098094490701E-2</v>
      </c>
      <c r="M1610">
        <v>0.13554064627683499</v>
      </c>
      <c r="N1610">
        <v>2013</v>
      </c>
      <c r="O1610" t="s">
        <v>13</v>
      </c>
      <c r="P1610" t="s">
        <v>337</v>
      </c>
      <c r="Q1610" t="s">
        <v>24</v>
      </c>
      <c r="R1610" t="s">
        <v>25</v>
      </c>
    </row>
    <row r="1611" spans="1:18" x14ac:dyDescent="0.25">
      <c r="A1611" t="s">
        <v>335</v>
      </c>
      <c r="B1611" t="s">
        <v>336</v>
      </c>
      <c r="C1611" t="s">
        <v>40</v>
      </c>
      <c r="D1611">
        <v>1</v>
      </c>
      <c r="E1611">
        <v>19</v>
      </c>
      <c r="F1611">
        <v>0</v>
      </c>
      <c r="G1611">
        <v>40</v>
      </c>
      <c r="H1611">
        <v>0.105383439084012</v>
      </c>
      <c r="I1611">
        <v>16</v>
      </c>
      <c r="L1611">
        <v>1.82775311418085E-3</v>
      </c>
      <c r="M1611">
        <v>0</v>
      </c>
      <c r="N1611">
        <v>2013</v>
      </c>
      <c r="O1611" t="s">
        <v>13</v>
      </c>
      <c r="P1611" t="s">
        <v>337</v>
      </c>
      <c r="Q1611" t="s">
        <v>24</v>
      </c>
      <c r="R1611" t="s">
        <v>25</v>
      </c>
    </row>
    <row r="1612" spans="1:18" x14ac:dyDescent="0.25">
      <c r="A1612" t="s">
        <v>335</v>
      </c>
      <c r="B1612" t="s">
        <v>336</v>
      </c>
      <c r="C1612" t="s">
        <v>40</v>
      </c>
      <c r="D1612">
        <v>1</v>
      </c>
      <c r="E1612">
        <v>25</v>
      </c>
      <c r="F1612">
        <v>0</v>
      </c>
      <c r="G1612">
        <v>155</v>
      </c>
      <c r="H1612">
        <v>3.6525415583423003E-2</v>
      </c>
      <c r="I1612">
        <v>75</v>
      </c>
      <c r="L1612">
        <v>2.90597466341312E-2</v>
      </c>
      <c r="M1612">
        <v>0</v>
      </c>
      <c r="N1612">
        <v>2013</v>
      </c>
      <c r="O1612" t="s">
        <v>13</v>
      </c>
      <c r="P1612" t="s">
        <v>337</v>
      </c>
      <c r="Q1612" t="s">
        <v>24</v>
      </c>
      <c r="R1612" t="s">
        <v>25</v>
      </c>
    </row>
    <row r="1613" spans="1:18" x14ac:dyDescent="0.25">
      <c r="A1613" t="s">
        <v>335</v>
      </c>
      <c r="B1613" t="s">
        <v>336</v>
      </c>
      <c r="C1613" t="s">
        <v>40</v>
      </c>
      <c r="D1613">
        <v>1</v>
      </c>
      <c r="E1613">
        <v>35</v>
      </c>
      <c r="F1613">
        <v>1.3281184946302401E-2</v>
      </c>
      <c r="G1613">
        <v>177</v>
      </c>
      <c r="H1613">
        <v>8.8399882020764001E-2</v>
      </c>
      <c r="I1613">
        <v>89</v>
      </c>
      <c r="L1613">
        <v>1.7673544301873699E-2</v>
      </c>
      <c r="M1613">
        <v>1.5280485647178099E-2</v>
      </c>
      <c r="N1613">
        <v>2013</v>
      </c>
      <c r="O1613" t="s">
        <v>13</v>
      </c>
      <c r="P1613" t="s">
        <v>337</v>
      </c>
      <c r="Q1613" t="s">
        <v>24</v>
      </c>
      <c r="R1613" t="s">
        <v>25</v>
      </c>
    </row>
    <row r="1614" spans="1:18" x14ac:dyDescent="0.25">
      <c r="A1614" t="s">
        <v>335</v>
      </c>
      <c r="B1614" t="s">
        <v>336</v>
      </c>
      <c r="C1614" t="s">
        <v>40</v>
      </c>
      <c r="D1614">
        <v>1</v>
      </c>
      <c r="E1614">
        <v>45</v>
      </c>
      <c r="F1614">
        <v>2.3959917247883399E-2</v>
      </c>
      <c r="G1614">
        <v>201</v>
      </c>
      <c r="H1614">
        <v>9.8830639756671404E-2</v>
      </c>
      <c r="I1614">
        <v>104</v>
      </c>
      <c r="L1614">
        <v>4.4013168393738498E-2</v>
      </c>
      <c r="M1614">
        <v>4.5520866738022699E-2</v>
      </c>
      <c r="N1614">
        <v>2013</v>
      </c>
      <c r="O1614" t="s">
        <v>13</v>
      </c>
      <c r="P1614" t="s">
        <v>337</v>
      </c>
      <c r="Q1614" t="s">
        <v>24</v>
      </c>
      <c r="R1614" t="s">
        <v>25</v>
      </c>
    </row>
    <row r="1615" spans="1:18" x14ac:dyDescent="0.25">
      <c r="A1615" t="s">
        <v>335</v>
      </c>
      <c r="B1615" t="s">
        <v>336</v>
      </c>
      <c r="C1615" t="s">
        <v>40</v>
      </c>
      <c r="D1615">
        <v>1</v>
      </c>
      <c r="E1615">
        <v>55</v>
      </c>
      <c r="F1615">
        <v>6.8060059077480806E-2</v>
      </c>
      <c r="G1615">
        <v>186</v>
      </c>
      <c r="H1615">
        <v>0.13662075147323199</v>
      </c>
      <c r="I1615">
        <v>98</v>
      </c>
      <c r="L1615">
        <v>3.3001016740790402E-2</v>
      </c>
      <c r="M1615">
        <v>4.0018922532349802E-2</v>
      </c>
      <c r="N1615">
        <v>2013</v>
      </c>
      <c r="O1615" t="s">
        <v>13</v>
      </c>
      <c r="P1615" t="s">
        <v>337</v>
      </c>
      <c r="Q1615" t="s">
        <v>24</v>
      </c>
      <c r="R1615" t="s">
        <v>25</v>
      </c>
    </row>
    <row r="1616" spans="1:18" x14ac:dyDescent="0.25">
      <c r="A1616" t="s">
        <v>335</v>
      </c>
      <c r="B1616" t="s">
        <v>336</v>
      </c>
      <c r="C1616" t="s">
        <v>40</v>
      </c>
      <c r="D1616">
        <v>1</v>
      </c>
      <c r="E1616">
        <v>62.5</v>
      </c>
      <c r="F1616">
        <v>0.159580712942888</v>
      </c>
      <c r="G1616">
        <v>113</v>
      </c>
      <c r="H1616">
        <v>0.19417389044607999</v>
      </c>
      <c r="I1616">
        <v>64</v>
      </c>
      <c r="L1616">
        <v>2.2428990376248001E-2</v>
      </c>
      <c r="M1616">
        <v>2.78818032177784E-2</v>
      </c>
      <c r="N1616">
        <v>2013</v>
      </c>
      <c r="O1616" t="s">
        <v>13</v>
      </c>
      <c r="P1616" t="s">
        <v>337</v>
      </c>
      <c r="Q1616" t="s">
        <v>24</v>
      </c>
      <c r="R1616" t="s">
        <v>25</v>
      </c>
    </row>
    <row r="1617" spans="1:18" x14ac:dyDescent="0.25">
      <c r="A1617" t="s">
        <v>338</v>
      </c>
      <c r="B1617" t="s">
        <v>339</v>
      </c>
      <c r="C1617" t="s">
        <v>12</v>
      </c>
      <c r="D1617">
        <v>2</v>
      </c>
      <c r="E1617">
        <v>25</v>
      </c>
      <c r="F1617">
        <v>5.3774780833735804E-3</v>
      </c>
      <c r="G1617">
        <v>1358</v>
      </c>
      <c r="H1617">
        <v>4.1830377003888603E-3</v>
      </c>
      <c r="I1617">
        <v>386</v>
      </c>
      <c r="L1617">
        <v>2.71864165712215E-3</v>
      </c>
      <c r="M1617">
        <v>2.7030618193050901E-2</v>
      </c>
      <c r="N1617">
        <v>1978</v>
      </c>
      <c r="O1617" t="s">
        <v>13</v>
      </c>
      <c r="P1617" t="s">
        <v>340</v>
      </c>
      <c r="Q1617" t="s">
        <v>341</v>
      </c>
      <c r="R1617" t="s">
        <v>342</v>
      </c>
    </row>
    <row r="1618" spans="1:18" x14ac:dyDescent="0.25">
      <c r="A1618" t="s">
        <v>338</v>
      </c>
      <c r="B1618" t="s">
        <v>339</v>
      </c>
      <c r="C1618" t="s">
        <v>12</v>
      </c>
      <c r="D1618">
        <v>2</v>
      </c>
      <c r="E1618">
        <v>35</v>
      </c>
      <c r="F1618">
        <v>8.5155592265512194E-3</v>
      </c>
      <c r="G1618">
        <v>983</v>
      </c>
      <c r="H1618">
        <v>5.33154233666843E-3</v>
      </c>
      <c r="I1618">
        <v>354</v>
      </c>
      <c r="L1618">
        <v>4.86456741620446E-3</v>
      </c>
      <c r="M1618">
        <v>5.1367987872486101E-2</v>
      </c>
      <c r="N1618">
        <v>1978</v>
      </c>
      <c r="O1618" t="s">
        <v>13</v>
      </c>
      <c r="P1618" t="s">
        <v>340</v>
      </c>
      <c r="Q1618" t="s">
        <v>341</v>
      </c>
      <c r="R1618" t="s">
        <v>342</v>
      </c>
    </row>
    <row r="1619" spans="1:18" x14ac:dyDescent="0.25">
      <c r="A1619" t="s">
        <v>338</v>
      </c>
      <c r="B1619" t="s">
        <v>339</v>
      </c>
      <c r="C1619" t="s">
        <v>12</v>
      </c>
      <c r="D1619">
        <v>2</v>
      </c>
      <c r="E1619">
        <v>45</v>
      </c>
      <c r="F1619">
        <v>2.1607309326888698E-2</v>
      </c>
      <c r="G1619">
        <v>762</v>
      </c>
      <c r="H1619">
        <v>4.6723020609624903E-2</v>
      </c>
      <c r="I1619">
        <v>284</v>
      </c>
      <c r="L1619">
        <v>2.05135074737003E-3</v>
      </c>
      <c r="M1619">
        <v>5.0569686640715003E-3</v>
      </c>
      <c r="N1619">
        <v>1978</v>
      </c>
      <c r="O1619" t="s">
        <v>13</v>
      </c>
      <c r="P1619" t="s">
        <v>340</v>
      </c>
      <c r="Q1619" t="s">
        <v>341</v>
      </c>
      <c r="R1619" t="s">
        <v>342</v>
      </c>
    </row>
    <row r="1620" spans="1:18" x14ac:dyDescent="0.25">
      <c r="A1620" t="s">
        <v>338</v>
      </c>
      <c r="B1620" t="s">
        <v>339</v>
      </c>
      <c r="C1620" t="s">
        <v>12</v>
      </c>
      <c r="D1620">
        <v>2</v>
      </c>
      <c r="E1620">
        <v>55</v>
      </c>
      <c r="F1620">
        <v>3.0502736975186E-2</v>
      </c>
      <c r="G1620">
        <v>794</v>
      </c>
      <c r="H1620">
        <v>4.9639244111814702E-2</v>
      </c>
      <c r="I1620">
        <v>279</v>
      </c>
      <c r="L1620">
        <v>3.09961575405495E-3</v>
      </c>
      <c r="M1620">
        <v>8.5282235140325402E-3</v>
      </c>
      <c r="N1620">
        <v>1978</v>
      </c>
      <c r="O1620" t="s">
        <v>13</v>
      </c>
      <c r="P1620" t="s">
        <v>340</v>
      </c>
      <c r="Q1620" t="s">
        <v>341</v>
      </c>
      <c r="R1620" t="s">
        <v>342</v>
      </c>
    </row>
    <row r="1621" spans="1:18" x14ac:dyDescent="0.25">
      <c r="A1621" t="s">
        <v>338</v>
      </c>
      <c r="B1621" t="s">
        <v>339</v>
      </c>
      <c r="C1621" t="s">
        <v>12</v>
      </c>
      <c r="D1621">
        <v>2</v>
      </c>
      <c r="E1621">
        <v>65</v>
      </c>
      <c r="F1621">
        <v>4.8709838045382203E-2</v>
      </c>
      <c r="G1621">
        <v>1720</v>
      </c>
      <c r="H1621">
        <v>4.4779254741027702E-2</v>
      </c>
      <c r="I1621">
        <v>560</v>
      </c>
      <c r="L1621">
        <v>6.4971774441175099E-3</v>
      </c>
      <c r="M1621">
        <v>2.60979111323431E-2</v>
      </c>
      <c r="N1621">
        <v>1978</v>
      </c>
      <c r="O1621" t="s">
        <v>13</v>
      </c>
      <c r="P1621" t="s">
        <v>340</v>
      </c>
      <c r="Q1621" t="s">
        <v>341</v>
      </c>
      <c r="R1621" t="s">
        <v>342</v>
      </c>
    </row>
    <row r="1622" spans="1:18" x14ac:dyDescent="0.25">
      <c r="A1622" t="s">
        <v>338</v>
      </c>
      <c r="B1622" t="s">
        <v>339</v>
      </c>
      <c r="C1622" t="s">
        <v>12</v>
      </c>
      <c r="D1622">
        <v>2</v>
      </c>
      <c r="E1622">
        <v>72.5</v>
      </c>
      <c r="F1622">
        <v>7.8093886370376606E-2</v>
      </c>
      <c r="G1622">
        <v>619</v>
      </c>
      <c r="H1622">
        <v>5.1407021843418298E-2</v>
      </c>
      <c r="I1622">
        <v>182</v>
      </c>
      <c r="L1622">
        <v>6.0013611511104299E-3</v>
      </c>
      <c r="M1622">
        <v>2.8570319722458399E-2</v>
      </c>
      <c r="N1622">
        <v>1978</v>
      </c>
      <c r="O1622" t="s">
        <v>13</v>
      </c>
      <c r="P1622" t="s">
        <v>340</v>
      </c>
      <c r="Q1622" t="s">
        <v>341</v>
      </c>
      <c r="R1622" t="s">
        <v>342</v>
      </c>
    </row>
    <row r="1623" spans="1:18" x14ac:dyDescent="0.25">
      <c r="A1623" t="s">
        <v>338</v>
      </c>
      <c r="B1623" t="s">
        <v>339</v>
      </c>
      <c r="C1623" t="s">
        <v>12</v>
      </c>
      <c r="D1623">
        <v>1</v>
      </c>
      <c r="E1623">
        <v>25</v>
      </c>
      <c r="F1623">
        <v>6.4935567811339704E-4</v>
      </c>
      <c r="G1623">
        <v>1263</v>
      </c>
      <c r="H1623">
        <v>1.3535082096783799E-3</v>
      </c>
      <c r="I1623">
        <v>356</v>
      </c>
      <c r="L1623">
        <v>4.0476152925208203E-2</v>
      </c>
      <c r="M1623">
        <v>0.31599679151689097</v>
      </c>
      <c r="N1623">
        <v>1978</v>
      </c>
      <c r="O1623" t="s">
        <v>13</v>
      </c>
      <c r="P1623" t="s">
        <v>340</v>
      </c>
      <c r="Q1623" t="s">
        <v>341</v>
      </c>
      <c r="R1623" t="s">
        <v>342</v>
      </c>
    </row>
    <row r="1624" spans="1:18" x14ac:dyDescent="0.25">
      <c r="A1624" t="s">
        <v>338</v>
      </c>
      <c r="B1624" t="s">
        <v>339</v>
      </c>
      <c r="C1624" t="s">
        <v>12</v>
      </c>
      <c r="D1624">
        <v>1</v>
      </c>
      <c r="E1624">
        <v>35</v>
      </c>
      <c r="F1624">
        <v>2.5366537168629599E-3</v>
      </c>
      <c r="G1624">
        <v>870</v>
      </c>
      <c r="H1624">
        <v>1.55429150562907E-2</v>
      </c>
      <c r="I1624">
        <v>280</v>
      </c>
      <c r="L1624">
        <v>5.5144341956415797E-3</v>
      </c>
      <c r="M1624">
        <v>1.07152391099783E-2</v>
      </c>
      <c r="N1624">
        <v>1978</v>
      </c>
      <c r="O1624" t="s">
        <v>13</v>
      </c>
      <c r="P1624" t="s">
        <v>340</v>
      </c>
      <c r="Q1624" t="s">
        <v>341</v>
      </c>
      <c r="R1624" t="s">
        <v>342</v>
      </c>
    </row>
    <row r="1625" spans="1:18" x14ac:dyDescent="0.25">
      <c r="A1625" t="s">
        <v>338</v>
      </c>
      <c r="B1625" t="s">
        <v>339</v>
      </c>
      <c r="C1625" t="s">
        <v>12</v>
      </c>
      <c r="D1625">
        <v>1</v>
      </c>
      <c r="E1625">
        <v>45</v>
      </c>
      <c r="F1625">
        <v>1.7711102860653801E-2</v>
      </c>
      <c r="G1625">
        <v>690</v>
      </c>
      <c r="H1625">
        <v>1.7129557148428998E-2</v>
      </c>
      <c r="I1625">
        <v>211</v>
      </c>
      <c r="L1625">
        <v>6.0313093908146804E-3</v>
      </c>
      <c r="M1625">
        <v>3.2690107639884801E-2</v>
      </c>
      <c r="N1625">
        <v>1978</v>
      </c>
      <c r="O1625" t="s">
        <v>13</v>
      </c>
      <c r="P1625" t="s">
        <v>340</v>
      </c>
      <c r="Q1625" t="s">
        <v>341</v>
      </c>
      <c r="R1625" t="s">
        <v>342</v>
      </c>
    </row>
    <row r="1626" spans="1:18" x14ac:dyDescent="0.25">
      <c r="A1626" t="s">
        <v>338</v>
      </c>
      <c r="B1626" t="s">
        <v>339</v>
      </c>
      <c r="C1626" t="s">
        <v>12</v>
      </c>
      <c r="D1626">
        <v>1</v>
      </c>
      <c r="E1626">
        <v>55</v>
      </c>
      <c r="F1626">
        <v>2.24411926027814E-2</v>
      </c>
      <c r="G1626">
        <v>693</v>
      </c>
      <c r="H1626">
        <v>4.3840595281357898E-2</v>
      </c>
      <c r="I1626">
        <v>250</v>
      </c>
      <c r="L1626">
        <v>5.8565871275638899E-3</v>
      </c>
      <c r="M1626">
        <v>1.4614712679596201E-2</v>
      </c>
      <c r="N1626">
        <v>1978</v>
      </c>
      <c r="O1626" t="s">
        <v>13</v>
      </c>
      <c r="P1626" t="s">
        <v>340</v>
      </c>
      <c r="Q1626" t="s">
        <v>341</v>
      </c>
      <c r="R1626" t="s">
        <v>342</v>
      </c>
    </row>
    <row r="1627" spans="1:18" x14ac:dyDescent="0.25">
      <c r="A1627" t="s">
        <v>338</v>
      </c>
      <c r="B1627" t="s">
        <v>339</v>
      </c>
      <c r="C1627" t="s">
        <v>12</v>
      </c>
      <c r="D1627">
        <v>1</v>
      </c>
      <c r="E1627">
        <v>65</v>
      </c>
      <c r="F1627">
        <v>4.8155900419160701E-2</v>
      </c>
      <c r="G1627">
        <v>1570</v>
      </c>
      <c r="H1627">
        <v>7.65590641482993E-2</v>
      </c>
      <c r="I1627">
        <v>540</v>
      </c>
      <c r="L1627">
        <v>4.2720995849464E-3</v>
      </c>
      <c r="M1627">
        <v>9.5405696180986994E-3</v>
      </c>
      <c r="N1627">
        <v>1978</v>
      </c>
      <c r="O1627" t="s">
        <v>13</v>
      </c>
      <c r="P1627" t="s">
        <v>340</v>
      </c>
      <c r="Q1627" t="s">
        <v>341</v>
      </c>
      <c r="R1627" t="s">
        <v>342</v>
      </c>
    </row>
    <row r="1628" spans="1:18" x14ac:dyDescent="0.25">
      <c r="A1628" t="s">
        <v>338</v>
      </c>
      <c r="B1628" t="s">
        <v>339</v>
      </c>
      <c r="C1628" t="s">
        <v>12</v>
      </c>
      <c r="D1628">
        <v>1</v>
      </c>
      <c r="E1628">
        <v>72.5</v>
      </c>
      <c r="F1628">
        <v>9.2415947949615801E-2</v>
      </c>
      <c r="G1628">
        <v>508</v>
      </c>
      <c r="H1628">
        <v>6.4818386464079406E-2</v>
      </c>
      <c r="I1628">
        <v>169</v>
      </c>
      <c r="L1628">
        <v>4.2598396477147599E-3</v>
      </c>
      <c r="M1628">
        <v>1.7800058522882901E-2</v>
      </c>
      <c r="N1628">
        <v>1978</v>
      </c>
      <c r="O1628" t="s">
        <v>13</v>
      </c>
      <c r="P1628" t="s">
        <v>340</v>
      </c>
      <c r="Q1628" t="s">
        <v>341</v>
      </c>
      <c r="R1628" t="s">
        <v>342</v>
      </c>
    </row>
    <row r="1629" spans="1:18" x14ac:dyDescent="0.25">
      <c r="A1629" t="s">
        <v>338</v>
      </c>
      <c r="B1629" t="s">
        <v>343</v>
      </c>
      <c r="C1629" t="s">
        <v>12</v>
      </c>
      <c r="D1629">
        <v>2</v>
      </c>
      <c r="E1629">
        <v>25</v>
      </c>
      <c r="F1629">
        <v>1.2940876400628E-3</v>
      </c>
      <c r="G1629">
        <v>1778</v>
      </c>
      <c r="H1629">
        <v>1.73853501127544E-3</v>
      </c>
      <c r="I1629">
        <v>728</v>
      </c>
      <c r="L1629">
        <v>2.07889294432725E-2</v>
      </c>
      <c r="M1629">
        <v>0.15129205588207001</v>
      </c>
      <c r="N1629">
        <v>1991</v>
      </c>
      <c r="O1629" t="s">
        <v>13</v>
      </c>
      <c r="P1629" t="s">
        <v>340</v>
      </c>
      <c r="Q1629" t="s">
        <v>341</v>
      </c>
      <c r="R1629" t="s">
        <v>342</v>
      </c>
    </row>
    <row r="1630" spans="1:18" x14ac:dyDescent="0.25">
      <c r="A1630" t="s">
        <v>338</v>
      </c>
      <c r="B1630" t="s">
        <v>343</v>
      </c>
      <c r="C1630" t="s">
        <v>12</v>
      </c>
      <c r="D1630">
        <v>2</v>
      </c>
      <c r="E1630">
        <v>35</v>
      </c>
      <c r="F1630">
        <v>1.11036519681034E-2</v>
      </c>
      <c r="G1630">
        <v>1888</v>
      </c>
      <c r="H1630">
        <v>1.43991294536447E-2</v>
      </c>
      <c r="I1630">
        <v>784</v>
      </c>
      <c r="L1630">
        <v>5.2908826024887102E-3</v>
      </c>
      <c r="M1630">
        <v>2.43245127126403E-2</v>
      </c>
      <c r="N1630">
        <v>1991</v>
      </c>
      <c r="O1630" t="s">
        <v>13</v>
      </c>
      <c r="P1630" t="s">
        <v>340</v>
      </c>
      <c r="Q1630" t="s">
        <v>341</v>
      </c>
      <c r="R1630" t="s">
        <v>342</v>
      </c>
    </row>
    <row r="1631" spans="1:18" x14ac:dyDescent="0.25">
      <c r="A1631" t="s">
        <v>338</v>
      </c>
      <c r="B1631" t="s">
        <v>343</v>
      </c>
      <c r="C1631" t="s">
        <v>12</v>
      </c>
      <c r="D1631">
        <v>2</v>
      </c>
      <c r="E1631">
        <v>45</v>
      </c>
      <c r="F1631">
        <v>3.0420988508450202E-2</v>
      </c>
      <c r="G1631">
        <v>1464</v>
      </c>
      <c r="H1631">
        <v>2.6381179931222399E-2</v>
      </c>
      <c r="I1631">
        <v>574</v>
      </c>
      <c r="L1631">
        <v>4.6262145783290999E-3</v>
      </c>
      <c r="M1631">
        <v>2.3279550225079999E-2</v>
      </c>
      <c r="N1631">
        <v>1991</v>
      </c>
      <c r="O1631" t="s">
        <v>13</v>
      </c>
      <c r="P1631" t="s">
        <v>340</v>
      </c>
      <c r="Q1631" t="s">
        <v>341</v>
      </c>
      <c r="R1631" t="s">
        <v>342</v>
      </c>
    </row>
    <row r="1632" spans="1:18" x14ac:dyDescent="0.25">
      <c r="A1632" t="s">
        <v>338</v>
      </c>
      <c r="B1632" t="s">
        <v>343</v>
      </c>
      <c r="C1632" t="s">
        <v>12</v>
      </c>
      <c r="D1632">
        <v>2</v>
      </c>
      <c r="E1632">
        <v>55</v>
      </c>
      <c r="F1632">
        <v>4.5560614884544097E-2</v>
      </c>
      <c r="G1632">
        <v>1100</v>
      </c>
      <c r="H1632">
        <v>7.2204679808925407E-2</v>
      </c>
      <c r="I1632">
        <v>416</v>
      </c>
      <c r="L1632">
        <v>5.5648379877894904E-3</v>
      </c>
      <c r="M1632">
        <v>1.24319940436548E-2</v>
      </c>
      <c r="N1632">
        <v>1991</v>
      </c>
      <c r="O1632" t="s">
        <v>13</v>
      </c>
      <c r="P1632" t="s">
        <v>340</v>
      </c>
      <c r="Q1632" t="s">
        <v>341</v>
      </c>
      <c r="R1632" t="s">
        <v>342</v>
      </c>
    </row>
    <row r="1633" spans="1:18" x14ac:dyDescent="0.25">
      <c r="A1633" t="s">
        <v>338</v>
      </c>
      <c r="B1633" t="s">
        <v>343</v>
      </c>
      <c r="C1633" t="s">
        <v>12</v>
      </c>
      <c r="D1633">
        <v>2</v>
      </c>
      <c r="E1633">
        <v>65</v>
      </c>
      <c r="F1633">
        <v>9.8511146600440094E-2</v>
      </c>
      <c r="G1633">
        <v>1309</v>
      </c>
      <c r="H1633">
        <v>7.3408882713534601E-2</v>
      </c>
      <c r="I1633">
        <v>435</v>
      </c>
      <c r="L1633">
        <v>6.0750543685365302E-3</v>
      </c>
      <c r="M1633">
        <v>2.1335224699637698E-2</v>
      </c>
      <c r="N1633">
        <v>1991</v>
      </c>
      <c r="O1633" t="s">
        <v>13</v>
      </c>
      <c r="P1633" t="s">
        <v>340</v>
      </c>
      <c r="Q1633" t="s">
        <v>341</v>
      </c>
      <c r="R1633" t="s">
        <v>342</v>
      </c>
    </row>
    <row r="1634" spans="1:18" x14ac:dyDescent="0.25">
      <c r="A1634" t="s">
        <v>338</v>
      </c>
      <c r="B1634" t="s">
        <v>343</v>
      </c>
      <c r="C1634" t="s">
        <v>12</v>
      </c>
      <c r="D1634">
        <v>2</v>
      </c>
      <c r="E1634">
        <v>72.5</v>
      </c>
      <c r="F1634">
        <v>0.114147209095687</v>
      </c>
      <c r="G1634">
        <v>665</v>
      </c>
      <c r="H1634">
        <v>9.1962435271116402E-2</v>
      </c>
      <c r="I1634">
        <v>204</v>
      </c>
      <c r="L1634">
        <v>5.6430562226357202E-3</v>
      </c>
      <c r="M1634">
        <v>1.6886802217958099E-2</v>
      </c>
      <c r="N1634">
        <v>1991</v>
      </c>
      <c r="O1634" t="s">
        <v>13</v>
      </c>
      <c r="P1634" t="s">
        <v>340</v>
      </c>
      <c r="Q1634" t="s">
        <v>341</v>
      </c>
      <c r="R1634" t="s">
        <v>342</v>
      </c>
    </row>
    <row r="1635" spans="1:18" x14ac:dyDescent="0.25">
      <c r="A1635" t="s">
        <v>338</v>
      </c>
      <c r="B1635" t="s">
        <v>343</v>
      </c>
      <c r="C1635" t="s">
        <v>12</v>
      </c>
      <c r="D1635">
        <v>2</v>
      </c>
      <c r="E1635">
        <v>77.5</v>
      </c>
      <c r="F1635">
        <v>0.11341552884837899</v>
      </c>
      <c r="G1635">
        <v>496</v>
      </c>
      <c r="H1635">
        <v>7.6273745029045104E-2</v>
      </c>
      <c r="I1635">
        <v>135</v>
      </c>
      <c r="L1635">
        <v>8.9574181960074793E-3</v>
      </c>
      <c r="M1635">
        <v>3.2290299677978002E-2</v>
      </c>
      <c r="N1635">
        <v>1991</v>
      </c>
      <c r="O1635" t="s">
        <v>13</v>
      </c>
      <c r="P1635" t="s">
        <v>340</v>
      </c>
      <c r="Q1635" t="s">
        <v>341</v>
      </c>
      <c r="R1635" t="s">
        <v>342</v>
      </c>
    </row>
    <row r="1636" spans="1:18" x14ac:dyDescent="0.25">
      <c r="A1636" t="s">
        <v>338</v>
      </c>
      <c r="B1636" t="s">
        <v>343</v>
      </c>
      <c r="C1636" t="s">
        <v>12</v>
      </c>
      <c r="D1636">
        <v>2</v>
      </c>
      <c r="E1636">
        <v>84.91</v>
      </c>
      <c r="F1636">
        <v>7.8299650258093503E-2</v>
      </c>
      <c r="G1636">
        <v>1002</v>
      </c>
      <c r="H1636">
        <v>8.3187845223222895E-2</v>
      </c>
      <c r="I1636">
        <v>238</v>
      </c>
      <c r="L1636">
        <v>1.4342305292584999E-2</v>
      </c>
      <c r="M1636">
        <v>3.4450860884912698E-2</v>
      </c>
      <c r="N1636">
        <v>1991</v>
      </c>
      <c r="O1636" t="s">
        <v>13</v>
      </c>
      <c r="P1636" t="s">
        <v>340</v>
      </c>
      <c r="Q1636" t="s">
        <v>341</v>
      </c>
      <c r="R1636" t="s">
        <v>342</v>
      </c>
    </row>
    <row r="1637" spans="1:18" x14ac:dyDescent="0.25">
      <c r="A1637" t="s">
        <v>338</v>
      </c>
      <c r="B1637" t="s">
        <v>343</v>
      </c>
      <c r="C1637" t="s">
        <v>12</v>
      </c>
      <c r="D1637">
        <v>1</v>
      </c>
      <c r="E1637">
        <v>25</v>
      </c>
      <c r="F1637">
        <v>4.17026344622863E-3</v>
      </c>
      <c r="G1637">
        <v>1801</v>
      </c>
      <c r="H1637">
        <v>2.4810964723257201E-3</v>
      </c>
      <c r="I1637">
        <v>682</v>
      </c>
      <c r="L1637">
        <v>1.6229028130408201E-2</v>
      </c>
      <c r="M1637">
        <v>0.20076800537793901</v>
      </c>
      <c r="N1637">
        <v>1991</v>
      </c>
      <c r="O1637" t="s">
        <v>13</v>
      </c>
      <c r="P1637" t="s">
        <v>340</v>
      </c>
      <c r="Q1637" t="s">
        <v>341</v>
      </c>
      <c r="R1637" t="s">
        <v>342</v>
      </c>
    </row>
    <row r="1638" spans="1:18" x14ac:dyDescent="0.25">
      <c r="A1638" t="s">
        <v>338</v>
      </c>
      <c r="B1638" t="s">
        <v>343</v>
      </c>
      <c r="C1638" t="s">
        <v>12</v>
      </c>
      <c r="D1638">
        <v>1</v>
      </c>
      <c r="E1638">
        <v>35</v>
      </c>
      <c r="F1638">
        <v>1.2135188416668901E-2</v>
      </c>
      <c r="G1638">
        <v>1618</v>
      </c>
      <c r="H1638">
        <v>1.3480778689058E-2</v>
      </c>
      <c r="I1638">
        <v>627</v>
      </c>
      <c r="L1638">
        <v>8.7978840094465396E-3</v>
      </c>
      <c r="M1638">
        <v>4.3831916484800101E-2</v>
      </c>
      <c r="N1638">
        <v>1991</v>
      </c>
      <c r="O1638" t="s">
        <v>13</v>
      </c>
      <c r="P1638" t="s">
        <v>340</v>
      </c>
      <c r="Q1638" t="s">
        <v>341</v>
      </c>
      <c r="R1638" t="s">
        <v>342</v>
      </c>
    </row>
    <row r="1639" spans="1:18" x14ac:dyDescent="0.25">
      <c r="A1639" t="s">
        <v>338</v>
      </c>
      <c r="B1639" t="s">
        <v>343</v>
      </c>
      <c r="C1639" t="s">
        <v>12</v>
      </c>
      <c r="D1639">
        <v>1</v>
      </c>
      <c r="E1639">
        <v>45</v>
      </c>
      <c r="F1639">
        <v>2.7659221810086902E-2</v>
      </c>
      <c r="G1639">
        <v>1324</v>
      </c>
      <c r="H1639">
        <v>4.6503794965599102E-2</v>
      </c>
      <c r="I1639">
        <v>513</v>
      </c>
      <c r="L1639">
        <v>4.9936752901477404E-3</v>
      </c>
      <c r="M1639">
        <v>1.2971749058114801E-2</v>
      </c>
      <c r="N1639">
        <v>1991</v>
      </c>
      <c r="O1639" t="s">
        <v>13</v>
      </c>
      <c r="P1639" t="s">
        <v>340</v>
      </c>
      <c r="Q1639" t="s">
        <v>341</v>
      </c>
      <c r="R1639" t="s">
        <v>342</v>
      </c>
    </row>
    <row r="1640" spans="1:18" x14ac:dyDescent="0.25">
      <c r="A1640" t="s">
        <v>338</v>
      </c>
      <c r="B1640" t="s">
        <v>343</v>
      </c>
      <c r="C1640" t="s">
        <v>12</v>
      </c>
      <c r="D1640">
        <v>1</v>
      </c>
      <c r="E1640">
        <v>55</v>
      </c>
      <c r="F1640">
        <v>6.6688675423923302E-2</v>
      </c>
      <c r="G1640">
        <v>952</v>
      </c>
      <c r="H1640">
        <v>7.2822676386197396E-2</v>
      </c>
      <c r="I1640">
        <v>352</v>
      </c>
      <c r="L1640">
        <v>4.4702960387316502E-3</v>
      </c>
      <c r="M1640">
        <v>1.2472719427630501E-2</v>
      </c>
      <c r="N1640">
        <v>1991</v>
      </c>
      <c r="O1640" t="s">
        <v>13</v>
      </c>
      <c r="P1640" t="s">
        <v>340</v>
      </c>
      <c r="Q1640" t="s">
        <v>341</v>
      </c>
      <c r="R1640" t="s">
        <v>342</v>
      </c>
    </row>
    <row r="1641" spans="1:18" x14ac:dyDescent="0.25">
      <c r="A1641" t="s">
        <v>338</v>
      </c>
      <c r="B1641" t="s">
        <v>343</v>
      </c>
      <c r="C1641" t="s">
        <v>12</v>
      </c>
      <c r="D1641">
        <v>1</v>
      </c>
      <c r="E1641">
        <v>65</v>
      </c>
      <c r="F1641">
        <v>9.0473511111743996E-2</v>
      </c>
      <c r="G1641">
        <v>1296</v>
      </c>
      <c r="H1641">
        <v>0.118862255877734</v>
      </c>
      <c r="I1641">
        <v>475</v>
      </c>
      <c r="L1641">
        <v>5.0376008250060103E-3</v>
      </c>
      <c r="M1641">
        <v>9.4135569972371592E-3</v>
      </c>
      <c r="N1641">
        <v>1991</v>
      </c>
      <c r="O1641" t="s">
        <v>13</v>
      </c>
      <c r="P1641" t="s">
        <v>340</v>
      </c>
      <c r="Q1641" t="s">
        <v>341</v>
      </c>
      <c r="R1641" t="s">
        <v>342</v>
      </c>
    </row>
    <row r="1642" spans="1:18" x14ac:dyDescent="0.25">
      <c r="A1642" t="s">
        <v>338</v>
      </c>
      <c r="B1642" t="s">
        <v>343</v>
      </c>
      <c r="C1642" t="s">
        <v>12</v>
      </c>
      <c r="D1642">
        <v>1</v>
      </c>
      <c r="E1642">
        <v>72.5</v>
      </c>
      <c r="F1642">
        <v>9.3496673696400801E-2</v>
      </c>
      <c r="G1642">
        <v>609</v>
      </c>
      <c r="H1642">
        <v>0.149951175589116</v>
      </c>
      <c r="I1642">
        <v>209</v>
      </c>
      <c r="L1642">
        <v>6.9401937321619698E-3</v>
      </c>
      <c r="M1642">
        <v>9.6564303410703999E-3</v>
      </c>
      <c r="N1642">
        <v>1991</v>
      </c>
      <c r="O1642" t="s">
        <v>13</v>
      </c>
      <c r="P1642" t="s">
        <v>340</v>
      </c>
      <c r="Q1642" t="s">
        <v>341</v>
      </c>
      <c r="R1642" t="s">
        <v>342</v>
      </c>
    </row>
    <row r="1643" spans="1:18" x14ac:dyDescent="0.25">
      <c r="A1643" t="s">
        <v>338</v>
      </c>
      <c r="B1643" t="s">
        <v>343</v>
      </c>
      <c r="C1643" t="s">
        <v>12</v>
      </c>
      <c r="D1643">
        <v>1</v>
      </c>
      <c r="E1643">
        <v>77.5</v>
      </c>
      <c r="F1643">
        <v>0.114256421015565</v>
      </c>
      <c r="G1643">
        <v>381</v>
      </c>
      <c r="H1643">
        <v>0.13270978661958899</v>
      </c>
      <c r="I1643">
        <v>118</v>
      </c>
      <c r="L1643">
        <v>8.2704604803422992E-3</v>
      </c>
      <c r="M1643">
        <v>1.48138786392718E-2</v>
      </c>
      <c r="N1643">
        <v>1991</v>
      </c>
      <c r="O1643" t="s">
        <v>13</v>
      </c>
      <c r="P1643" t="s">
        <v>340</v>
      </c>
      <c r="Q1643" t="s">
        <v>341</v>
      </c>
      <c r="R1643" t="s">
        <v>342</v>
      </c>
    </row>
    <row r="1644" spans="1:18" x14ac:dyDescent="0.25">
      <c r="A1644" t="s">
        <v>338</v>
      </c>
      <c r="B1644" t="s">
        <v>343</v>
      </c>
      <c r="C1644" t="s">
        <v>12</v>
      </c>
      <c r="D1644">
        <v>1</v>
      </c>
      <c r="E1644">
        <v>84.91</v>
      </c>
      <c r="F1644">
        <v>9.3226405196228199E-2</v>
      </c>
      <c r="G1644">
        <v>825</v>
      </c>
      <c r="H1644">
        <v>0.13323741597901601</v>
      </c>
      <c r="I1644">
        <v>215</v>
      </c>
      <c r="L1644">
        <v>1.1668196857584599E-2</v>
      </c>
      <c r="M1644">
        <v>1.7979200016240399E-2</v>
      </c>
      <c r="N1644">
        <v>1991</v>
      </c>
      <c r="O1644" t="s">
        <v>13</v>
      </c>
      <c r="P1644" t="s">
        <v>340</v>
      </c>
      <c r="Q1644" t="s">
        <v>341</v>
      </c>
      <c r="R1644" t="s">
        <v>342</v>
      </c>
    </row>
    <row r="1645" spans="1:18" x14ac:dyDescent="0.25">
      <c r="A1645" t="s">
        <v>338</v>
      </c>
      <c r="B1645" t="s">
        <v>344</v>
      </c>
      <c r="C1645" t="s">
        <v>12</v>
      </c>
      <c r="D1645">
        <v>2</v>
      </c>
      <c r="E1645">
        <v>19</v>
      </c>
      <c r="F1645">
        <v>0</v>
      </c>
      <c r="G1645">
        <v>259</v>
      </c>
      <c r="H1645">
        <v>1.12338775577066E-3</v>
      </c>
      <c r="I1645">
        <v>236</v>
      </c>
      <c r="L1645">
        <v>4.92235424931943E-3</v>
      </c>
      <c r="M1645">
        <v>0</v>
      </c>
      <c r="N1645">
        <v>2000</v>
      </c>
      <c r="O1645" t="s">
        <v>13</v>
      </c>
      <c r="P1645" t="s">
        <v>340</v>
      </c>
      <c r="Q1645" t="s">
        <v>341</v>
      </c>
      <c r="R1645" t="s">
        <v>342</v>
      </c>
    </row>
    <row r="1646" spans="1:18" x14ac:dyDescent="0.25">
      <c r="A1646" t="s">
        <v>338</v>
      </c>
      <c r="B1646" t="s">
        <v>344</v>
      </c>
      <c r="C1646" t="s">
        <v>12</v>
      </c>
      <c r="D1646">
        <v>2</v>
      </c>
      <c r="E1646">
        <v>25</v>
      </c>
      <c r="F1646">
        <v>4.9019786947309399E-3</v>
      </c>
      <c r="G1646">
        <v>336</v>
      </c>
      <c r="H1646">
        <v>2.4655922361994098E-3</v>
      </c>
      <c r="I1646">
        <v>280</v>
      </c>
      <c r="L1646">
        <v>2.9957345512210501E-4</v>
      </c>
      <c r="M1646">
        <v>7.31726254611765E-3</v>
      </c>
      <c r="N1646">
        <v>2000</v>
      </c>
      <c r="O1646" t="s">
        <v>13</v>
      </c>
      <c r="P1646" t="s">
        <v>340</v>
      </c>
      <c r="Q1646" t="s">
        <v>341</v>
      </c>
      <c r="R1646" t="s">
        <v>342</v>
      </c>
    </row>
    <row r="1647" spans="1:18" x14ac:dyDescent="0.25">
      <c r="A1647" t="s">
        <v>338</v>
      </c>
      <c r="B1647" t="s">
        <v>344</v>
      </c>
      <c r="C1647" t="s">
        <v>12</v>
      </c>
      <c r="D1647">
        <v>2</v>
      </c>
      <c r="E1647">
        <v>35</v>
      </c>
      <c r="F1647">
        <v>1.58719275482944E-2</v>
      </c>
      <c r="G1647">
        <v>359</v>
      </c>
      <c r="H1647">
        <v>2.3772635352814799E-2</v>
      </c>
      <c r="I1647">
        <v>320</v>
      </c>
      <c r="L1647">
        <v>7.6602008014969896E-5</v>
      </c>
      <c r="M1647">
        <v>3.83871665798613E-4</v>
      </c>
      <c r="N1647">
        <v>2000</v>
      </c>
      <c r="O1647" t="s">
        <v>13</v>
      </c>
      <c r="P1647" t="s">
        <v>340</v>
      </c>
      <c r="Q1647" t="s">
        <v>341</v>
      </c>
      <c r="R1647" t="s">
        <v>342</v>
      </c>
    </row>
    <row r="1648" spans="1:18" x14ac:dyDescent="0.25">
      <c r="A1648" t="s">
        <v>338</v>
      </c>
      <c r="B1648" t="s">
        <v>344</v>
      </c>
      <c r="C1648" t="s">
        <v>12</v>
      </c>
      <c r="D1648">
        <v>2</v>
      </c>
      <c r="E1648">
        <v>45</v>
      </c>
      <c r="F1648">
        <v>2.7293107539024499E-2</v>
      </c>
      <c r="G1648">
        <v>398</v>
      </c>
      <c r="H1648">
        <v>1.59653006016847E-2</v>
      </c>
      <c r="I1648">
        <v>331</v>
      </c>
      <c r="L1648">
        <v>1.04571215718902E-4</v>
      </c>
      <c r="M1648">
        <v>1.3260440553773799E-3</v>
      </c>
      <c r="N1648">
        <v>2000</v>
      </c>
      <c r="O1648" t="s">
        <v>13</v>
      </c>
      <c r="P1648" t="s">
        <v>340</v>
      </c>
      <c r="Q1648" t="s">
        <v>341</v>
      </c>
      <c r="R1648" t="s">
        <v>342</v>
      </c>
    </row>
    <row r="1649" spans="1:18" x14ac:dyDescent="0.25">
      <c r="A1649" t="s">
        <v>338</v>
      </c>
      <c r="B1649" t="s">
        <v>344</v>
      </c>
      <c r="C1649" t="s">
        <v>12</v>
      </c>
      <c r="D1649">
        <v>2</v>
      </c>
      <c r="E1649">
        <v>55</v>
      </c>
      <c r="F1649">
        <v>7.3804504762312095E-2</v>
      </c>
      <c r="G1649">
        <v>302</v>
      </c>
      <c r="H1649">
        <v>5.3440991105919398E-2</v>
      </c>
      <c r="I1649">
        <v>256</v>
      </c>
      <c r="L1649">
        <v>8.0946008537386395E-5</v>
      </c>
      <c r="M1649">
        <v>5.1995038418479697E-4</v>
      </c>
      <c r="N1649">
        <v>2000</v>
      </c>
      <c r="O1649" t="s">
        <v>13</v>
      </c>
      <c r="P1649" t="s">
        <v>340</v>
      </c>
      <c r="Q1649" t="s">
        <v>341</v>
      </c>
      <c r="R1649" t="s">
        <v>342</v>
      </c>
    </row>
    <row r="1650" spans="1:18" x14ac:dyDescent="0.25">
      <c r="A1650" t="s">
        <v>338</v>
      </c>
      <c r="B1650" t="s">
        <v>344</v>
      </c>
      <c r="C1650" t="s">
        <v>12</v>
      </c>
      <c r="D1650">
        <v>2</v>
      </c>
      <c r="E1650">
        <v>65</v>
      </c>
      <c r="F1650">
        <v>0.13167258931666301</v>
      </c>
      <c r="G1650">
        <v>409</v>
      </c>
      <c r="H1650">
        <v>5.4684981478500899E-2</v>
      </c>
      <c r="I1650">
        <v>286</v>
      </c>
      <c r="L1650">
        <v>4.9653439148409403E-5</v>
      </c>
      <c r="M1650">
        <v>5.2095822335873501E-4</v>
      </c>
      <c r="N1650">
        <v>2000</v>
      </c>
      <c r="O1650" t="s">
        <v>13</v>
      </c>
      <c r="P1650" t="s">
        <v>340</v>
      </c>
      <c r="Q1650" t="s">
        <v>341</v>
      </c>
      <c r="R1650" t="s">
        <v>342</v>
      </c>
    </row>
    <row r="1651" spans="1:18" x14ac:dyDescent="0.25">
      <c r="A1651" t="s">
        <v>338</v>
      </c>
      <c r="B1651" t="s">
        <v>344</v>
      </c>
      <c r="C1651" t="s">
        <v>12</v>
      </c>
      <c r="D1651">
        <v>2</v>
      </c>
      <c r="E1651">
        <v>75</v>
      </c>
      <c r="F1651">
        <v>0.122668363784846</v>
      </c>
      <c r="G1651">
        <v>288</v>
      </c>
      <c r="H1651">
        <v>6.0642244873269399E-2</v>
      </c>
      <c r="I1651">
        <v>205</v>
      </c>
      <c r="L1651">
        <v>9.3826814124139799E-5</v>
      </c>
      <c r="M1651">
        <v>7.8908956558038405E-4</v>
      </c>
      <c r="N1651">
        <v>2000</v>
      </c>
      <c r="O1651" t="s">
        <v>13</v>
      </c>
      <c r="P1651" t="s">
        <v>340</v>
      </c>
      <c r="Q1651" t="s">
        <v>341</v>
      </c>
      <c r="R1651" t="s">
        <v>342</v>
      </c>
    </row>
    <row r="1652" spans="1:18" x14ac:dyDescent="0.25">
      <c r="A1652" t="s">
        <v>338</v>
      </c>
      <c r="B1652" t="s">
        <v>344</v>
      </c>
      <c r="C1652" t="s">
        <v>12</v>
      </c>
      <c r="D1652">
        <v>2</v>
      </c>
      <c r="E1652">
        <v>84.91</v>
      </c>
      <c r="F1652">
        <v>0.112448924937866</v>
      </c>
      <c r="G1652">
        <v>235</v>
      </c>
      <c r="H1652">
        <v>7.8954057129455898E-2</v>
      </c>
      <c r="I1652">
        <v>141</v>
      </c>
      <c r="L1652">
        <v>8.6054157472728298E-5</v>
      </c>
      <c r="M1652">
        <v>4.6182816588328498E-4</v>
      </c>
      <c r="N1652">
        <v>2000</v>
      </c>
      <c r="O1652" t="s">
        <v>13</v>
      </c>
      <c r="P1652" t="s">
        <v>340</v>
      </c>
      <c r="Q1652" t="s">
        <v>341</v>
      </c>
      <c r="R1652" t="s">
        <v>342</v>
      </c>
    </row>
    <row r="1653" spans="1:18" x14ac:dyDescent="0.25">
      <c r="A1653" t="s">
        <v>338</v>
      </c>
      <c r="B1653" t="s">
        <v>344</v>
      </c>
      <c r="C1653" t="s">
        <v>12</v>
      </c>
      <c r="D1653">
        <v>1</v>
      </c>
      <c r="E1653">
        <v>19</v>
      </c>
      <c r="F1653">
        <v>1.4305798678777501E-3</v>
      </c>
      <c r="G1653">
        <v>280</v>
      </c>
      <c r="H1653">
        <v>1.3620135340572501E-3</v>
      </c>
      <c r="I1653">
        <v>244</v>
      </c>
      <c r="L1653">
        <v>1.4200574929485799E-3</v>
      </c>
      <c r="M1653">
        <v>2.1299334179680999E-2</v>
      </c>
      <c r="N1653">
        <v>2000</v>
      </c>
      <c r="O1653" t="s">
        <v>13</v>
      </c>
      <c r="P1653" t="s">
        <v>340</v>
      </c>
      <c r="Q1653" t="s">
        <v>341</v>
      </c>
      <c r="R1653" t="s">
        <v>342</v>
      </c>
    </row>
    <row r="1654" spans="1:18" x14ac:dyDescent="0.25">
      <c r="A1654" t="s">
        <v>338</v>
      </c>
      <c r="B1654" t="s">
        <v>344</v>
      </c>
      <c r="C1654" t="s">
        <v>12</v>
      </c>
      <c r="D1654">
        <v>1</v>
      </c>
      <c r="E1654">
        <v>25</v>
      </c>
      <c r="F1654">
        <v>0</v>
      </c>
      <c r="G1654">
        <v>353</v>
      </c>
      <c r="H1654">
        <v>9.0416801298425706E-3</v>
      </c>
      <c r="I1654">
        <v>309</v>
      </c>
      <c r="L1654">
        <v>3.8240495263652699E-4</v>
      </c>
      <c r="M1654">
        <v>0</v>
      </c>
      <c r="N1654">
        <v>2000</v>
      </c>
      <c r="O1654" t="s">
        <v>13</v>
      </c>
      <c r="P1654" t="s">
        <v>340</v>
      </c>
      <c r="Q1654" t="s">
        <v>341</v>
      </c>
      <c r="R1654" t="s">
        <v>342</v>
      </c>
    </row>
    <row r="1655" spans="1:18" x14ac:dyDescent="0.25">
      <c r="A1655" t="s">
        <v>338</v>
      </c>
      <c r="B1655" t="s">
        <v>344</v>
      </c>
      <c r="C1655" t="s">
        <v>12</v>
      </c>
      <c r="D1655">
        <v>1</v>
      </c>
      <c r="E1655">
        <v>35</v>
      </c>
      <c r="F1655">
        <v>1.3941075623608501E-2</v>
      </c>
      <c r="G1655">
        <v>370</v>
      </c>
      <c r="H1655">
        <v>1.43975239431692E-2</v>
      </c>
      <c r="I1655">
        <v>320</v>
      </c>
      <c r="L1655">
        <v>3.6402702174658799E-4</v>
      </c>
      <c r="M1655">
        <v>2.8573325162679899E-3</v>
      </c>
      <c r="N1655">
        <v>2000</v>
      </c>
      <c r="O1655" t="s">
        <v>13</v>
      </c>
      <c r="P1655" t="s">
        <v>340</v>
      </c>
      <c r="Q1655" t="s">
        <v>341</v>
      </c>
      <c r="R1655" t="s">
        <v>342</v>
      </c>
    </row>
    <row r="1656" spans="1:18" x14ac:dyDescent="0.25">
      <c r="A1656" t="s">
        <v>338</v>
      </c>
      <c r="B1656" t="s">
        <v>344</v>
      </c>
      <c r="C1656" t="s">
        <v>12</v>
      </c>
      <c r="D1656">
        <v>1</v>
      </c>
      <c r="E1656">
        <v>45</v>
      </c>
      <c r="F1656">
        <v>3.98887388285342E-2</v>
      </c>
      <c r="G1656">
        <v>363</v>
      </c>
      <c r="H1656">
        <v>4.7621215241830703E-2</v>
      </c>
      <c r="I1656">
        <v>312</v>
      </c>
      <c r="L1656">
        <v>7.2277752224422995E-5</v>
      </c>
      <c r="M1656">
        <v>3.26550475691579E-4</v>
      </c>
      <c r="N1656">
        <v>2000</v>
      </c>
      <c r="O1656" t="s">
        <v>13</v>
      </c>
      <c r="P1656" t="s">
        <v>340</v>
      </c>
      <c r="Q1656" t="s">
        <v>341</v>
      </c>
      <c r="R1656" t="s">
        <v>342</v>
      </c>
    </row>
    <row r="1657" spans="1:18" x14ac:dyDescent="0.25">
      <c r="A1657" t="s">
        <v>338</v>
      </c>
      <c r="B1657" t="s">
        <v>344</v>
      </c>
      <c r="C1657" t="s">
        <v>12</v>
      </c>
      <c r="D1657">
        <v>1</v>
      </c>
      <c r="E1657">
        <v>55</v>
      </c>
      <c r="F1657">
        <v>4.5226638750678901E-2</v>
      </c>
      <c r="G1657">
        <v>283</v>
      </c>
      <c r="H1657">
        <v>9.1797218526632002E-2</v>
      </c>
      <c r="I1657">
        <v>228</v>
      </c>
      <c r="L1657">
        <v>6.6770620410533805E-5</v>
      </c>
      <c r="M1657">
        <v>1.4879582089613201E-4</v>
      </c>
      <c r="N1657">
        <v>2000</v>
      </c>
      <c r="O1657" t="s">
        <v>13</v>
      </c>
      <c r="P1657" t="s">
        <v>340</v>
      </c>
      <c r="Q1657" t="s">
        <v>341</v>
      </c>
      <c r="R1657" t="s">
        <v>342</v>
      </c>
    </row>
    <row r="1658" spans="1:18" x14ac:dyDescent="0.25">
      <c r="A1658" t="s">
        <v>338</v>
      </c>
      <c r="B1658" t="s">
        <v>344</v>
      </c>
      <c r="C1658" t="s">
        <v>12</v>
      </c>
      <c r="D1658">
        <v>1</v>
      </c>
      <c r="E1658">
        <v>65</v>
      </c>
      <c r="F1658">
        <v>0.160750536486963</v>
      </c>
      <c r="G1658">
        <v>408</v>
      </c>
      <c r="H1658">
        <v>8.5844588744700703E-2</v>
      </c>
      <c r="I1658">
        <v>294</v>
      </c>
      <c r="L1658">
        <v>7.4092705563610502E-5</v>
      </c>
      <c r="M1658">
        <v>4.79892642494537E-4</v>
      </c>
      <c r="N1658">
        <v>2000</v>
      </c>
      <c r="O1658" t="s">
        <v>13</v>
      </c>
      <c r="P1658" t="s">
        <v>340</v>
      </c>
      <c r="Q1658" t="s">
        <v>341</v>
      </c>
      <c r="R1658" t="s">
        <v>342</v>
      </c>
    </row>
    <row r="1659" spans="1:18" x14ac:dyDescent="0.25">
      <c r="A1659" t="s">
        <v>338</v>
      </c>
      <c r="B1659" t="s">
        <v>344</v>
      </c>
      <c r="C1659" t="s">
        <v>12</v>
      </c>
      <c r="D1659">
        <v>1</v>
      </c>
      <c r="E1659">
        <v>75</v>
      </c>
      <c r="F1659">
        <v>0.14262186406794999</v>
      </c>
      <c r="G1659">
        <v>302</v>
      </c>
      <c r="H1659">
        <v>9.9346653822076303E-2</v>
      </c>
      <c r="I1659">
        <v>203</v>
      </c>
      <c r="L1659">
        <v>8.8272138856689599E-5</v>
      </c>
      <c r="M1659">
        <v>4.1555686472964301E-4</v>
      </c>
      <c r="N1659">
        <v>2000</v>
      </c>
      <c r="O1659" t="s">
        <v>13</v>
      </c>
      <c r="P1659" t="s">
        <v>340</v>
      </c>
      <c r="Q1659" t="s">
        <v>341</v>
      </c>
      <c r="R1659" t="s">
        <v>342</v>
      </c>
    </row>
    <row r="1660" spans="1:18" x14ac:dyDescent="0.25">
      <c r="A1660" t="s">
        <v>338</v>
      </c>
      <c r="B1660" t="s">
        <v>344</v>
      </c>
      <c r="C1660" t="s">
        <v>12</v>
      </c>
      <c r="D1660">
        <v>1</v>
      </c>
      <c r="E1660">
        <v>84.91</v>
      </c>
      <c r="F1660">
        <v>8.0823445304812502E-2</v>
      </c>
      <c r="G1660">
        <v>187</v>
      </c>
      <c r="H1660">
        <v>7.25065143317737E-2</v>
      </c>
      <c r="I1660">
        <v>131</v>
      </c>
      <c r="L1660">
        <v>2.8200556178416503E-4</v>
      </c>
      <c r="M1660">
        <v>1.28298403797683E-3</v>
      </c>
      <c r="N1660">
        <v>2000</v>
      </c>
      <c r="O1660" t="s">
        <v>13</v>
      </c>
      <c r="P1660" t="s">
        <v>340</v>
      </c>
      <c r="Q1660" t="s">
        <v>341</v>
      </c>
      <c r="R1660" t="s">
        <v>342</v>
      </c>
    </row>
    <row r="1661" spans="1:18" x14ac:dyDescent="0.25">
      <c r="A1661" t="s">
        <v>338</v>
      </c>
      <c r="B1661" t="s">
        <v>345</v>
      </c>
      <c r="C1661" t="s">
        <v>12</v>
      </c>
      <c r="D1661">
        <v>2</v>
      </c>
      <c r="E1661">
        <v>19</v>
      </c>
      <c r="F1661">
        <v>1.30287478346361E-2</v>
      </c>
      <c r="G1661">
        <v>243</v>
      </c>
      <c r="H1661">
        <v>3.7602238213570501E-3</v>
      </c>
      <c r="I1661">
        <v>217</v>
      </c>
      <c r="L1661">
        <v>1.21746639457141E-4</v>
      </c>
      <c r="M1661">
        <v>5.0202512909335497E-3</v>
      </c>
      <c r="N1661">
        <v>2002</v>
      </c>
      <c r="O1661" t="s">
        <v>13</v>
      </c>
      <c r="P1661" t="s">
        <v>340</v>
      </c>
      <c r="Q1661" t="s">
        <v>341</v>
      </c>
      <c r="R1661" t="s">
        <v>342</v>
      </c>
    </row>
    <row r="1662" spans="1:18" x14ac:dyDescent="0.25">
      <c r="A1662" t="s">
        <v>338</v>
      </c>
      <c r="B1662" t="s">
        <v>345</v>
      </c>
      <c r="C1662" t="s">
        <v>12</v>
      </c>
      <c r="D1662">
        <v>2</v>
      </c>
      <c r="E1662">
        <v>25</v>
      </c>
      <c r="F1662">
        <v>9.8332480079823901E-3</v>
      </c>
      <c r="G1662">
        <v>394</v>
      </c>
      <c r="H1662">
        <v>8.3294642553276808E-3</v>
      </c>
      <c r="I1662">
        <v>352</v>
      </c>
      <c r="L1662">
        <v>1.9626236595051501E-4</v>
      </c>
      <c r="M1662">
        <v>2.1921834389434301E-3</v>
      </c>
      <c r="N1662">
        <v>2002</v>
      </c>
      <c r="O1662" t="s">
        <v>13</v>
      </c>
      <c r="P1662" t="s">
        <v>340</v>
      </c>
      <c r="Q1662" t="s">
        <v>341</v>
      </c>
      <c r="R1662" t="s">
        <v>342</v>
      </c>
    </row>
    <row r="1663" spans="1:18" x14ac:dyDescent="0.25">
      <c r="A1663" t="s">
        <v>338</v>
      </c>
      <c r="B1663" t="s">
        <v>345</v>
      </c>
      <c r="C1663" t="s">
        <v>12</v>
      </c>
      <c r="D1663">
        <v>2</v>
      </c>
      <c r="E1663">
        <v>35</v>
      </c>
      <c r="F1663">
        <v>2.77862895512304E-2</v>
      </c>
      <c r="G1663">
        <v>397</v>
      </c>
      <c r="H1663">
        <v>1.0246715457218499E-2</v>
      </c>
      <c r="I1663">
        <v>354</v>
      </c>
      <c r="L1663">
        <v>9.8836794564429104E-5</v>
      </c>
      <c r="M1663">
        <v>2.3306200965515899E-3</v>
      </c>
      <c r="N1663">
        <v>2002</v>
      </c>
      <c r="O1663" t="s">
        <v>13</v>
      </c>
      <c r="P1663" t="s">
        <v>340</v>
      </c>
      <c r="Q1663" t="s">
        <v>341</v>
      </c>
      <c r="R1663" t="s">
        <v>342</v>
      </c>
    </row>
    <row r="1664" spans="1:18" x14ac:dyDescent="0.25">
      <c r="A1664" t="s">
        <v>338</v>
      </c>
      <c r="B1664" t="s">
        <v>345</v>
      </c>
      <c r="C1664" t="s">
        <v>12</v>
      </c>
      <c r="D1664">
        <v>2</v>
      </c>
      <c r="E1664">
        <v>45</v>
      </c>
      <c r="F1664">
        <v>2.9764791772063901E-2</v>
      </c>
      <c r="G1664">
        <v>454</v>
      </c>
      <c r="H1664">
        <v>2.9806266533399999E-2</v>
      </c>
      <c r="I1664">
        <v>393</v>
      </c>
      <c r="L1664">
        <v>1.8573515877374599E-4</v>
      </c>
      <c r="M1664">
        <v>1.17896748012963E-3</v>
      </c>
      <c r="N1664">
        <v>2002</v>
      </c>
      <c r="O1664" t="s">
        <v>13</v>
      </c>
      <c r="P1664" t="s">
        <v>340</v>
      </c>
      <c r="Q1664" t="s">
        <v>341</v>
      </c>
      <c r="R1664" t="s">
        <v>342</v>
      </c>
    </row>
    <row r="1665" spans="1:18" x14ac:dyDescent="0.25">
      <c r="A1665" t="s">
        <v>338</v>
      </c>
      <c r="B1665" t="s">
        <v>345</v>
      </c>
      <c r="C1665" t="s">
        <v>12</v>
      </c>
      <c r="D1665">
        <v>2</v>
      </c>
      <c r="E1665">
        <v>55</v>
      </c>
      <c r="F1665">
        <v>7.26366363458118E-2</v>
      </c>
      <c r="G1665">
        <v>332</v>
      </c>
      <c r="H1665">
        <v>2.1801997688974499E-2</v>
      </c>
      <c r="I1665">
        <v>273</v>
      </c>
      <c r="L1665">
        <v>1.0749635338390299E-4</v>
      </c>
      <c r="M1665">
        <v>2.3754865911966602E-3</v>
      </c>
      <c r="N1665">
        <v>2002</v>
      </c>
      <c r="O1665" t="s">
        <v>13</v>
      </c>
      <c r="P1665" t="s">
        <v>340</v>
      </c>
      <c r="Q1665" t="s">
        <v>341</v>
      </c>
      <c r="R1665" t="s">
        <v>342</v>
      </c>
    </row>
    <row r="1666" spans="1:18" x14ac:dyDescent="0.25">
      <c r="A1666" t="s">
        <v>338</v>
      </c>
      <c r="B1666" t="s">
        <v>345</v>
      </c>
      <c r="C1666" t="s">
        <v>12</v>
      </c>
      <c r="D1666">
        <v>2</v>
      </c>
      <c r="E1666">
        <v>65</v>
      </c>
      <c r="F1666">
        <v>0.102640395231925</v>
      </c>
      <c r="G1666">
        <v>382</v>
      </c>
      <c r="H1666">
        <v>8.3489795174423106E-2</v>
      </c>
      <c r="I1666">
        <v>298</v>
      </c>
      <c r="L1666">
        <v>1.18826695130802E-4</v>
      </c>
      <c r="M1666">
        <v>5.5013760813850095E-4</v>
      </c>
      <c r="N1666">
        <v>2002</v>
      </c>
      <c r="O1666" t="s">
        <v>13</v>
      </c>
      <c r="P1666" t="s">
        <v>340</v>
      </c>
      <c r="Q1666" t="s">
        <v>341</v>
      </c>
      <c r="R1666" t="s">
        <v>342</v>
      </c>
    </row>
    <row r="1667" spans="1:18" x14ac:dyDescent="0.25">
      <c r="A1667" t="s">
        <v>338</v>
      </c>
      <c r="B1667" t="s">
        <v>345</v>
      </c>
      <c r="C1667" t="s">
        <v>12</v>
      </c>
      <c r="D1667">
        <v>2</v>
      </c>
      <c r="E1667">
        <v>75</v>
      </c>
      <c r="F1667">
        <v>0.13513784768581799</v>
      </c>
      <c r="G1667">
        <v>289</v>
      </c>
      <c r="H1667">
        <v>6.6652233457391505E-2</v>
      </c>
      <c r="I1667">
        <v>209</v>
      </c>
      <c r="L1667">
        <v>8.8885028878790906E-5</v>
      </c>
      <c r="M1667">
        <v>7.1937103561335396E-4</v>
      </c>
      <c r="N1667">
        <v>2002</v>
      </c>
      <c r="O1667" t="s">
        <v>13</v>
      </c>
      <c r="P1667" t="s">
        <v>340</v>
      </c>
      <c r="Q1667" t="s">
        <v>341</v>
      </c>
      <c r="R1667" t="s">
        <v>342</v>
      </c>
    </row>
    <row r="1668" spans="1:18" x14ac:dyDescent="0.25">
      <c r="A1668" t="s">
        <v>338</v>
      </c>
      <c r="B1668" t="s">
        <v>345</v>
      </c>
      <c r="C1668" t="s">
        <v>12</v>
      </c>
      <c r="D1668">
        <v>2</v>
      </c>
      <c r="E1668">
        <v>84.91</v>
      </c>
      <c r="F1668">
        <v>0.125944233529316</v>
      </c>
      <c r="G1668">
        <v>309</v>
      </c>
      <c r="H1668">
        <v>0.11343315153614</v>
      </c>
      <c r="I1668">
        <v>178</v>
      </c>
      <c r="L1668">
        <v>7.3072051964553694E-5</v>
      </c>
      <c r="M1668">
        <v>2.5836380152317401E-4</v>
      </c>
      <c r="N1668">
        <v>2002</v>
      </c>
      <c r="O1668" t="s">
        <v>13</v>
      </c>
      <c r="P1668" t="s">
        <v>340</v>
      </c>
      <c r="Q1668" t="s">
        <v>341</v>
      </c>
      <c r="R1668" t="s">
        <v>342</v>
      </c>
    </row>
    <row r="1669" spans="1:18" x14ac:dyDescent="0.25">
      <c r="A1669" t="s">
        <v>338</v>
      </c>
      <c r="B1669" t="s">
        <v>345</v>
      </c>
      <c r="C1669" t="s">
        <v>12</v>
      </c>
      <c r="D1669">
        <v>1</v>
      </c>
      <c r="E1669">
        <v>19</v>
      </c>
      <c r="F1669">
        <v>1.36165475904465E-3</v>
      </c>
      <c r="G1669">
        <v>309</v>
      </c>
      <c r="H1669">
        <v>5.48950060234443E-3</v>
      </c>
      <c r="I1669">
        <v>280</v>
      </c>
      <c r="L1669">
        <v>6.7844239572731899E-4</v>
      </c>
      <c r="M1669">
        <v>2.654168871673E-3</v>
      </c>
      <c r="N1669">
        <v>2002</v>
      </c>
      <c r="O1669" t="s">
        <v>13</v>
      </c>
      <c r="P1669" t="s">
        <v>340</v>
      </c>
      <c r="Q1669" t="s">
        <v>341</v>
      </c>
      <c r="R1669" t="s">
        <v>342</v>
      </c>
    </row>
    <row r="1670" spans="1:18" x14ac:dyDescent="0.25">
      <c r="A1670" t="s">
        <v>338</v>
      </c>
      <c r="B1670" t="s">
        <v>345</v>
      </c>
      <c r="C1670" t="s">
        <v>12</v>
      </c>
      <c r="D1670">
        <v>1</v>
      </c>
      <c r="E1670">
        <v>25</v>
      </c>
      <c r="F1670">
        <v>3.1322836103657302E-3</v>
      </c>
      <c r="G1670">
        <v>422</v>
      </c>
      <c r="H1670">
        <v>1.39476836778556E-2</v>
      </c>
      <c r="I1670">
        <v>372</v>
      </c>
      <c r="L1670">
        <v>2.6952280469533002E-4</v>
      </c>
      <c r="M1670">
        <v>7.8442126468575399E-4</v>
      </c>
      <c r="N1670">
        <v>2002</v>
      </c>
      <c r="O1670" t="s">
        <v>13</v>
      </c>
      <c r="P1670" t="s">
        <v>340</v>
      </c>
      <c r="Q1670" t="s">
        <v>341</v>
      </c>
      <c r="R1670" t="s">
        <v>342</v>
      </c>
    </row>
    <row r="1671" spans="1:18" x14ac:dyDescent="0.25">
      <c r="A1671" t="s">
        <v>338</v>
      </c>
      <c r="B1671" t="s">
        <v>345</v>
      </c>
      <c r="C1671" t="s">
        <v>12</v>
      </c>
      <c r="D1671">
        <v>1</v>
      </c>
      <c r="E1671">
        <v>35</v>
      </c>
      <c r="F1671">
        <v>2.4091790789996698E-2</v>
      </c>
      <c r="G1671">
        <v>395</v>
      </c>
      <c r="H1671">
        <v>1.33363683545975E-2</v>
      </c>
      <c r="I1671">
        <v>346</v>
      </c>
      <c r="L1671">
        <v>2.9857744290666101E-4</v>
      </c>
      <c r="M1671">
        <v>4.2794943417101602E-3</v>
      </c>
      <c r="N1671">
        <v>2002</v>
      </c>
      <c r="O1671" t="s">
        <v>13</v>
      </c>
      <c r="P1671" t="s">
        <v>340</v>
      </c>
      <c r="Q1671" t="s">
        <v>341</v>
      </c>
      <c r="R1671" t="s">
        <v>342</v>
      </c>
    </row>
    <row r="1672" spans="1:18" x14ac:dyDescent="0.25">
      <c r="A1672" t="s">
        <v>338</v>
      </c>
      <c r="B1672" t="s">
        <v>345</v>
      </c>
      <c r="C1672" t="s">
        <v>12</v>
      </c>
      <c r="D1672">
        <v>1</v>
      </c>
      <c r="E1672">
        <v>45</v>
      </c>
      <c r="F1672">
        <v>4.7249059550183901E-2</v>
      </c>
      <c r="G1672">
        <v>468</v>
      </c>
      <c r="H1672">
        <v>5.8774980672014102E-2</v>
      </c>
      <c r="I1672">
        <v>418</v>
      </c>
      <c r="L1672">
        <v>8.4669604393455299E-5</v>
      </c>
      <c r="M1672">
        <v>3.3787349379317598E-4</v>
      </c>
      <c r="N1672">
        <v>2002</v>
      </c>
      <c r="O1672" t="s">
        <v>13</v>
      </c>
      <c r="P1672" t="s">
        <v>340</v>
      </c>
      <c r="Q1672" t="s">
        <v>341</v>
      </c>
      <c r="R1672" t="s">
        <v>342</v>
      </c>
    </row>
    <row r="1673" spans="1:18" x14ac:dyDescent="0.25">
      <c r="A1673" t="s">
        <v>338</v>
      </c>
      <c r="B1673" t="s">
        <v>345</v>
      </c>
      <c r="C1673" t="s">
        <v>12</v>
      </c>
      <c r="D1673">
        <v>1</v>
      </c>
      <c r="E1673">
        <v>55</v>
      </c>
      <c r="F1673">
        <v>9.16671843753952E-2</v>
      </c>
      <c r="G1673">
        <v>359</v>
      </c>
      <c r="H1673">
        <v>6.2528494002156099E-2</v>
      </c>
      <c r="I1673">
        <v>300</v>
      </c>
      <c r="L1673">
        <v>1.4033763541195001E-4</v>
      </c>
      <c r="M1673">
        <v>8.8164267729260804E-4</v>
      </c>
      <c r="N1673">
        <v>2002</v>
      </c>
      <c r="O1673" t="s">
        <v>13</v>
      </c>
      <c r="P1673" t="s">
        <v>340</v>
      </c>
      <c r="Q1673" t="s">
        <v>341</v>
      </c>
      <c r="R1673" t="s">
        <v>342</v>
      </c>
    </row>
    <row r="1674" spans="1:18" x14ac:dyDescent="0.25">
      <c r="A1674" t="s">
        <v>338</v>
      </c>
      <c r="B1674" t="s">
        <v>345</v>
      </c>
      <c r="C1674" t="s">
        <v>12</v>
      </c>
      <c r="D1674">
        <v>1</v>
      </c>
      <c r="E1674">
        <v>65</v>
      </c>
      <c r="F1674">
        <v>0.154814624336339</v>
      </c>
      <c r="G1674">
        <v>357</v>
      </c>
      <c r="H1674">
        <v>0.120692236036909</v>
      </c>
      <c r="I1674">
        <v>258</v>
      </c>
      <c r="L1674">
        <v>6.5628533887620801E-5</v>
      </c>
      <c r="M1674">
        <v>2.5011157145556399E-4</v>
      </c>
      <c r="N1674">
        <v>2002</v>
      </c>
      <c r="O1674" t="s">
        <v>13</v>
      </c>
      <c r="P1674" t="s">
        <v>340</v>
      </c>
      <c r="Q1674" t="s">
        <v>341</v>
      </c>
      <c r="R1674" t="s">
        <v>342</v>
      </c>
    </row>
    <row r="1675" spans="1:18" x14ac:dyDescent="0.25">
      <c r="A1675" t="s">
        <v>338</v>
      </c>
      <c r="B1675" t="s">
        <v>345</v>
      </c>
      <c r="C1675" t="s">
        <v>12</v>
      </c>
      <c r="D1675">
        <v>1</v>
      </c>
      <c r="E1675">
        <v>75</v>
      </c>
      <c r="F1675">
        <v>0.136910103773148</v>
      </c>
      <c r="G1675">
        <v>301</v>
      </c>
      <c r="H1675">
        <v>0.11768761647817499</v>
      </c>
      <c r="I1675">
        <v>226</v>
      </c>
      <c r="L1675">
        <v>1.9316613378416001E-4</v>
      </c>
      <c r="M1675">
        <v>6.8950210929635705E-4</v>
      </c>
      <c r="N1675">
        <v>2002</v>
      </c>
      <c r="O1675" t="s">
        <v>13</v>
      </c>
      <c r="P1675" t="s">
        <v>340</v>
      </c>
      <c r="Q1675" t="s">
        <v>341</v>
      </c>
      <c r="R1675" t="s">
        <v>342</v>
      </c>
    </row>
    <row r="1676" spans="1:18" x14ac:dyDescent="0.25">
      <c r="A1676" t="s">
        <v>338</v>
      </c>
      <c r="B1676" t="s">
        <v>345</v>
      </c>
      <c r="C1676" t="s">
        <v>12</v>
      </c>
      <c r="D1676">
        <v>1</v>
      </c>
      <c r="E1676">
        <v>84.91</v>
      </c>
      <c r="F1676">
        <v>0.116389996671424</v>
      </c>
      <c r="G1676">
        <v>233</v>
      </c>
      <c r="H1676">
        <v>0.109920338046033</v>
      </c>
      <c r="I1676">
        <v>147</v>
      </c>
      <c r="L1676">
        <v>1.5458012631372399E-4</v>
      </c>
      <c r="M1676">
        <v>5.3686933829412095E-4</v>
      </c>
      <c r="N1676">
        <v>2002</v>
      </c>
      <c r="O1676" t="s">
        <v>13</v>
      </c>
      <c r="P1676" t="s">
        <v>340</v>
      </c>
      <c r="Q1676" t="s">
        <v>341</v>
      </c>
      <c r="R1676" t="s">
        <v>342</v>
      </c>
    </row>
    <row r="1677" spans="1:18" x14ac:dyDescent="0.25">
      <c r="A1677" t="s">
        <v>338</v>
      </c>
      <c r="B1677" t="s">
        <v>346</v>
      </c>
      <c r="C1677" t="s">
        <v>12</v>
      </c>
      <c r="D1677">
        <v>2</v>
      </c>
      <c r="E1677">
        <v>19</v>
      </c>
      <c r="F1677">
        <v>1.6506176654828E-3</v>
      </c>
      <c r="G1677">
        <v>265</v>
      </c>
      <c r="H1677">
        <v>4.3643259700190404E-3</v>
      </c>
      <c r="I1677">
        <v>243</v>
      </c>
      <c r="L1677">
        <v>4.0502659489027502E-4</v>
      </c>
      <c r="M1677">
        <v>2.1743820490635201E-3</v>
      </c>
      <c r="N1677">
        <v>2004</v>
      </c>
      <c r="O1677" t="s">
        <v>13</v>
      </c>
      <c r="P1677" t="s">
        <v>340</v>
      </c>
      <c r="Q1677" t="s">
        <v>341</v>
      </c>
      <c r="R1677" t="s">
        <v>342</v>
      </c>
    </row>
    <row r="1678" spans="1:18" x14ac:dyDescent="0.25">
      <c r="A1678" t="s">
        <v>338</v>
      </c>
      <c r="B1678" t="s">
        <v>346</v>
      </c>
      <c r="C1678" t="s">
        <v>12</v>
      </c>
      <c r="D1678">
        <v>2</v>
      </c>
      <c r="E1678">
        <v>25</v>
      </c>
      <c r="F1678">
        <v>8.3603029560204503E-3</v>
      </c>
      <c r="G1678">
        <v>346</v>
      </c>
      <c r="H1678">
        <v>9.9851361497746306E-3</v>
      </c>
      <c r="I1678">
        <v>310</v>
      </c>
      <c r="L1678">
        <v>9.6206129912999595E-5</v>
      </c>
      <c r="M1678">
        <v>7.6059998951150804E-4</v>
      </c>
      <c r="N1678">
        <v>2004</v>
      </c>
      <c r="O1678" t="s">
        <v>13</v>
      </c>
      <c r="P1678" t="s">
        <v>340</v>
      </c>
      <c r="Q1678" t="s">
        <v>341</v>
      </c>
      <c r="R1678" t="s">
        <v>342</v>
      </c>
    </row>
    <row r="1679" spans="1:18" x14ac:dyDescent="0.25">
      <c r="A1679" t="s">
        <v>338</v>
      </c>
      <c r="B1679" t="s">
        <v>346</v>
      </c>
      <c r="C1679" t="s">
        <v>12</v>
      </c>
      <c r="D1679">
        <v>2</v>
      </c>
      <c r="E1679">
        <v>35</v>
      </c>
      <c r="F1679">
        <v>1.36786365523437E-2</v>
      </c>
      <c r="G1679">
        <v>355</v>
      </c>
      <c r="H1679">
        <v>1.4614808225789E-2</v>
      </c>
      <c r="I1679">
        <v>315</v>
      </c>
      <c r="L1679">
        <v>9.0220814770013095E-5</v>
      </c>
      <c r="M1679">
        <v>6.9825328147201196E-4</v>
      </c>
      <c r="N1679">
        <v>2004</v>
      </c>
      <c r="O1679" t="s">
        <v>13</v>
      </c>
      <c r="P1679" t="s">
        <v>340</v>
      </c>
      <c r="Q1679" t="s">
        <v>341</v>
      </c>
      <c r="R1679" t="s">
        <v>342</v>
      </c>
    </row>
    <row r="1680" spans="1:18" x14ac:dyDescent="0.25">
      <c r="A1680" t="s">
        <v>338</v>
      </c>
      <c r="B1680" t="s">
        <v>346</v>
      </c>
      <c r="C1680" t="s">
        <v>12</v>
      </c>
      <c r="D1680">
        <v>2</v>
      </c>
      <c r="E1680">
        <v>45</v>
      </c>
      <c r="F1680">
        <v>3.9457444646095297E-2</v>
      </c>
      <c r="G1680">
        <v>395</v>
      </c>
      <c r="H1680">
        <v>2.5486240372709301E-2</v>
      </c>
      <c r="I1680">
        <v>348</v>
      </c>
      <c r="L1680">
        <v>6.5298411827234502E-5</v>
      </c>
      <c r="M1680">
        <v>6.4465522898640801E-4</v>
      </c>
      <c r="N1680">
        <v>2004</v>
      </c>
      <c r="O1680" t="s">
        <v>13</v>
      </c>
      <c r="P1680" t="s">
        <v>340</v>
      </c>
      <c r="Q1680" t="s">
        <v>341</v>
      </c>
      <c r="R1680" t="s">
        <v>342</v>
      </c>
    </row>
    <row r="1681" spans="1:18" x14ac:dyDescent="0.25">
      <c r="A1681" t="s">
        <v>338</v>
      </c>
      <c r="B1681" t="s">
        <v>346</v>
      </c>
      <c r="C1681" t="s">
        <v>12</v>
      </c>
      <c r="D1681">
        <v>2</v>
      </c>
      <c r="E1681">
        <v>55</v>
      </c>
      <c r="F1681">
        <v>0.115076191487262</v>
      </c>
      <c r="G1681">
        <v>314</v>
      </c>
      <c r="H1681">
        <v>5.89640178471494E-2</v>
      </c>
      <c r="I1681">
        <v>247</v>
      </c>
      <c r="L1681">
        <v>5.0204153452921501E-5</v>
      </c>
      <c r="M1681">
        <v>4.2014721179944501E-4</v>
      </c>
      <c r="N1681">
        <v>2004</v>
      </c>
      <c r="O1681" t="s">
        <v>13</v>
      </c>
      <c r="P1681" t="s">
        <v>340</v>
      </c>
      <c r="Q1681" t="s">
        <v>341</v>
      </c>
      <c r="R1681" t="s">
        <v>342</v>
      </c>
    </row>
    <row r="1682" spans="1:18" x14ac:dyDescent="0.25">
      <c r="A1682" t="s">
        <v>338</v>
      </c>
      <c r="B1682" t="s">
        <v>346</v>
      </c>
      <c r="C1682" t="s">
        <v>12</v>
      </c>
      <c r="D1682">
        <v>2</v>
      </c>
      <c r="E1682">
        <v>65</v>
      </c>
      <c r="F1682">
        <v>0.12841122736892999</v>
      </c>
      <c r="G1682">
        <v>398</v>
      </c>
      <c r="H1682">
        <v>5.39973826305295E-2</v>
      </c>
      <c r="I1682">
        <v>300</v>
      </c>
      <c r="L1682">
        <v>6.4799632519230393E-5</v>
      </c>
      <c r="M1682">
        <v>6.8116405009909496E-4</v>
      </c>
      <c r="N1682">
        <v>2004</v>
      </c>
      <c r="O1682" t="s">
        <v>13</v>
      </c>
      <c r="P1682" t="s">
        <v>340</v>
      </c>
      <c r="Q1682" t="s">
        <v>341</v>
      </c>
      <c r="R1682" t="s">
        <v>342</v>
      </c>
    </row>
    <row r="1683" spans="1:18" x14ac:dyDescent="0.25">
      <c r="A1683" t="s">
        <v>338</v>
      </c>
      <c r="B1683" t="s">
        <v>346</v>
      </c>
      <c r="C1683" t="s">
        <v>12</v>
      </c>
      <c r="D1683">
        <v>2</v>
      </c>
      <c r="E1683">
        <v>75</v>
      </c>
      <c r="F1683">
        <v>0.175055101415409</v>
      </c>
      <c r="G1683">
        <v>284</v>
      </c>
      <c r="H1683">
        <v>7.2146848057524096E-2</v>
      </c>
      <c r="I1683">
        <v>198</v>
      </c>
      <c r="L1683">
        <v>9.3840723127107804E-5</v>
      </c>
      <c r="M1683">
        <v>8.5698865424933704E-4</v>
      </c>
      <c r="N1683">
        <v>2004</v>
      </c>
      <c r="O1683" t="s">
        <v>13</v>
      </c>
      <c r="P1683" t="s">
        <v>340</v>
      </c>
      <c r="Q1683" t="s">
        <v>341</v>
      </c>
      <c r="R1683" t="s">
        <v>342</v>
      </c>
    </row>
    <row r="1684" spans="1:18" x14ac:dyDescent="0.25">
      <c r="A1684" t="s">
        <v>338</v>
      </c>
      <c r="B1684" t="s">
        <v>346</v>
      </c>
      <c r="C1684" t="s">
        <v>12</v>
      </c>
      <c r="D1684">
        <v>2</v>
      </c>
      <c r="E1684">
        <v>84.91</v>
      </c>
      <c r="F1684">
        <v>9.3673327800534598E-2</v>
      </c>
      <c r="G1684">
        <v>297</v>
      </c>
      <c r="H1684">
        <v>7.4089293334447304E-2</v>
      </c>
      <c r="I1684">
        <v>219</v>
      </c>
      <c r="L1684">
        <v>1.5113990156714701E-4</v>
      </c>
      <c r="M1684">
        <v>7.6375718832506398E-4</v>
      </c>
      <c r="N1684">
        <v>2004</v>
      </c>
      <c r="O1684" t="s">
        <v>13</v>
      </c>
      <c r="P1684" t="s">
        <v>340</v>
      </c>
      <c r="Q1684" t="s">
        <v>341</v>
      </c>
      <c r="R1684" t="s">
        <v>342</v>
      </c>
    </row>
    <row r="1685" spans="1:18" x14ac:dyDescent="0.25">
      <c r="A1685" t="s">
        <v>338</v>
      </c>
      <c r="B1685" t="s">
        <v>346</v>
      </c>
      <c r="C1685" t="s">
        <v>12</v>
      </c>
      <c r="D1685">
        <v>1</v>
      </c>
      <c r="E1685">
        <v>19</v>
      </c>
      <c r="F1685">
        <v>9.0791761294831304E-3</v>
      </c>
      <c r="G1685">
        <v>278</v>
      </c>
      <c r="H1685">
        <v>2.0122007449254798E-3</v>
      </c>
      <c r="I1685">
        <v>252</v>
      </c>
      <c r="L1685">
        <v>2.15070020394401E-4</v>
      </c>
      <c r="M1685">
        <v>1.4100136802568801E-2</v>
      </c>
      <c r="N1685">
        <v>2004</v>
      </c>
      <c r="O1685" t="s">
        <v>13</v>
      </c>
      <c r="P1685" t="s">
        <v>340</v>
      </c>
      <c r="Q1685" t="s">
        <v>341</v>
      </c>
      <c r="R1685" t="s">
        <v>342</v>
      </c>
    </row>
    <row r="1686" spans="1:18" x14ac:dyDescent="0.25">
      <c r="A1686" t="s">
        <v>338</v>
      </c>
      <c r="B1686" t="s">
        <v>346</v>
      </c>
      <c r="C1686" t="s">
        <v>12</v>
      </c>
      <c r="D1686">
        <v>1</v>
      </c>
      <c r="E1686">
        <v>25</v>
      </c>
      <c r="F1686">
        <v>4.6851674694105604E-3</v>
      </c>
      <c r="G1686">
        <v>428</v>
      </c>
      <c r="H1686">
        <v>1.42724332531449E-2</v>
      </c>
      <c r="I1686">
        <v>384</v>
      </c>
      <c r="L1686">
        <v>2.9474675462757199E-4</v>
      </c>
      <c r="M1686">
        <v>1.0672078680643399E-3</v>
      </c>
      <c r="N1686">
        <v>2004</v>
      </c>
      <c r="O1686" t="s">
        <v>13</v>
      </c>
      <c r="P1686" t="s">
        <v>340</v>
      </c>
      <c r="Q1686" t="s">
        <v>341</v>
      </c>
      <c r="R1686" t="s">
        <v>342</v>
      </c>
    </row>
    <row r="1687" spans="1:18" x14ac:dyDescent="0.25">
      <c r="A1687" t="s">
        <v>338</v>
      </c>
      <c r="B1687" t="s">
        <v>346</v>
      </c>
      <c r="C1687" t="s">
        <v>12</v>
      </c>
      <c r="D1687">
        <v>1</v>
      </c>
      <c r="E1687">
        <v>35</v>
      </c>
      <c r="F1687">
        <v>1.4455294523525701E-2</v>
      </c>
      <c r="G1687">
        <v>382</v>
      </c>
      <c r="H1687">
        <v>2.43645978263076E-2</v>
      </c>
      <c r="I1687">
        <v>337</v>
      </c>
      <c r="L1687">
        <v>1.83792660940769E-4</v>
      </c>
      <c r="M1687">
        <v>8.3723464334896499E-4</v>
      </c>
      <c r="N1687">
        <v>2004</v>
      </c>
      <c r="O1687" t="s">
        <v>13</v>
      </c>
      <c r="P1687" t="s">
        <v>340</v>
      </c>
      <c r="Q1687" t="s">
        <v>341</v>
      </c>
      <c r="R1687" t="s">
        <v>342</v>
      </c>
    </row>
    <row r="1688" spans="1:18" x14ac:dyDescent="0.25">
      <c r="A1688" t="s">
        <v>338</v>
      </c>
      <c r="B1688" t="s">
        <v>346</v>
      </c>
      <c r="C1688" t="s">
        <v>12</v>
      </c>
      <c r="D1688">
        <v>1</v>
      </c>
      <c r="E1688">
        <v>45</v>
      </c>
      <c r="F1688">
        <v>4.8515720672245299E-2</v>
      </c>
      <c r="G1688">
        <v>392</v>
      </c>
      <c r="H1688">
        <v>2.4967043250296E-2</v>
      </c>
      <c r="I1688">
        <v>343</v>
      </c>
      <c r="L1688">
        <v>1.6338211329452101E-4</v>
      </c>
      <c r="M1688">
        <v>1.9994375762563302E-3</v>
      </c>
      <c r="N1688">
        <v>2004</v>
      </c>
      <c r="O1688" t="s">
        <v>13</v>
      </c>
      <c r="P1688" t="s">
        <v>340</v>
      </c>
      <c r="Q1688" t="s">
        <v>341</v>
      </c>
      <c r="R1688" t="s">
        <v>342</v>
      </c>
    </row>
    <row r="1689" spans="1:18" x14ac:dyDescent="0.25">
      <c r="A1689" t="s">
        <v>338</v>
      </c>
      <c r="B1689" t="s">
        <v>346</v>
      </c>
      <c r="C1689" t="s">
        <v>12</v>
      </c>
      <c r="D1689">
        <v>1</v>
      </c>
      <c r="E1689">
        <v>55</v>
      </c>
      <c r="F1689">
        <v>9.7299490449043805E-2</v>
      </c>
      <c r="G1689">
        <v>293</v>
      </c>
      <c r="H1689">
        <v>8.3857772804441302E-2</v>
      </c>
      <c r="I1689">
        <v>240</v>
      </c>
      <c r="L1689">
        <v>6.1056665135469102E-5</v>
      </c>
      <c r="M1689">
        <v>2.6935677696096697E-4</v>
      </c>
      <c r="N1689">
        <v>2004</v>
      </c>
      <c r="O1689" t="s">
        <v>13</v>
      </c>
      <c r="P1689" t="s">
        <v>340</v>
      </c>
      <c r="Q1689" t="s">
        <v>341</v>
      </c>
      <c r="R1689" t="s">
        <v>342</v>
      </c>
    </row>
    <row r="1690" spans="1:18" x14ac:dyDescent="0.25">
      <c r="A1690" t="s">
        <v>338</v>
      </c>
      <c r="B1690" t="s">
        <v>346</v>
      </c>
      <c r="C1690" t="s">
        <v>12</v>
      </c>
      <c r="D1690">
        <v>1</v>
      </c>
      <c r="E1690">
        <v>65</v>
      </c>
      <c r="F1690">
        <v>0.15306344983807499</v>
      </c>
      <c r="G1690">
        <v>375</v>
      </c>
      <c r="H1690">
        <v>0.12979532206972799</v>
      </c>
      <c r="I1690">
        <v>263</v>
      </c>
      <c r="L1690">
        <v>7.8904515381515394E-5</v>
      </c>
      <c r="M1690">
        <v>2.6721849898690198E-4</v>
      </c>
      <c r="N1690">
        <v>2004</v>
      </c>
      <c r="O1690" t="s">
        <v>13</v>
      </c>
      <c r="P1690" t="s">
        <v>340</v>
      </c>
      <c r="Q1690" t="s">
        <v>341</v>
      </c>
      <c r="R1690" t="s">
        <v>342</v>
      </c>
    </row>
    <row r="1691" spans="1:18" x14ac:dyDescent="0.25">
      <c r="A1691" t="s">
        <v>338</v>
      </c>
      <c r="B1691" t="s">
        <v>346</v>
      </c>
      <c r="C1691" t="s">
        <v>12</v>
      </c>
      <c r="D1691">
        <v>1</v>
      </c>
      <c r="E1691">
        <v>75</v>
      </c>
      <c r="F1691">
        <v>0.16726816162598801</v>
      </c>
      <c r="G1691">
        <v>327</v>
      </c>
      <c r="H1691">
        <v>8.1483635059591303E-2</v>
      </c>
      <c r="I1691">
        <v>242</v>
      </c>
      <c r="L1691">
        <v>1.21622665359192E-4</v>
      </c>
      <c r="M1691">
        <v>8.8721317925829699E-4</v>
      </c>
      <c r="N1691">
        <v>2004</v>
      </c>
      <c r="O1691" t="s">
        <v>13</v>
      </c>
      <c r="P1691" t="s">
        <v>340</v>
      </c>
      <c r="Q1691" t="s">
        <v>341</v>
      </c>
      <c r="R1691" t="s">
        <v>342</v>
      </c>
    </row>
    <row r="1692" spans="1:18" x14ac:dyDescent="0.25">
      <c r="A1692" t="s">
        <v>338</v>
      </c>
      <c r="B1692" t="s">
        <v>346</v>
      </c>
      <c r="C1692" t="s">
        <v>12</v>
      </c>
      <c r="D1692">
        <v>1</v>
      </c>
      <c r="E1692">
        <v>84.91</v>
      </c>
      <c r="F1692">
        <v>0.11810114397515201</v>
      </c>
      <c r="G1692">
        <v>220</v>
      </c>
      <c r="H1692">
        <v>0.120987646847524</v>
      </c>
      <c r="I1692">
        <v>160</v>
      </c>
      <c r="L1692">
        <v>1.6617607529857199E-4</v>
      </c>
      <c r="M1692">
        <v>5.0839734659090805E-4</v>
      </c>
      <c r="N1692">
        <v>2004</v>
      </c>
      <c r="O1692" t="s">
        <v>13</v>
      </c>
      <c r="P1692" t="s">
        <v>340</v>
      </c>
      <c r="Q1692" t="s">
        <v>341</v>
      </c>
      <c r="R1692" t="s">
        <v>342</v>
      </c>
    </row>
    <row r="1693" spans="1:18" x14ac:dyDescent="0.25">
      <c r="A1693" t="s">
        <v>338</v>
      </c>
      <c r="B1693" t="s">
        <v>347</v>
      </c>
      <c r="C1693" t="s">
        <v>12</v>
      </c>
      <c r="D1693">
        <v>2</v>
      </c>
      <c r="E1693">
        <v>19</v>
      </c>
      <c r="F1693">
        <v>1.4264454990338799E-3</v>
      </c>
      <c r="G1693">
        <v>267</v>
      </c>
      <c r="H1693">
        <v>1.4560572848689301E-3</v>
      </c>
      <c r="I1693">
        <v>231</v>
      </c>
      <c r="L1693">
        <v>1.17541003430782E-3</v>
      </c>
      <c r="M1693">
        <v>1.69960195300989E-2</v>
      </c>
      <c r="N1693">
        <v>2006</v>
      </c>
      <c r="O1693" t="s">
        <v>13</v>
      </c>
      <c r="P1693" t="s">
        <v>340</v>
      </c>
      <c r="Q1693" t="s">
        <v>341</v>
      </c>
      <c r="R1693" t="s">
        <v>342</v>
      </c>
    </row>
    <row r="1694" spans="1:18" x14ac:dyDescent="0.25">
      <c r="A1694" t="s">
        <v>338</v>
      </c>
      <c r="B1694" t="s">
        <v>347</v>
      </c>
      <c r="C1694" t="s">
        <v>12</v>
      </c>
      <c r="D1694">
        <v>2</v>
      </c>
      <c r="E1694">
        <v>25</v>
      </c>
      <c r="F1694">
        <v>1.39188638077363E-2</v>
      </c>
      <c r="G1694">
        <v>396</v>
      </c>
      <c r="H1694">
        <v>1.97118458854944E-3</v>
      </c>
      <c r="I1694">
        <v>343</v>
      </c>
      <c r="L1694">
        <v>1.1077398112527401E-4</v>
      </c>
      <c r="M1694">
        <v>1.26486295903148E-2</v>
      </c>
      <c r="N1694">
        <v>2006</v>
      </c>
      <c r="O1694" t="s">
        <v>13</v>
      </c>
      <c r="P1694" t="s">
        <v>340</v>
      </c>
      <c r="Q1694" t="s">
        <v>341</v>
      </c>
      <c r="R1694" t="s">
        <v>342</v>
      </c>
    </row>
    <row r="1695" spans="1:18" x14ac:dyDescent="0.25">
      <c r="A1695" t="s">
        <v>338</v>
      </c>
      <c r="B1695" t="s">
        <v>347</v>
      </c>
      <c r="C1695" t="s">
        <v>12</v>
      </c>
      <c r="D1695">
        <v>2</v>
      </c>
      <c r="E1695">
        <v>35</v>
      </c>
      <c r="F1695">
        <v>2.7970122193841498E-2</v>
      </c>
      <c r="G1695">
        <v>349</v>
      </c>
      <c r="H1695">
        <v>8.2479328196988205E-3</v>
      </c>
      <c r="I1695">
        <v>305</v>
      </c>
      <c r="L1695">
        <v>8.3796794655106795E-5</v>
      </c>
      <c r="M1695">
        <v>2.6721840090975198E-3</v>
      </c>
      <c r="N1695">
        <v>2006</v>
      </c>
      <c r="O1695" t="s">
        <v>13</v>
      </c>
      <c r="P1695" t="s">
        <v>340</v>
      </c>
      <c r="Q1695" t="s">
        <v>341</v>
      </c>
      <c r="R1695" t="s">
        <v>342</v>
      </c>
    </row>
    <row r="1696" spans="1:18" x14ac:dyDescent="0.25">
      <c r="A1696" t="s">
        <v>338</v>
      </c>
      <c r="B1696" t="s">
        <v>347</v>
      </c>
      <c r="C1696" t="s">
        <v>12</v>
      </c>
      <c r="D1696">
        <v>2</v>
      </c>
      <c r="E1696">
        <v>45</v>
      </c>
      <c r="F1696">
        <v>3.9228692646137903E-2</v>
      </c>
      <c r="G1696">
        <v>422</v>
      </c>
      <c r="H1696">
        <v>2.56653047701852E-2</v>
      </c>
      <c r="I1696">
        <v>372</v>
      </c>
      <c r="L1696">
        <v>1.25880234856967E-4</v>
      </c>
      <c r="M1696">
        <v>1.2217962873331701E-3</v>
      </c>
      <c r="N1696">
        <v>2006</v>
      </c>
      <c r="O1696" t="s">
        <v>13</v>
      </c>
      <c r="P1696" t="s">
        <v>340</v>
      </c>
      <c r="Q1696" t="s">
        <v>341</v>
      </c>
      <c r="R1696" t="s">
        <v>342</v>
      </c>
    </row>
    <row r="1697" spans="1:18" x14ac:dyDescent="0.25">
      <c r="A1697" t="s">
        <v>338</v>
      </c>
      <c r="B1697" t="s">
        <v>347</v>
      </c>
      <c r="C1697" t="s">
        <v>12</v>
      </c>
      <c r="D1697">
        <v>2</v>
      </c>
      <c r="E1697">
        <v>55</v>
      </c>
      <c r="F1697">
        <v>9.1572332068519793E-2</v>
      </c>
      <c r="G1697">
        <v>318</v>
      </c>
      <c r="H1697">
        <v>4.0975349852538999E-2</v>
      </c>
      <c r="I1697">
        <v>267</v>
      </c>
      <c r="L1697">
        <v>1.4313026285217299E-4</v>
      </c>
      <c r="M1697">
        <v>1.61788113807801E-3</v>
      </c>
      <c r="N1697">
        <v>2006</v>
      </c>
      <c r="O1697" t="s">
        <v>13</v>
      </c>
      <c r="P1697" t="s">
        <v>340</v>
      </c>
      <c r="Q1697" t="s">
        <v>341</v>
      </c>
      <c r="R1697" t="s">
        <v>342</v>
      </c>
    </row>
    <row r="1698" spans="1:18" x14ac:dyDescent="0.25">
      <c r="A1698" t="s">
        <v>338</v>
      </c>
      <c r="B1698" t="s">
        <v>347</v>
      </c>
      <c r="C1698" t="s">
        <v>12</v>
      </c>
      <c r="D1698">
        <v>2</v>
      </c>
      <c r="E1698">
        <v>65</v>
      </c>
      <c r="F1698">
        <v>0.15398435706722299</v>
      </c>
      <c r="G1698">
        <v>338</v>
      </c>
      <c r="H1698">
        <v>7.7837090475093004E-2</v>
      </c>
      <c r="I1698">
        <v>242</v>
      </c>
      <c r="L1698">
        <v>5.3329139409118801E-5</v>
      </c>
      <c r="M1698">
        <v>3.8745931426146499E-4</v>
      </c>
      <c r="N1698">
        <v>2006</v>
      </c>
      <c r="O1698" t="s">
        <v>13</v>
      </c>
      <c r="P1698" t="s">
        <v>340</v>
      </c>
      <c r="Q1698" t="s">
        <v>341</v>
      </c>
      <c r="R1698" t="s">
        <v>342</v>
      </c>
    </row>
    <row r="1699" spans="1:18" x14ac:dyDescent="0.25">
      <c r="A1699" t="s">
        <v>338</v>
      </c>
      <c r="B1699" t="s">
        <v>347</v>
      </c>
      <c r="C1699" t="s">
        <v>12</v>
      </c>
      <c r="D1699">
        <v>2</v>
      </c>
      <c r="E1699">
        <v>75</v>
      </c>
      <c r="F1699">
        <v>0.15709445548679399</v>
      </c>
      <c r="G1699">
        <v>224</v>
      </c>
      <c r="H1699">
        <v>7.0898686045315004E-2</v>
      </c>
      <c r="I1699">
        <v>170</v>
      </c>
      <c r="L1699">
        <v>6.7020439682813804E-5</v>
      </c>
      <c r="M1699">
        <v>5.6857529619813805E-4</v>
      </c>
      <c r="N1699">
        <v>2006</v>
      </c>
      <c r="O1699" t="s">
        <v>13</v>
      </c>
      <c r="P1699" t="s">
        <v>340</v>
      </c>
      <c r="Q1699" t="s">
        <v>341</v>
      </c>
      <c r="R1699" t="s">
        <v>342</v>
      </c>
    </row>
    <row r="1700" spans="1:18" x14ac:dyDescent="0.25">
      <c r="A1700" t="s">
        <v>338</v>
      </c>
      <c r="B1700" t="s">
        <v>347</v>
      </c>
      <c r="C1700" t="s">
        <v>12</v>
      </c>
      <c r="D1700">
        <v>2</v>
      </c>
      <c r="E1700">
        <v>84.91</v>
      </c>
      <c r="F1700">
        <v>0.12742043100627201</v>
      </c>
      <c r="G1700">
        <v>205</v>
      </c>
      <c r="H1700">
        <v>0.104172744311962</v>
      </c>
      <c r="I1700">
        <v>144</v>
      </c>
      <c r="L1700">
        <v>1.8757138534138899E-4</v>
      </c>
      <c r="M1700">
        <v>7.5396567141146104E-4</v>
      </c>
      <c r="N1700">
        <v>2006</v>
      </c>
      <c r="O1700" t="s">
        <v>13</v>
      </c>
      <c r="P1700" t="s">
        <v>340</v>
      </c>
      <c r="Q1700" t="s">
        <v>341</v>
      </c>
      <c r="R1700" t="s">
        <v>342</v>
      </c>
    </row>
    <row r="1701" spans="1:18" x14ac:dyDescent="0.25">
      <c r="A1701" t="s">
        <v>338</v>
      </c>
      <c r="B1701" t="s">
        <v>347</v>
      </c>
      <c r="C1701" t="s">
        <v>12</v>
      </c>
      <c r="D1701">
        <v>1</v>
      </c>
      <c r="E1701">
        <v>19</v>
      </c>
      <c r="F1701">
        <v>0</v>
      </c>
      <c r="G1701">
        <v>288</v>
      </c>
      <c r="H1701">
        <v>3.3480229131611699E-3</v>
      </c>
      <c r="I1701">
        <v>259</v>
      </c>
      <c r="L1701">
        <v>2.4593692817735701E-3</v>
      </c>
      <c r="M1701">
        <v>0</v>
      </c>
      <c r="N1701">
        <v>2006</v>
      </c>
      <c r="O1701" t="s">
        <v>13</v>
      </c>
      <c r="P1701" t="s">
        <v>340</v>
      </c>
      <c r="Q1701" t="s">
        <v>341</v>
      </c>
      <c r="R1701" t="s">
        <v>342</v>
      </c>
    </row>
    <row r="1702" spans="1:18" x14ac:dyDescent="0.25">
      <c r="A1702" t="s">
        <v>338</v>
      </c>
      <c r="B1702" t="s">
        <v>347</v>
      </c>
      <c r="C1702" t="s">
        <v>12</v>
      </c>
      <c r="D1702">
        <v>1</v>
      </c>
      <c r="E1702">
        <v>25</v>
      </c>
      <c r="F1702">
        <v>2.2683233308546198E-3</v>
      </c>
      <c r="G1702">
        <v>435</v>
      </c>
      <c r="H1702">
        <v>5.0163018052023804E-3</v>
      </c>
      <c r="I1702">
        <v>376</v>
      </c>
      <c r="L1702">
        <v>6.8848995842262103E-4</v>
      </c>
      <c r="M1702">
        <v>4.0475301807420504E-3</v>
      </c>
      <c r="N1702">
        <v>2006</v>
      </c>
      <c r="O1702" t="s">
        <v>13</v>
      </c>
      <c r="P1702" t="s">
        <v>340</v>
      </c>
      <c r="Q1702" t="s">
        <v>341</v>
      </c>
      <c r="R1702" t="s">
        <v>342</v>
      </c>
    </row>
    <row r="1703" spans="1:18" x14ac:dyDescent="0.25">
      <c r="A1703" t="s">
        <v>338</v>
      </c>
      <c r="B1703" t="s">
        <v>347</v>
      </c>
      <c r="C1703" t="s">
        <v>12</v>
      </c>
      <c r="D1703">
        <v>1</v>
      </c>
      <c r="E1703">
        <v>35</v>
      </c>
      <c r="F1703">
        <v>2.7306948888939999E-2</v>
      </c>
      <c r="G1703">
        <v>408</v>
      </c>
      <c r="H1703">
        <v>2.3326167038683399E-2</v>
      </c>
      <c r="I1703">
        <v>354</v>
      </c>
      <c r="L1703">
        <v>1.2712347425748399E-4</v>
      </c>
      <c r="M1703">
        <v>1.0108000017344501E-3</v>
      </c>
      <c r="N1703">
        <v>2006</v>
      </c>
      <c r="O1703" t="s">
        <v>13</v>
      </c>
      <c r="P1703" t="s">
        <v>340</v>
      </c>
      <c r="Q1703" t="s">
        <v>341</v>
      </c>
      <c r="R1703" t="s">
        <v>342</v>
      </c>
    </row>
    <row r="1704" spans="1:18" x14ac:dyDescent="0.25">
      <c r="A1704" t="s">
        <v>338</v>
      </c>
      <c r="B1704" t="s">
        <v>347</v>
      </c>
      <c r="C1704" t="s">
        <v>12</v>
      </c>
      <c r="D1704">
        <v>1</v>
      </c>
      <c r="E1704">
        <v>45</v>
      </c>
      <c r="F1704">
        <v>5.1310549317205599E-2</v>
      </c>
      <c r="G1704">
        <v>416</v>
      </c>
      <c r="H1704">
        <v>4.1233786869676201E-2</v>
      </c>
      <c r="I1704">
        <v>359</v>
      </c>
      <c r="L1704">
        <v>1.12662205841583E-4</v>
      </c>
      <c r="M1704">
        <v>7.5088758615098896E-4</v>
      </c>
      <c r="N1704">
        <v>2006</v>
      </c>
      <c r="O1704" t="s">
        <v>13</v>
      </c>
      <c r="P1704" t="s">
        <v>340</v>
      </c>
      <c r="Q1704" t="s">
        <v>341</v>
      </c>
      <c r="R1704" t="s">
        <v>342</v>
      </c>
    </row>
    <row r="1705" spans="1:18" x14ac:dyDescent="0.25">
      <c r="A1705" t="s">
        <v>338</v>
      </c>
      <c r="B1705" t="s">
        <v>347</v>
      </c>
      <c r="C1705" t="s">
        <v>12</v>
      </c>
      <c r="D1705">
        <v>1</v>
      </c>
      <c r="E1705">
        <v>55</v>
      </c>
      <c r="F1705">
        <v>8.3087825460967699E-2</v>
      </c>
      <c r="G1705">
        <v>325</v>
      </c>
      <c r="H1705">
        <v>6.5689064001859698E-2</v>
      </c>
      <c r="I1705">
        <v>266</v>
      </c>
      <c r="L1705">
        <v>1.26757093766206E-4</v>
      </c>
      <c r="M1705">
        <v>6.8420964153473199E-4</v>
      </c>
      <c r="N1705">
        <v>2006</v>
      </c>
      <c r="O1705" t="s">
        <v>13</v>
      </c>
      <c r="P1705" t="s">
        <v>340</v>
      </c>
      <c r="Q1705" t="s">
        <v>341</v>
      </c>
      <c r="R1705" t="s">
        <v>342</v>
      </c>
    </row>
    <row r="1706" spans="1:18" x14ac:dyDescent="0.25">
      <c r="A1706" t="s">
        <v>338</v>
      </c>
      <c r="B1706" t="s">
        <v>347</v>
      </c>
      <c r="C1706" t="s">
        <v>12</v>
      </c>
      <c r="D1706">
        <v>1</v>
      </c>
      <c r="E1706">
        <v>65</v>
      </c>
      <c r="F1706">
        <v>0.14160644867427499</v>
      </c>
      <c r="G1706">
        <v>349</v>
      </c>
      <c r="H1706">
        <v>9.7394268307247595E-2</v>
      </c>
      <c r="I1706">
        <v>255</v>
      </c>
      <c r="L1706">
        <v>1.2775867082290301E-4</v>
      </c>
      <c r="M1706">
        <v>6.1849896509802297E-4</v>
      </c>
      <c r="N1706">
        <v>2006</v>
      </c>
      <c r="O1706" t="s">
        <v>13</v>
      </c>
      <c r="P1706" t="s">
        <v>340</v>
      </c>
      <c r="Q1706" t="s">
        <v>341</v>
      </c>
      <c r="R1706" t="s">
        <v>342</v>
      </c>
    </row>
    <row r="1707" spans="1:18" x14ac:dyDescent="0.25">
      <c r="A1707" t="s">
        <v>338</v>
      </c>
      <c r="B1707" t="s">
        <v>347</v>
      </c>
      <c r="C1707" t="s">
        <v>12</v>
      </c>
      <c r="D1707">
        <v>1</v>
      </c>
      <c r="E1707">
        <v>75</v>
      </c>
      <c r="F1707">
        <v>0.13741696755785701</v>
      </c>
      <c r="G1707">
        <v>263</v>
      </c>
      <c r="H1707">
        <v>0.111928606170748</v>
      </c>
      <c r="I1707">
        <v>205</v>
      </c>
      <c r="L1707">
        <v>1.8840673265159999E-4</v>
      </c>
      <c r="M1707">
        <v>7.25961488509572E-4</v>
      </c>
      <c r="N1707">
        <v>2006</v>
      </c>
      <c r="O1707" t="s">
        <v>13</v>
      </c>
      <c r="P1707" t="s">
        <v>340</v>
      </c>
      <c r="Q1707" t="s">
        <v>341</v>
      </c>
      <c r="R1707" t="s">
        <v>342</v>
      </c>
    </row>
    <row r="1708" spans="1:18" x14ac:dyDescent="0.25">
      <c r="A1708" t="s">
        <v>338</v>
      </c>
      <c r="B1708" t="s">
        <v>347</v>
      </c>
      <c r="C1708" t="s">
        <v>12</v>
      </c>
      <c r="D1708">
        <v>1</v>
      </c>
      <c r="E1708">
        <v>84.91</v>
      </c>
      <c r="F1708">
        <v>8.4398436554514594E-2</v>
      </c>
      <c r="G1708">
        <v>187</v>
      </c>
      <c r="H1708">
        <v>9.6063724836697506E-2</v>
      </c>
      <c r="I1708">
        <v>150</v>
      </c>
      <c r="L1708">
        <v>2.7335817629080901E-4</v>
      </c>
      <c r="M1708">
        <v>8.9022375609687705E-4</v>
      </c>
      <c r="N1708">
        <v>2006</v>
      </c>
      <c r="O1708" t="s">
        <v>13</v>
      </c>
      <c r="P1708" t="s">
        <v>340</v>
      </c>
      <c r="Q1708" t="s">
        <v>341</v>
      </c>
      <c r="R1708" t="s">
        <v>342</v>
      </c>
    </row>
    <row r="1709" spans="1:18" x14ac:dyDescent="0.25">
      <c r="A1709" t="s">
        <v>338</v>
      </c>
      <c r="B1709" t="s">
        <v>348</v>
      </c>
      <c r="C1709" t="s">
        <v>12</v>
      </c>
      <c r="D1709">
        <v>2</v>
      </c>
      <c r="E1709">
        <v>19</v>
      </c>
      <c r="F1709">
        <v>3.5237602218249398E-3</v>
      </c>
      <c r="G1709">
        <v>135</v>
      </c>
      <c r="H1709">
        <v>3.3325883878586298E-3</v>
      </c>
      <c r="I1709">
        <v>111</v>
      </c>
      <c r="L1709">
        <v>8.9376161926454304E-4</v>
      </c>
      <c r="M1709">
        <v>1.1670799611128701E-2</v>
      </c>
      <c r="N1709">
        <v>2008</v>
      </c>
      <c r="O1709" t="s">
        <v>13</v>
      </c>
      <c r="P1709" t="s">
        <v>340</v>
      </c>
      <c r="Q1709" t="s">
        <v>341</v>
      </c>
      <c r="R1709" t="s">
        <v>342</v>
      </c>
    </row>
    <row r="1710" spans="1:18" x14ac:dyDescent="0.25">
      <c r="A1710" t="s">
        <v>338</v>
      </c>
      <c r="B1710" t="s">
        <v>348</v>
      </c>
      <c r="C1710" t="s">
        <v>12</v>
      </c>
      <c r="D1710">
        <v>2</v>
      </c>
      <c r="E1710">
        <v>25</v>
      </c>
      <c r="F1710">
        <v>1.66049159936127E-2</v>
      </c>
      <c r="G1710">
        <v>416</v>
      </c>
      <c r="H1710">
        <v>5.8311362868034801E-3</v>
      </c>
      <c r="I1710">
        <v>366</v>
      </c>
      <c r="L1710">
        <v>2.1304035614824399E-4</v>
      </c>
      <c r="M1710">
        <v>6.3444866125963598E-3</v>
      </c>
      <c r="N1710">
        <v>2008</v>
      </c>
      <c r="O1710" t="s">
        <v>13</v>
      </c>
      <c r="P1710" t="s">
        <v>340</v>
      </c>
      <c r="Q1710" t="s">
        <v>341</v>
      </c>
      <c r="R1710" t="s">
        <v>342</v>
      </c>
    </row>
    <row r="1711" spans="1:18" x14ac:dyDescent="0.25">
      <c r="A1711" t="s">
        <v>338</v>
      </c>
      <c r="B1711" t="s">
        <v>348</v>
      </c>
      <c r="C1711" t="s">
        <v>12</v>
      </c>
      <c r="D1711">
        <v>2</v>
      </c>
      <c r="E1711">
        <v>35</v>
      </c>
      <c r="F1711">
        <v>2.4679576749453799E-2</v>
      </c>
      <c r="G1711">
        <v>492</v>
      </c>
      <c r="H1711">
        <v>1.7009844330252301E-2</v>
      </c>
      <c r="I1711">
        <v>441</v>
      </c>
      <c r="L1711">
        <v>1.93530779912901E-4</v>
      </c>
      <c r="M1711">
        <v>2.09838223746575E-3</v>
      </c>
      <c r="N1711">
        <v>2008</v>
      </c>
      <c r="O1711" t="s">
        <v>13</v>
      </c>
      <c r="P1711" t="s">
        <v>340</v>
      </c>
      <c r="Q1711" t="s">
        <v>341</v>
      </c>
      <c r="R1711" t="s">
        <v>342</v>
      </c>
    </row>
    <row r="1712" spans="1:18" x14ac:dyDescent="0.25">
      <c r="A1712" t="s">
        <v>338</v>
      </c>
      <c r="B1712" t="s">
        <v>348</v>
      </c>
      <c r="C1712" t="s">
        <v>12</v>
      </c>
      <c r="D1712">
        <v>2</v>
      </c>
      <c r="E1712">
        <v>45</v>
      </c>
      <c r="F1712">
        <v>4.7098667971224202E-2</v>
      </c>
      <c r="G1712">
        <v>494</v>
      </c>
      <c r="H1712">
        <v>2.9966256909754199E-2</v>
      </c>
      <c r="I1712">
        <v>440</v>
      </c>
      <c r="L1712">
        <v>1.2183727578613899E-4</v>
      </c>
      <c r="M1712">
        <v>1.1478654162378E-3</v>
      </c>
      <c r="N1712">
        <v>2008</v>
      </c>
      <c r="O1712" t="s">
        <v>13</v>
      </c>
      <c r="P1712" t="s">
        <v>340</v>
      </c>
      <c r="Q1712" t="s">
        <v>341</v>
      </c>
      <c r="R1712" t="s">
        <v>342</v>
      </c>
    </row>
    <row r="1713" spans="1:18" x14ac:dyDescent="0.25">
      <c r="A1713" t="s">
        <v>338</v>
      </c>
      <c r="B1713" t="s">
        <v>348</v>
      </c>
      <c r="C1713" t="s">
        <v>12</v>
      </c>
      <c r="D1713">
        <v>2</v>
      </c>
      <c r="E1713">
        <v>55</v>
      </c>
      <c r="F1713">
        <v>0.110795661252446</v>
      </c>
      <c r="G1713">
        <v>452</v>
      </c>
      <c r="H1713">
        <v>8.6308869625741594E-2</v>
      </c>
      <c r="I1713">
        <v>359</v>
      </c>
      <c r="L1713">
        <v>8.22456471988898E-5</v>
      </c>
      <c r="M1713">
        <v>3.88702038970012E-4</v>
      </c>
      <c r="N1713">
        <v>2008</v>
      </c>
      <c r="O1713" t="s">
        <v>13</v>
      </c>
      <c r="P1713" t="s">
        <v>340</v>
      </c>
      <c r="Q1713" t="s">
        <v>341</v>
      </c>
      <c r="R1713" t="s">
        <v>342</v>
      </c>
    </row>
    <row r="1714" spans="1:18" x14ac:dyDescent="0.25">
      <c r="A1714" t="s">
        <v>338</v>
      </c>
      <c r="B1714" t="s">
        <v>348</v>
      </c>
      <c r="C1714" t="s">
        <v>12</v>
      </c>
      <c r="D1714">
        <v>2</v>
      </c>
      <c r="E1714">
        <v>65</v>
      </c>
      <c r="F1714">
        <v>0.128123042827259</v>
      </c>
      <c r="G1714">
        <v>507</v>
      </c>
      <c r="H1714">
        <v>5.8748413759845797E-2</v>
      </c>
      <c r="I1714">
        <v>367</v>
      </c>
      <c r="L1714">
        <v>1.9585969746430801E-4</v>
      </c>
      <c r="M1714">
        <v>1.82232938778422E-3</v>
      </c>
      <c r="N1714">
        <v>2008</v>
      </c>
      <c r="O1714" t="s">
        <v>13</v>
      </c>
      <c r="P1714" t="s">
        <v>340</v>
      </c>
      <c r="Q1714" t="s">
        <v>341</v>
      </c>
      <c r="R1714" t="s">
        <v>342</v>
      </c>
    </row>
    <row r="1715" spans="1:18" x14ac:dyDescent="0.25">
      <c r="A1715" t="s">
        <v>338</v>
      </c>
      <c r="B1715" t="s">
        <v>348</v>
      </c>
      <c r="C1715" t="s">
        <v>12</v>
      </c>
      <c r="D1715">
        <v>2</v>
      </c>
      <c r="E1715">
        <v>75</v>
      </c>
      <c r="F1715">
        <v>0.18988134572662899</v>
      </c>
      <c r="G1715">
        <v>365</v>
      </c>
      <c r="H1715">
        <v>0.12787720850258799</v>
      </c>
      <c r="I1715">
        <v>264</v>
      </c>
      <c r="L1715">
        <v>1.07853963272736E-4</v>
      </c>
      <c r="M1715">
        <v>4.4604071640383998E-4</v>
      </c>
      <c r="N1715">
        <v>2008</v>
      </c>
      <c r="O1715" t="s">
        <v>13</v>
      </c>
      <c r="P1715" t="s">
        <v>340</v>
      </c>
      <c r="Q1715" t="s">
        <v>341</v>
      </c>
      <c r="R1715" t="s">
        <v>342</v>
      </c>
    </row>
    <row r="1716" spans="1:18" x14ac:dyDescent="0.25">
      <c r="A1716" t="s">
        <v>338</v>
      </c>
      <c r="B1716" t="s">
        <v>348</v>
      </c>
      <c r="C1716" t="s">
        <v>12</v>
      </c>
      <c r="D1716">
        <v>2</v>
      </c>
      <c r="E1716">
        <v>84.91</v>
      </c>
      <c r="F1716">
        <v>0.173224080233884</v>
      </c>
      <c r="G1716">
        <v>239</v>
      </c>
      <c r="H1716">
        <v>0.126253999654795</v>
      </c>
      <c r="I1716">
        <v>151</v>
      </c>
      <c r="L1716">
        <v>1.53261616926271E-4</v>
      </c>
      <c r="M1716">
        <v>5.98237310879739E-4</v>
      </c>
      <c r="N1716">
        <v>2008</v>
      </c>
      <c r="O1716" t="s">
        <v>13</v>
      </c>
      <c r="P1716" t="s">
        <v>340</v>
      </c>
      <c r="Q1716" t="s">
        <v>341</v>
      </c>
      <c r="R1716" t="s">
        <v>342</v>
      </c>
    </row>
    <row r="1717" spans="1:18" x14ac:dyDescent="0.25">
      <c r="A1717" t="s">
        <v>338</v>
      </c>
      <c r="B1717" t="s">
        <v>348</v>
      </c>
      <c r="C1717" t="s">
        <v>12</v>
      </c>
      <c r="D1717">
        <v>1</v>
      </c>
      <c r="E1717">
        <v>19</v>
      </c>
      <c r="F1717">
        <v>2.76847957825864E-2</v>
      </c>
      <c r="G1717">
        <v>158</v>
      </c>
      <c r="H1717">
        <v>3.9088025059730797E-3</v>
      </c>
      <c r="I1717">
        <v>140</v>
      </c>
      <c r="L1717">
        <v>9.7600545746221598E-5</v>
      </c>
      <c r="M1717">
        <v>9.3474480773440994E-3</v>
      </c>
      <c r="N1717">
        <v>2008</v>
      </c>
      <c r="O1717" t="s">
        <v>13</v>
      </c>
      <c r="P1717" t="s">
        <v>340</v>
      </c>
      <c r="Q1717" t="s">
        <v>341</v>
      </c>
      <c r="R1717" t="s">
        <v>342</v>
      </c>
    </row>
    <row r="1718" spans="1:18" x14ac:dyDescent="0.25">
      <c r="A1718" t="s">
        <v>338</v>
      </c>
      <c r="B1718" t="s">
        <v>348</v>
      </c>
      <c r="C1718" t="s">
        <v>12</v>
      </c>
      <c r="D1718">
        <v>1</v>
      </c>
      <c r="E1718">
        <v>25</v>
      </c>
      <c r="F1718">
        <v>4.9466688436959503E-3</v>
      </c>
      <c r="G1718">
        <v>447</v>
      </c>
      <c r="H1718">
        <v>1.3834298837125201E-2</v>
      </c>
      <c r="I1718">
        <v>390</v>
      </c>
      <c r="L1718">
        <v>5.0865633014935904E-4</v>
      </c>
      <c r="M1718">
        <v>1.9713190547544202E-3</v>
      </c>
      <c r="N1718">
        <v>2008</v>
      </c>
      <c r="O1718" t="s">
        <v>13</v>
      </c>
      <c r="P1718" t="s">
        <v>340</v>
      </c>
      <c r="Q1718" t="s">
        <v>341</v>
      </c>
      <c r="R1718" t="s">
        <v>342</v>
      </c>
    </row>
    <row r="1719" spans="1:18" x14ac:dyDescent="0.25">
      <c r="A1719" t="s">
        <v>338</v>
      </c>
      <c r="B1719" t="s">
        <v>348</v>
      </c>
      <c r="C1719" t="s">
        <v>12</v>
      </c>
      <c r="D1719">
        <v>1</v>
      </c>
      <c r="E1719">
        <v>35</v>
      </c>
      <c r="F1719">
        <v>2.3209527497599601E-2</v>
      </c>
      <c r="G1719">
        <v>498</v>
      </c>
      <c r="H1719">
        <v>3.9923177185670899E-2</v>
      </c>
      <c r="I1719">
        <v>425</v>
      </c>
      <c r="L1719">
        <v>2.7973560280215398E-4</v>
      </c>
      <c r="M1719">
        <v>1.0452793448542401E-3</v>
      </c>
      <c r="N1719">
        <v>2008</v>
      </c>
      <c r="O1719" t="s">
        <v>13</v>
      </c>
      <c r="P1719" t="s">
        <v>340</v>
      </c>
      <c r="Q1719" t="s">
        <v>341</v>
      </c>
      <c r="R1719" t="s">
        <v>342</v>
      </c>
    </row>
    <row r="1720" spans="1:18" x14ac:dyDescent="0.25">
      <c r="A1720" t="s">
        <v>338</v>
      </c>
      <c r="B1720" t="s">
        <v>348</v>
      </c>
      <c r="C1720" t="s">
        <v>12</v>
      </c>
      <c r="D1720">
        <v>1</v>
      </c>
      <c r="E1720">
        <v>45</v>
      </c>
      <c r="F1720">
        <v>4.6456544871099001E-2</v>
      </c>
      <c r="G1720">
        <v>455</v>
      </c>
      <c r="H1720">
        <v>5.0742054636380901E-2</v>
      </c>
      <c r="I1720">
        <v>387</v>
      </c>
      <c r="L1720">
        <v>3.0321443613982001E-4</v>
      </c>
      <c r="M1720">
        <v>1.4359900309503699E-3</v>
      </c>
      <c r="N1720">
        <v>2008</v>
      </c>
      <c r="O1720" t="s">
        <v>13</v>
      </c>
      <c r="P1720" t="s">
        <v>340</v>
      </c>
      <c r="Q1720" t="s">
        <v>341</v>
      </c>
      <c r="R1720" t="s">
        <v>342</v>
      </c>
    </row>
    <row r="1721" spans="1:18" x14ac:dyDescent="0.25">
      <c r="A1721" t="s">
        <v>338</v>
      </c>
      <c r="B1721" t="s">
        <v>348</v>
      </c>
      <c r="C1721" t="s">
        <v>12</v>
      </c>
      <c r="D1721">
        <v>1</v>
      </c>
      <c r="E1721">
        <v>55</v>
      </c>
      <c r="F1721">
        <v>0.10853506986303001</v>
      </c>
      <c r="G1721">
        <v>467</v>
      </c>
      <c r="H1721">
        <v>8.5836429169122194E-2</v>
      </c>
      <c r="I1721">
        <v>371</v>
      </c>
      <c r="L1721">
        <v>1.54226447228778E-4</v>
      </c>
      <c r="M1721">
        <v>7.2147935290274698E-4</v>
      </c>
      <c r="N1721">
        <v>2008</v>
      </c>
      <c r="O1721" t="s">
        <v>13</v>
      </c>
      <c r="P1721" t="s">
        <v>340</v>
      </c>
      <c r="Q1721" t="s">
        <v>341</v>
      </c>
      <c r="R1721" t="s">
        <v>342</v>
      </c>
    </row>
    <row r="1722" spans="1:18" x14ac:dyDescent="0.25">
      <c r="A1722" t="s">
        <v>338</v>
      </c>
      <c r="B1722" t="s">
        <v>348</v>
      </c>
      <c r="C1722" t="s">
        <v>12</v>
      </c>
      <c r="D1722">
        <v>1</v>
      </c>
      <c r="E1722">
        <v>65</v>
      </c>
      <c r="F1722">
        <v>0.191471687375144</v>
      </c>
      <c r="G1722">
        <v>491</v>
      </c>
      <c r="H1722">
        <v>0.161879150910125</v>
      </c>
      <c r="I1722">
        <v>348</v>
      </c>
      <c r="L1722">
        <v>1.1301562162532201E-4</v>
      </c>
      <c r="M1722">
        <v>3.2608404166626601E-4</v>
      </c>
      <c r="N1722">
        <v>2008</v>
      </c>
      <c r="O1722" t="s">
        <v>13</v>
      </c>
      <c r="P1722" t="s">
        <v>340</v>
      </c>
      <c r="Q1722" t="s">
        <v>341</v>
      </c>
      <c r="R1722" t="s">
        <v>342</v>
      </c>
    </row>
    <row r="1723" spans="1:18" x14ac:dyDescent="0.25">
      <c r="A1723" t="s">
        <v>338</v>
      </c>
      <c r="B1723" t="s">
        <v>348</v>
      </c>
      <c r="C1723" t="s">
        <v>12</v>
      </c>
      <c r="D1723">
        <v>1</v>
      </c>
      <c r="E1723">
        <v>75</v>
      </c>
      <c r="F1723">
        <v>0.19009463560881301</v>
      </c>
      <c r="G1723">
        <v>351</v>
      </c>
      <c r="H1723">
        <v>0.17102721961543199</v>
      </c>
      <c r="I1723">
        <v>258</v>
      </c>
      <c r="L1723">
        <v>2.7221436796979201E-4</v>
      </c>
      <c r="M1723">
        <v>7.1503118466441297E-4</v>
      </c>
      <c r="N1723">
        <v>2008</v>
      </c>
      <c r="O1723" t="s">
        <v>13</v>
      </c>
      <c r="P1723" t="s">
        <v>340</v>
      </c>
      <c r="Q1723" t="s">
        <v>341</v>
      </c>
      <c r="R1723" t="s">
        <v>342</v>
      </c>
    </row>
    <row r="1724" spans="1:18" x14ac:dyDescent="0.25">
      <c r="A1724" t="s">
        <v>338</v>
      </c>
      <c r="B1724" t="s">
        <v>348</v>
      </c>
      <c r="C1724" t="s">
        <v>12</v>
      </c>
      <c r="D1724">
        <v>1</v>
      </c>
      <c r="E1724">
        <v>84.91</v>
      </c>
      <c r="F1724">
        <v>0.12272698566389099</v>
      </c>
      <c r="G1724">
        <v>196</v>
      </c>
      <c r="H1724">
        <v>0.118556421749605</v>
      </c>
      <c r="I1724">
        <v>147</v>
      </c>
      <c r="L1724">
        <v>3.9195942805439802E-4</v>
      </c>
      <c r="M1724">
        <v>1.27448812561886E-3</v>
      </c>
      <c r="N1724">
        <v>2008</v>
      </c>
      <c r="O1724" t="s">
        <v>13</v>
      </c>
      <c r="P1724" t="s">
        <v>340</v>
      </c>
      <c r="Q1724" t="s">
        <v>341</v>
      </c>
      <c r="R1724" t="s">
        <v>342</v>
      </c>
    </row>
    <row r="1725" spans="1:18" x14ac:dyDescent="0.25">
      <c r="A1725" t="s">
        <v>338</v>
      </c>
      <c r="B1725" t="s">
        <v>349</v>
      </c>
      <c r="C1725" t="s">
        <v>12</v>
      </c>
      <c r="D1725">
        <v>2</v>
      </c>
      <c r="E1725">
        <v>19</v>
      </c>
      <c r="F1725">
        <v>0</v>
      </c>
      <c r="G1725">
        <v>140</v>
      </c>
      <c r="H1725">
        <v>6.9957965011655304E-3</v>
      </c>
      <c r="I1725">
        <v>128</v>
      </c>
      <c r="L1725">
        <v>9.5499182294610002E-4</v>
      </c>
      <c r="M1725">
        <v>0</v>
      </c>
      <c r="N1725">
        <v>2010</v>
      </c>
      <c r="O1725" t="s">
        <v>13</v>
      </c>
      <c r="P1725" t="s">
        <v>340</v>
      </c>
      <c r="Q1725" t="s">
        <v>341</v>
      </c>
      <c r="R1725" t="s">
        <v>342</v>
      </c>
    </row>
    <row r="1726" spans="1:18" x14ac:dyDescent="0.25">
      <c r="A1726" t="s">
        <v>338</v>
      </c>
      <c r="B1726" t="s">
        <v>349</v>
      </c>
      <c r="C1726" t="s">
        <v>12</v>
      </c>
      <c r="D1726">
        <v>2</v>
      </c>
      <c r="E1726">
        <v>25</v>
      </c>
      <c r="F1726">
        <v>7.1991597750352297E-3</v>
      </c>
      <c r="G1726">
        <v>516</v>
      </c>
      <c r="H1726">
        <v>7.8442780130656194E-3</v>
      </c>
      <c r="I1726">
        <v>481</v>
      </c>
      <c r="L1726">
        <v>2.1173273569757099E-4</v>
      </c>
      <c r="M1726">
        <v>1.9260459418659699E-3</v>
      </c>
      <c r="N1726">
        <v>2010</v>
      </c>
      <c r="O1726" t="s">
        <v>13</v>
      </c>
      <c r="P1726" t="s">
        <v>340</v>
      </c>
      <c r="Q1726" t="s">
        <v>341</v>
      </c>
      <c r="R1726" t="s">
        <v>342</v>
      </c>
    </row>
    <row r="1727" spans="1:18" x14ac:dyDescent="0.25">
      <c r="A1727" t="s">
        <v>338</v>
      </c>
      <c r="B1727" t="s">
        <v>349</v>
      </c>
      <c r="C1727" t="s">
        <v>12</v>
      </c>
      <c r="D1727">
        <v>2</v>
      </c>
      <c r="E1727">
        <v>35</v>
      </c>
      <c r="F1727">
        <v>1.7363295756250001E-2</v>
      </c>
      <c r="G1727">
        <v>519</v>
      </c>
      <c r="H1727">
        <v>1.82601529912838E-2</v>
      </c>
      <c r="I1727">
        <v>471</v>
      </c>
      <c r="L1727">
        <v>1.58918984108394E-4</v>
      </c>
      <c r="M1727">
        <v>1.15521794217805E-3</v>
      </c>
      <c r="N1727">
        <v>2010</v>
      </c>
      <c r="O1727" t="s">
        <v>13</v>
      </c>
      <c r="P1727" t="s">
        <v>340</v>
      </c>
      <c r="Q1727" t="s">
        <v>341</v>
      </c>
      <c r="R1727" t="s">
        <v>342</v>
      </c>
    </row>
    <row r="1728" spans="1:18" x14ac:dyDescent="0.25">
      <c r="A1728" t="s">
        <v>338</v>
      </c>
      <c r="B1728" t="s">
        <v>349</v>
      </c>
      <c r="C1728" t="s">
        <v>12</v>
      </c>
      <c r="D1728">
        <v>2</v>
      </c>
      <c r="E1728">
        <v>45</v>
      </c>
      <c r="F1728">
        <v>3.5167792933193498E-2</v>
      </c>
      <c r="G1728">
        <v>591</v>
      </c>
      <c r="H1728">
        <v>2.8531489369604E-2</v>
      </c>
      <c r="I1728">
        <v>528</v>
      </c>
      <c r="L1728">
        <v>2.06092855586151E-4</v>
      </c>
      <c r="M1728">
        <v>1.5846875603878199E-3</v>
      </c>
      <c r="N1728">
        <v>2010</v>
      </c>
      <c r="O1728" t="s">
        <v>13</v>
      </c>
      <c r="P1728" t="s">
        <v>340</v>
      </c>
      <c r="Q1728" t="s">
        <v>341</v>
      </c>
      <c r="R1728" t="s">
        <v>342</v>
      </c>
    </row>
    <row r="1729" spans="1:18" x14ac:dyDescent="0.25">
      <c r="A1729" t="s">
        <v>338</v>
      </c>
      <c r="B1729" t="s">
        <v>349</v>
      </c>
      <c r="C1729" t="s">
        <v>12</v>
      </c>
      <c r="D1729">
        <v>2</v>
      </c>
      <c r="E1729">
        <v>55</v>
      </c>
      <c r="F1729">
        <v>9.1762088546592804E-2</v>
      </c>
      <c r="G1729">
        <v>454</v>
      </c>
      <c r="H1729">
        <v>4.6649977422142601E-2</v>
      </c>
      <c r="I1729">
        <v>372</v>
      </c>
      <c r="L1729">
        <v>8.6157707728704006E-5</v>
      </c>
      <c r="M1729">
        <v>8.13875281974504E-4</v>
      </c>
      <c r="N1729">
        <v>2010</v>
      </c>
      <c r="O1729" t="s">
        <v>13</v>
      </c>
      <c r="P1729" t="s">
        <v>340</v>
      </c>
      <c r="Q1729" t="s">
        <v>341</v>
      </c>
      <c r="R1729" t="s">
        <v>342</v>
      </c>
    </row>
    <row r="1730" spans="1:18" x14ac:dyDescent="0.25">
      <c r="A1730" t="s">
        <v>338</v>
      </c>
      <c r="B1730" t="s">
        <v>349</v>
      </c>
      <c r="C1730" t="s">
        <v>12</v>
      </c>
      <c r="D1730">
        <v>2</v>
      </c>
      <c r="E1730">
        <v>65</v>
      </c>
      <c r="F1730">
        <v>0.16405022000688699</v>
      </c>
      <c r="G1730">
        <v>481</v>
      </c>
      <c r="H1730">
        <v>8.0458011721685596E-2</v>
      </c>
      <c r="I1730">
        <v>349</v>
      </c>
      <c r="L1730">
        <v>9.9258375583617406E-5</v>
      </c>
      <c r="M1730">
        <v>7.2491088839202395E-4</v>
      </c>
      <c r="N1730">
        <v>2010</v>
      </c>
      <c r="O1730" t="s">
        <v>13</v>
      </c>
      <c r="P1730" t="s">
        <v>340</v>
      </c>
      <c r="Q1730" t="s">
        <v>341</v>
      </c>
      <c r="R1730" t="s">
        <v>342</v>
      </c>
    </row>
    <row r="1731" spans="1:18" x14ac:dyDescent="0.25">
      <c r="A1731" t="s">
        <v>338</v>
      </c>
      <c r="B1731" t="s">
        <v>349</v>
      </c>
      <c r="C1731" t="s">
        <v>12</v>
      </c>
      <c r="D1731">
        <v>2</v>
      </c>
      <c r="E1731">
        <v>75</v>
      </c>
      <c r="F1731">
        <v>0.18622480482366</v>
      </c>
      <c r="G1731">
        <v>357</v>
      </c>
      <c r="H1731">
        <v>0.10023517199666999</v>
      </c>
      <c r="I1731">
        <v>249</v>
      </c>
      <c r="L1731">
        <v>8.46635680154272E-5</v>
      </c>
      <c r="M1731">
        <v>4.9801795787865304E-4</v>
      </c>
      <c r="N1731">
        <v>2010</v>
      </c>
      <c r="O1731" t="s">
        <v>13</v>
      </c>
      <c r="P1731" t="s">
        <v>340</v>
      </c>
      <c r="Q1731" t="s">
        <v>341</v>
      </c>
      <c r="R1731" t="s">
        <v>342</v>
      </c>
    </row>
    <row r="1732" spans="1:18" x14ac:dyDescent="0.25">
      <c r="A1732" t="s">
        <v>338</v>
      </c>
      <c r="B1732" t="s">
        <v>349</v>
      </c>
      <c r="C1732" t="s">
        <v>12</v>
      </c>
      <c r="D1732">
        <v>2</v>
      </c>
      <c r="E1732">
        <v>84.91</v>
      </c>
      <c r="F1732">
        <v>0.131203553000833</v>
      </c>
      <c r="G1732">
        <v>223</v>
      </c>
      <c r="H1732">
        <v>0.105275159258108</v>
      </c>
      <c r="I1732">
        <v>163</v>
      </c>
      <c r="L1732">
        <v>1.34933344430615E-4</v>
      </c>
      <c r="M1732">
        <v>5.4775653991213902E-4</v>
      </c>
      <c r="N1732">
        <v>2010</v>
      </c>
      <c r="O1732" t="s">
        <v>13</v>
      </c>
      <c r="P1732" t="s">
        <v>340</v>
      </c>
      <c r="Q1732" t="s">
        <v>341</v>
      </c>
      <c r="R1732" t="s">
        <v>342</v>
      </c>
    </row>
    <row r="1733" spans="1:18" x14ac:dyDescent="0.25">
      <c r="A1733" t="s">
        <v>338</v>
      </c>
      <c r="B1733" t="s">
        <v>349</v>
      </c>
      <c r="C1733" t="s">
        <v>12</v>
      </c>
      <c r="D1733">
        <v>1</v>
      </c>
      <c r="E1733">
        <v>19</v>
      </c>
      <c r="F1733">
        <v>6.31982688256568E-3</v>
      </c>
      <c r="G1733">
        <v>169</v>
      </c>
      <c r="H1733">
        <v>8.4589326669454595E-3</v>
      </c>
      <c r="I1733">
        <v>147</v>
      </c>
      <c r="L1733">
        <v>2.8360907688490398E-4</v>
      </c>
      <c r="M1733">
        <v>2.1319015814726099E-3</v>
      </c>
      <c r="N1733">
        <v>2010</v>
      </c>
      <c r="O1733" t="s">
        <v>13</v>
      </c>
      <c r="P1733" t="s">
        <v>340</v>
      </c>
      <c r="Q1733" t="s">
        <v>341</v>
      </c>
      <c r="R1733" t="s">
        <v>342</v>
      </c>
    </row>
    <row r="1734" spans="1:18" x14ac:dyDescent="0.25">
      <c r="A1734" t="s">
        <v>338</v>
      </c>
      <c r="B1734" t="s">
        <v>349</v>
      </c>
      <c r="C1734" t="s">
        <v>12</v>
      </c>
      <c r="D1734">
        <v>1</v>
      </c>
      <c r="E1734">
        <v>25</v>
      </c>
      <c r="F1734">
        <v>5.9507697126374203E-3</v>
      </c>
      <c r="G1734">
        <v>485</v>
      </c>
      <c r="H1734">
        <v>1.1749060730891899E-2</v>
      </c>
      <c r="I1734">
        <v>443</v>
      </c>
      <c r="L1734">
        <v>3.7726540068753599E-4</v>
      </c>
      <c r="M1734">
        <v>1.9308587828996001E-3</v>
      </c>
      <c r="N1734">
        <v>2010</v>
      </c>
      <c r="O1734" t="s">
        <v>13</v>
      </c>
      <c r="P1734" t="s">
        <v>340</v>
      </c>
      <c r="Q1734" t="s">
        <v>341</v>
      </c>
      <c r="R1734" t="s">
        <v>342</v>
      </c>
    </row>
    <row r="1735" spans="1:18" x14ac:dyDescent="0.25">
      <c r="A1735" t="s">
        <v>338</v>
      </c>
      <c r="B1735" t="s">
        <v>349</v>
      </c>
      <c r="C1735" t="s">
        <v>12</v>
      </c>
      <c r="D1735">
        <v>1</v>
      </c>
      <c r="E1735">
        <v>35</v>
      </c>
      <c r="F1735">
        <v>2.45649370058133E-2</v>
      </c>
      <c r="G1735">
        <v>495</v>
      </c>
      <c r="H1735">
        <v>2.7668025786899399E-2</v>
      </c>
      <c r="I1735">
        <v>431</v>
      </c>
      <c r="L1735">
        <v>2.6794220007543302E-4</v>
      </c>
      <c r="M1735">
        <v>1.5863297718135001E-3</v>
      </c>
      <c r="N1735">
        <v>2010</v>
      </c>
      <c r="O1735" t="s">
        <v>13</v>
      </c>
      <c r="P1735" t="s">
        <v>340</v>
      </c>
      <c r="Q1735" t="s">
        <v>341</v>
      </c>
      <c r="R1735" t="s">
        <v>342</v>
      </c>
    </row>
    <row r="1736" spans="1:18" x14ac:dyDescent="0.25">
      <c r="A1736" t="s">
        <v>338</v>
      </c>
      <c r="B1736" t="s">
        <v>349</v>
      </c>
      <c r="C1736" t="s">
        <v>12</v>
      </c>
      <c r="D1736">
        <v>1</v>
      </c>
      <c r="E1736">
        <v>45</v>
      </c>
      <c r="F1736">
        <v>5.6853208114800997E-2</v>
      </c>
      <c r="G1736">
        <v>513</v>
      </c>
      <c r="H1736">
        <v>4.40701784462494E-2</v>
      </c>
      <c r="I1736">
        <v>456</v>
      </c>
      <c r="L1736">
        <v>1.3074066452367601E-4</v>
      </c>
      <c r="M1736">
        <v>8.7145254012811898E-4</v>
      </c>
      <c r="N1736">
        <v>2010</v>
      </c>
      <c r="O1736" t="s">
        <v>13</v>
      </c>
      <c r="P1736" t="s">
        <v>340</v>
      </c>
      <c r="Q1736" t="s">
        <v>341</v>
      </c>
      <c r="R1736" t="s">
        <v>342</v>
      </c>
    </row>
    <row r="1737" spans="1:18" x14ac:dyDescent="0.25">
      <c r="A1737" t="s">
        <v>338</v>
      </c>
      <c r="B1737" t="s">
        <v>349</v>
      </c>
      <c r="C1737" t="s">
        <v>12</v>
      </c>
      <c r="D1737">
        <v>1</v>
      </c>
      <c r="E1737">
        <v>55</v>
      </c>
      <c r="F1737">
        <v>9.6907874418092593E-2</v>
      </c>
      <c r="G1737">
        <v>502</v>
      </c>
      <c r="H1737">
        <v>0.103755283386988</v>
      </c>
      <c r="I1737">
        <v>409</v>
      </c>
      <c r="L1737">
        <v>1.3521012204192E-4</v>
      </c>
      <c r="M1737">
        <v>4.4195872145010902E-4</v>
      </c>
      <c r="N1737">
        <v>2010</v>
      </c>
      <c r="O1737" t="s">
        <v>13</v>
      </c>
      <c r="P1737" t="s">
        <v>340</v>
      </c>
      <c r="Q1737" t="s">
        <v>341</v>
      </c>
      <c r="R1737" t="s">
        <v>342</v>
      </c>
    </row>
    <row r="1738" spans="1:18" x14ac:dyDescent="0.25">
      <c r="A1738" t="s">
        <v>338</v>
      </c>
      <c r="B1738" t="s">
        <v>349</v>
      </c>
      <c r="C1738" t="s">
        <v>12</v>
      </c>
      <c r="D1738">
        <v>1</v>
      </c>
      <c r="E1738">
        <v>65</v>
      </c>
      <c r="F1738">
        <v>0.19232273694049101</v>
      </c>
      <c r="G1738">
        <v>478</v>
      </c>
      <c r="H1738">
        <v>0.122795937347027</v>
      </c>
      <c r="I1738">
        <v>354</v>
      </c>
      <c r="L1738">
        <v>8.2752032083447901E-5</v>
      </c>
      <c r="M1738">
        <v>3.66711646260881E-4</v>
      </c>
      <c r="N1738">
        <v>2010</v>
      </c>
      <c r="O1738" t="s">
        <v>13</v>
      </c>
      <c r="P1738" t="s">
        <v>340</v>
      </c>
      <c r="Q1738" t="s">
        <v>341</v>
      </c>
      <c r="R1738" t="s">
        <v>342</v>
      </c>
    </row>
    <row r="1739" spans="1:18" x14ac:dyDescent="0.25">
      <c r="A1739" t="s">
        <v>338</v>
      </c>
      <c r="B1739" t="s">
        <v>349</v>
      </c>
      <c r="C1739" t="s">
        <v>12</v>
      </c>
      <c r="D1739">
        <v>1</v>
      </c>
      <c r="E1739">
        <v>75</v>
      </c>
      <c r="F1739">
        <v>0.19276950610979801</v>
      </c>
      <c r="G1739">
        <v>330</v>
      </c>
      <c r="H1739">
        <v>0.112603183863099</v>
      </c>
      <c r="I1739">
        <v>237</v>
      </c>
      <c r="L1739">
        <v>1.0148042806096901E-4</v>
      </c>
      <c r="M1739">
        <v>5.1460426805116904E-4</v>
      </c>
      <c r="N1739">
        <v>2010</v>
      </c>
      <c r="O1739" t="s">
        <v>13</v>
      </c>
      <c r="P1739" t="s">
        <v>340</v>
      </c>
      <c r="Q1739" t="s">
        <v>341</v>
      </c>
      <c r="R1739" t="s">
        <v>342</v>
      </c>
    </row>
    <row r="1740" spans="1:18" x14ac:dyDescent="0.25">
      <c r="A1740" t="s">
        <v>338</v>
      </c>
      <c r="B1740" t="s">
        <v>349</v>
      </c>
      <c r="C1740" t="s">
        <v>12</v>
      </c>
      <c r="D1740">
        <v>1</v>
      </c>
      <c r="E1740">
        <v>84.91</v>
      </c>
      <c r="F1740">
        <v>0.17942073161488001</v>
      </c>
      <c r="G1740">
        <v>202</v>
      </c>
      <c r="H1740">
        <v>0.18368062376691599</v>
      </c>
      <c r="I1740">
        <v>150</v>
      </c>
      <c r="L1740">
        <v>1.74120203768143E-4</v>
      </c>
      <c r="M1740">
        <v>3.8882950575754298E-4</v>
      </c>
      <c r="N1740">
        <v>2010</v>
      </c>
      <c r="O1740" t="s">
        <v>13</v>
      </c>
      <c r="P1740" t="s">
        <v>340</v>
      </c>
      <c r="Q1740" t="s">
        <v>341</v>
      </c>
      <c r="R1740" t="s">
        <v>342</v>
      </c>
    </row>
    <row r="1741" spans="1:18" x14ac:dyDescent="0.25">
      <c r="A1741" t="s">
        <v>338</v>
      </c>
      <c r="B1741" t="s">
        <v>350</v>
      </c>
      <c r="C1741" t="s">
        <v>12</v>
      </c>
      <c r="D1741">
        <v>2</v>
      </c>
      <c r="E1741">
        <v>19</v>
      </c>
      <c r="F1741">
        <v>4.2446045654006004E-3</v>
      </c>
      <c r="G1741">
        <v>147</v>
      </c>
      <c r="H1741">
        <v>6.2583551492949498E-3</v>
      </c>
      <c r="I1741">
        <v>132</v>
      </c>
      <c r="L1741">
        <v>3.6169499492461098E-4</v>
      </c>
      <c r="M1741">
        <v>2.7255741526681799E-3</v>
      </c>
      <c r="N1741">
        <v>2012</v>
      </c>
      <c r="O1741" t="s">
        <v>13</v>
      </c>
      <c r="P1741" t="s">
        <v>340</v>
      </c>
      <c r="Q1741" t="s">
        <v>341</v>
      </c>
      <c r="R1741" t="s">
        <v>342</v>
      </c>
    </row>
    <row r="1742" spans="1:18" x14ac:dyDescent="0.25">
      <c r="A1742" t="s">
        <v>338</v>
      </c>
      <c r="B1742" t="s">
        <v>350</v>
      </c>
      <c r="C1742" t="s">
        <v>12</v>
      </c>
      <c r="D1742">
        <v>2</v>
      </c>
      <c r="E1742">
        <v>25</v>
      </c>
      <c r="F1742">
        <v>6.3841200093001501E-3</v>
      </c>
      <c r="G1742">
        <v>453</v>
      </c>
      <c r="H1742">
        <v>4.8653165805014704E-3</v>
      </c>
      <c r="I1742">
        <v>408</v>
      </c>
      <c r="L1742">
        <v>3.64726571356441E-4</v>
      </c>
      <c r="M1742">
        <v>5.1623747359979899E-3</v>
      </c>
      <c r="N1742">
        <v>2012</v>
      </c>
      <c r="O1742" t="s">
        <v>13</v>
      </c>
      <c r="P1742" t="s">
        <v>340</v>
      </c>
      <c r="Q1742" t="s">
        <v>341</v>
      </c>
      <c r="R1742" t="s">
        <v>342</v>
      </c>
    </row>
    <row r="1743" spans="1:18" x14ac:dyDescent="0.25">
      <c r="A1743" t="s">
        <v>338</v>
      </c>
      <c r="B1743" t="s">
        <v>350</v>
      </c>
      <c r="C1743" t="s">
        <v>12</v>
      </c>
      <c r="D1743">
        <v>2</v>
      </c>
      <c r="E1743">
        <v>35</v>
      </c>
      <c r="F1743">
        <v>1.44899450684788E-2</v>
      </c>
      <c r="G1743">
        <v>458</v>
      </c>
      <c r="H1743">
        <v>4.11260388333742E-2</v>
      </c>
      <c r="I1743">
        <v>409</v>
      </c>
      <c r="L1743">
        <v>7.3412419208639503E-5</v>
      </c>
      <c r="M1743">
        <v>1.9412837183950299E-4</v>
      </c>
      <c r="N1743">
        <v>2012</v>
      </c>
      <c r="O1743" t="s">
        <v>13</v>
      </c>
      <c r="P1743" t="s">
        <v>340</v>
      </c>
      <c r="Q1743" t="s">
        <v>341</v>
      </c>
      <c r="R1743" t="s">
        <v>342</v>
      </c>
    </row>
    <row r="1744" spans="1:18" x14ac:dyDescent="0.25">
      <c r="A1744" t="s">
        <v>338</v>
      </c>
      <c r="B1744" t="s">
        <v>350</v>
      </c>
      <c r="C1744" t="s">
        <v>12</v>
      </c>
      <c r="D1744">
        <v>2</v>
      </c>
      <c r="E1744">
        <v>45</v>
      </c>
      <c r="F1744">
        <v>4.6392847679559798E-2</v>
      </c>
      <c r="G1744">
        <v>468</v>
      </c>
      <c r="H1744">
        <v>4.5431620014478799E-2</v>
      </c>
      <c r="I1744">
        <v>410</v>
      </c>
      <c r="L1744">
        <v>1.4131472943402899E-4</v>
      </c>
      <c r="M1744">
        <v>7.6611626806185403E-4</v>
      </c>
      <c r="N1744">
        <v>2012</v>
      </c>
      <c r="O1744" t="s">
        <v>13</v>
      </c>
      <c r="P1744" t="s">
        <v>340</v>
      </c>
      <c r="Q1744" t="s">
        <v>341</v>
      </c>
      <c r="R1744" t="s">
        <v>342</v>
      </c>
    </row>
    <row r="1745" spans="1:18" x14ac:dyDescent="0.25">
      <c r="A1745" t="s">
        <v>338</v>
      </c>
      <c r="B1745" t="s">
        <v>350</v>
      </c>
      <c r="C1745" t="s">
        <v>12</v>
      </c>
      <c r="D1745">
        <v>2</v>
      </c>
      <c r="E1745">
        <v>55</v>
      </c>
      <c r="F1745">
        <v>9.9296777335133604E-2</v>
      </c>
      <c r="G1745">
        <v>477</v>
      </c>
      <c r="H1745">
        <v>4.8476012519060203E-2</v>
      </c>
      <c r="I1745">
        <v>378</v>
      </c>
      <c r="L1745">
        <v>7.6882113519318295E-5</v>
      </c>
      <c r="M1745">
        <v>7.4093755120984198E-4</v>
      </c>
      <c r="N1745">
        <v>2012</v>
      </c>
      <c r="O1745" t="s">
        <v>13</v>
      </c>
      <c r="P1745" t="s">
        <v>340</v>
      </c>
      <c r="Q1745" t="s">
        <v>341</v>
      </c>
      <c r="R1745" t="s">
        <v>342</v>
      </c>
    </row>
    <row r="1746" spans="1:18" x14ac:dyDescent="0.25">
      <c r="A1746" t="s">
        <v>338</v>
      </c>
      <c r="B1746" t="s">
        <v>350</v>
      </c>
      <c r="C1746" t="s">
        <v>12</v>
      </c>
      <c r="D1746">
        <v>2</v>
      </c>
      <c r="E1746">
        <v>65</v>
      </c>
      <c r="F1746">
        <v>0.14768630405238201</v>
      </c>
      <c r="G1746">
        <v>448</v>
      </c>
      <c r="H1746">
        <v>6.0229131901359201E-2</v>
      </c>
      <c r="I1746">
        <v>318</v>
      </c>
      <c r="L1746">
        <v>6.7102916513255204E-5</v>
      </c>
      <c r="M1746">
        <v>6.8518095172365504E-4</v>
      </c>
      <c r="N1746">
        <v>2012</v>
      </c>
      <c r="O1746" t="s">
        <v>13</v>
      </c>
      <c r="P1746" t="s">
        <v>340</v>
      </c>
      <c r="Q1746" t="s">
        <v>341</v>
      </c>
      <c r="R1746" t="s">
        <v>342</v>
      </c>
    </row>
    <row r="1747" spans="1:18" x14ac:dyDescent="0.25">
      <c r="A1747" t="s">
        <v>338</v>
      </c>
      <c r="B1747" t="s">
        <v>350</v>
      </c>
      <c r="C1747" t="s">
        <v>12</v>
      </c>
      <c r="D1747">
        <v>2</v>
      </c>
      <c r="E1747">
        <v>75</v>
      </c>
      <c r="F1747">
        <v>0.16620013017073501</v>
      </c>
      <c r="G1747">
        <v>260</v>
      </c>
      <c r="H1747">
        <v>8.5486240506643205E-2</v>
      </c>
      <c r="I1747">
        <v>178</v>
      </c>
      <c r="L1747">
        <v>1.0447837742175901E-4</v>
      </c>
      <c r="M1747">
        <v>7.0571265847504505E-4</v>
      </c>
      <c r="N1747">
        <v>2012</v>
      </c>
      <c r="O1747" t="s">
        <v>13</v>
      </c>
      <c r="P1747" t="s">
        <v>340</v>
      </c>
      <c r="Q1747" t="s">
        <v>341</v>
      </c>
      <c r="R1747" t="s">
        <v>342</v>
      </c>
    </row>
    <row r="1748" spans="1:18" x14ac:dyDescent="0.25">
      <c r="A1748" t="s">
        <v>338</v>
      </c>
      <c r="B1748" t="s">
        <v>350</v>
      </c>
      <c r="C1748" t="s">
        <v>12</v>
      </c>
      <c r="D1748">
        <v>2</v>
      </c>
      <c r="E1748">
        <v>84.91</v>
      </c>
      <c r="F1748">
        <v>0.13228051582005801</v>
      </c>
      <c r="G1748">
        <v>196</v>
      </c>
      <c r="H1748">
        <v>7.9954292805310301E-2</v>
      </c>
      <c r="I1748">
        <v>133</v>
      </c>
      <c r="L1748">
        <v>1.9543114733882599E-4</v>
      </c>
      <c r="M1748">
        <v>1.1856798337973201E-3</v>
      </c>
      <c r="N1748">
        <v>2012</v>
      </c>
      <c r="O1748" t="s">
        <v>13</v>
      </c>
      <c r="P1748" t="s">
        <v>340</v>
      </c>
      <c r="Q1748" t="s">
        <v>341</v>
      </c>
      <c r="R1748" t="s">
        <v>342</v>
      </c>
    </row>
    <row r="1749" spans="1:18" x14ac:dyDescent="0.25">
      <c r="A1749" t="s">
        <v>338</v>
      </c>
      <c r="B1749" t="s">
        <v>350</v>
      </c>
      <c r="C1749" t="s">
        <v>12</v>
      </c>
      <c r="D1749">
        <v>1</v>
      </c>
      <c r="E1749">
        <v>19</v>
      </c>
      <c r="F1749">
        <v>4.4089844766651001E-3</v>
      </c>
      <c r="G1749">
        <v>157</v>
      </c>
      <c r="H1749">
        <v>4.51306102793631E-3</v>
      </c>
      <c r="I1749">
        <v>147</v>
      </c>
      <c r="L1749">
        <v>1.2611531023882299E-3</v>
      </c>
      <c r="M1749">
        <v>1.4154356026668501E-2</v>
      </c>
      <c r="N1749">
        <v>2012</v>
      </c>
      <c r="O1749" t="s">
        <v>13</v>
      </c>
      <c r="P1749" t="s">
        <v>340</v>
      </c>
      <c r="Q1749" t="s">
        <v>341</v>
      </c>
      <c r="R1749" t="s">
        <v>342</v>
      </c>
    </row>
    <row r="1750" spans="1:18" x14ac:dyDescent="0.25">
      <c r="A1750" t="s">
        <v>338</v>
      </c>
      <c r="B1750" t="s">
        <v>350</v>
      </c>
      <c r="C1750" t="s">
        <v>12</v>
      </c>
      <c r="D1750">
        <v>1</v>
      </c>
      <c r="E1750">
        <v>25</v>
      </c>
      <c r="F1750">
        <v>5.8541467405319302E-3</v>
      </c>
      <c r="G1750">
        <v>510</v>
      </c>
      <c r="H1750">
        <v>1.0918164672560101E-2</v>
      </c>
      <c r="I1750">
        <v>445</v>
      </c>
      <c r="L1750">
        <v>5.0763532816608804E-4</v>
      </c>
      <c r="M1750">
        <v>2.76103202949339E-3</v>
      </c>
      <c r="N1750">
        <v>2012</v>
      </c>
      <c r="O1750" t="s">
        <v>13</v>
      </c>
      <c r="P1750" t="s">
        <v>340</v>
      </c>
      <c r="Q1750" t="s">
        <v>341</v>
      </c>
      <c r="R1750" t="s">
        <v>342</v>
      </c>
    </row>
    <row r="1751" spans="1:18" x14ac:dyDescent="0.25">
      <c r="A1751" t="s">
        <v>338</v>
      </c>
      <c r="B1751" t="s">
        <v>350</v>
      </c>
      <c r="C1751" t="s">
        <v>12</v>
      </c>
      <c r="D1751">
        <v>1</v>
      </c>
      <c r="E1751">
        <v>35</v>
      </c>
      <c r="F1751">
        <v>2.2112503960271802E-2</v>
      </c>
      <c r="G1751">
        <v>481</v>
      </c>
      <c r="H1751">
        <v>3.7511128268325998E-2</v>
      </c>
      <c r="I1751">
        <v>429</v>
      </c>
      <c r="L1751">
        <v>1.5802300992859601E-4</v>
      </c>
      <c r="M1751">
        <v>6.1032185156346301E-4</v>
      </c>
      <c r="N1751">
        <v>2012</v>
      </c>
      <c r="O1751" t="s">
        <v>13</v>
      </c>
      <c r="P1751" t="s">
        <v>340</v>
      </c>
      <c r="Q1751" t="s">
        <v>341</v>
      </c>
      <c r="R1751" t="s">
        <v>342</v>
      </c>
    </row>
    <row r="1752" spans="1:18" x14ac:dyDescent="0.25">
      <c r="A1752" t="s">
        <v>338</v>
      </c>
      <c r="B1752" t="s">
        <v>350</v>
      </c>
      <c r="C1752" t="s">
        <v>12</v>
      </c>
      <c r="D1752">
        <v>1</v>
      </c>
      <c r="E1752">
        <v>45</v>
      </c>
      <c r="F1752">
        <v>5.1600421419847803E-2</v>
      </c>
      <c r="G1752">
        <v>427</v>
      </c>
      <c r="H1752">
        <v>6.1579273667475003E-2</v>
      </c>
      <c r="I1752">
        <v>365</v>
      </c>
      <c r="L1752">
        <v>1.1453705945000401E-4</v>
      </c>
      <c r="M1752">
        <v>4.6070246396739701E-4</v>
      </c>
      <c r="N1752">
        <v>2012</v>
      </c>
      <c r="O1752" t="s">
        <v>13</v>
      </c>
      <c r="P1752" t="s">
        <v>340</v>
      </c>
      <c r="Q1752" t="s">
        <v>341</v>
      </c>
      <c r="R1752" t="s">
        <v>342</v>
      </c>
    </row>
    <row r="1753" spans="1:18" x14ac:dyDescent="0.25">
      <c r="A1753" t="s">
        <v>338</v>
      </c>
      <c r="B1753" t="s">
        <v>350</v>
      </c>
      <c r="C1753" t="s">
        <v>12</v>
      </c>
      <c r="D1753">
        <v>1</v>
      </c>
      <c r="E1753">
        <v>55</v>
      </c>
      <c r="F1753">
        <v>0.10899880112541301</v>
      </c>
      <c r="G1753">
        <v>435</v>
      </c>
      <c r="H1753">
        <v>0.101144417863932</v>
      </c>
      <c r="I1753">
        <v>336</v>
      </c>
      <c r="L1753">
        <v>1.1152616058942499E-4</v>
      </c>
      <c r="M1753">
        <v>4.1402263152373999E-4</v>
      </c>
      <c r="N1753">
        <v>2012</v>
      </c>
      <c r="O1753" t="s">
        <v>13</v>
      </c>
      <c r="P1753" t="s">
        <v>340</v>
      </c>
      <c r="Q1753" t="s">
        <v>341</v>
      </c>
      <c r="R1753" t="s">
        <v>342</v>
      </c>
    </row>
    <row r="1754" spans="1:18" x14ac:dyDescent="0.25">
      <c r="A1754" t="s">
        <v>338</v>
      </c>
      <c r="B1754" t="s">
        <v>350</v>
      </c>
      <c r="C1754" t="s">
        <v>12</v>
      </c>
      <c r="D1754">
        <v>1</v>
      </c>
      <c r="E1754">
        <v>65</v>
      </c>
      <c r="F1754">
        <v>0.162610395221571</v>
      </c>
      <c r="G1754">
        <v>458</v>
      </c>
      <c r="H1754">
        <v>6.1364212440253099E-2</v>
      </c>
      <c r="I1754">
        <v>333</v>
      </c>
      <c r="L1754">
        <v>1.4532806542576801E-4</v>
      </c>
      <c r="M1754">
        <v>1.57499812856181E-3</v>
      </c>
      <c r="N1754">
        <v>2012</v>
      </c>
      <c r="O1754" t="s">
        <v>13</v>
      </c>
      <c r="P1754" t="s">
        <v>340</v>
      </c>
      <c r="Q1754" t="s">
        <v>341</v>
      </c>
      <c r="R1754" t="s">
        <v>342</v>
      </c>
    </row>
    <row r="1755" spans="1:18" x14ac:dyDescent="0.25">
      <c r="A1755" t="s">
        <v>338</v>
      </c>
      <c r="B1755" t="s">
        <v>350</v>
      </c>
      <c r="C1755" t="s">
        <v>12</v>
      </c>
      <c r="D1755">
        <v>1</v>
      </c>
      <c r="E1755">
        <v>75</v>
      </c>
      <c r="F1755">
        <v>0.28270685865881501</v>
      </c>
      <c r="G1755">
        <v>259</v>
      </c>
      <c r="H1755">
        <v>8.9829409212856995E-2</v>
      </c>
      <c r="I1755">
        <v>163</v>
      </c>
      <c r="L1755">
        <v>7.9163158208064394E-5</v>
      </c>
      <c r="M1755">
        <v>8.1527800713927095E-4</v>
      </c>
      <c r="N1755">
        <v>2012</v>
      </c>
      <c r="O1755" t="s">
        <v>13</v>
      </c>
      <c r="P1755" t="s">
        <v>340</v>
      </c>
      <c r="Q1755" t="s">
        <v>341</v>
      </c>
      <c r="R1755" t="s">
        <v>342</v>
      </c>
    </row>
    <row r="1756" spans="1:18" x14ac:dyDescent="0.25">
      <c r="A1756" t="s">
        <v>338</v>
      </c>
      <c r="B1756" t="s">
        <v>350</v>
      </c>
      <c r="C1756" t="s">
        <v>12</v>
      </c>
      <c r="D1756">
        <v>1</v>
      </c>
      <c r="E1756">
        <v>84.91</v>
      </c>
      <c r="F1756">
        <v>0.144377731809024</v>
      </c>
      <c r="G1756">
        <v>167</v>
      </c>
      <c r="H1756">
        <v>0.12828966285517901</v>
      </c>
      <c r="I1756">
        <v>116</v>
      </c>
      <c r="L1756">
        <v>1.9964732026452899E-4</v>
      </c>
      <c r="M1756">
        <v>6.52739534370614E-4</v>
      </c>
      <c r="N1756">
        <v>2012</v>
      </c>
      <c r="O1756" t="s">
        <v>13</v>
      </c>
      <c r="P1756" t="s">
        <v>340</v>
      </c>
      <c r="Q1756" t="s">
        <v>341</v>
      </c>
      <c r="R1756" t="s">
        <v>342</v>
      </c>
    </row>
    <row r="1757" spans="1:18" x14ac:dyDescent="0.25">
      <c r="A1757" t="s">
        <v>338</v>
      </c>
      <c r="B1757" t="s">
        <v>351</v>
      </c>
      <c r="C1757" t="s">
        <v>12</v>
      </c>
      <c r="D1757">
        <v>2</v>
      </c>
      <c r="E1757">
        <v>19</v>
      </c>
      <c r="F1757">
        <v>5.6109020802181499E-3</v>
      </c>
      <c r="G1757">
        <v>186</v>
      </c>
      <c r="H1757">
        <v>2.16834415191694E-3</v>
      </c>
      <c r="I1757">
        <v>159</v>
      </c>
      <c r="L1757">
        <v>3.73855019063858E-4</v>
      </c>
      <c r="M1757">
        <v>1.29214698081325E-2</v>
      </c>
      <c r="N1757">
        <v>2014</v>
      </c>
      <c r="O1757" t="s">
        <v>13</v>
      </c>
      <c r="P1757" t="s">
        <v>340</v>
      </c>
      <c r="Q1757" t="s">
        <v>341</v>
      </c>
      <c r="R1757" t="s">
        <v>342</v>
      </c>
    </row>
    <row r="1758" spans="1:18" x14ac:dyDescent="0.25">
      <c r="A1758" t="s">
        <v>338</v>
      </c>
      <c r="B1758" t="s">
        <v>351</v>
      </c>
      <c r="C1758" t="s">
        <v>12</v>
      </c>
      <c r="D1758">
        <v>2</v>
      </c>
      <c r="E1758">
        <v>25</v>
      </c>
      <c r="F1758">
        <v>1.33074194872675E-3</v>
      </c>
      <c r="G1758">
        <v>445</v>
      </c>
      <c r="H1758">
        <v>1.0188795198742599E-2</v>
      </c>
      <c r="I1758">
        <v>409</v>
      </c>
      <c r="L1758">
        <v>5.0510145371700796E-4</v>
      </c>
      <c r="M1758">
        <v>1.20808066571283E-3</v>
      </c>
      <c r="N1758">
        <v>2014</v>
      </c>
      <c r="O1758" t="s">
        <v>13</v>
      </c>
      <c r="P1758" t="s">
        <v>340</v>
      </c>
      <c r="Q1758" t="s">
        <v>341</v>
      </c>
      <c r="R1758" t="s">
        <v>342</v>
      </c>
    </row>
    <row r="1759" spans="1:18" x14ac:dyDescent="0.25">
      <c r="A1759" t="s">
        <v>338</v>
      </c>
      <c r="B1759" t="s">
        <v>351</v>
      </c>
      <c r="C1759" t="s">
        <v>12</v>
      </c>
      <c r="D1759">
        <v>2</v>
      </c>
      <c r="E1759">
        <v>35</v>
      </c>
      <c r="F1759">
        <v>3.7075516717088898E-2</v>
      </c>
      <c r="G1759">
        <v>495</v>
      </c>
      <c r="H1759">
        <v>2.0485751236190699E-2</v>
      </c>
      <c r="I1759">
        <v>453</v>
      </c>
      <c r="L1759">
        <v>8.8925628488724097E-5</v>
      </c>
      <c r="M1759">
        <v>1.10404704491903E-3</v>
      </c>
      <c r="N1759">
        <v>2014</v>
      </c>
      <c r="O1759" t="s">
        <v>13</v>
      </c>
      <c r="P1759" t="s">
        <v>340</v>
      </c>
      <c r="Q1759" t="s">
        <v>341</v>
      </c>
      <c r="R1759" t="s">
        <v>342</v>
      </c>
    </row>
    <row r="1760" spans="1:18" x14ac:dyDescent="0.25">
      <c r="A1760" t="s">
        <v>338</v>
      </c>
      <c r="B1760" t="s">
        <v>351</v>
      </c>
      <c r="C1760" t="s">
        <v>12</v>
      </c>
      <c r="D1760">
        <v>2</v>
      </c>
      <c r="E1760">
        <v>45</v>
      </c>
      <c r="F1760">
        <v>5.1752828278165498E-2</v>
      </c>
      <c r="G1760">
        <v>554</v>
      </c>
      <c r="H1760">
        <v>3.2347126586549001E-2</v>
      </c>
      <c r="I1760">
        <v>489</v>
      </c>
      <c r="L1760">
        <v>1.04889311006406E-4</v>
      </c>
      <c r="M1760">
        <v>9.6992757717075399E-4</v>
      </c>
      <c r="N1760">
        <v>2014</v>
      </c>
      <c r="O1760" t="s">
        <v>13</v>
      </c>
      <c r="P1760" t="s">
        <v>340</v>
      </c>
      <c r="Q1760" t="s">
        <v>341</v>
      </c>
      <c r="R1760" t="s">
        <v>342</v>
      </c>
    </row>
    <row r="1761" spans="1:18" x14ac:dyDescent="0.25">
      <c r="A1761" t="s">
        <v>338</v>
      </c>
      <c r="B1761" t="s">
        <v>351</v>
      </c>
      <c r="C1761" t="s">
        <v>12</v>
      </c>
      <c r="D1761">
        <v>2</v>
      </c>
      <c r="E1761">
        <v>55</v>
      </c>
      <c r="F1761">
        <v>0.11742192897178499</v>
      </c>
      <c r="G1761">
        <v>483</v>
      </c>
      <c r="H1761">
        <v>4.5372790949245401E-2</v>
      </c>
      <c r="I1761">
        <v>389</v>
      </c>
      <c r="L1761">
        <v>4.9311958015051799E-5</v>
      </c>
      <c r="M1761">
        <v>6.1500582444245805E-4</v>
      </c>
      <c r="N1761">
        <v>2014</v>
      </c>
      <c r="O1761" t="s">
        <v>13</v>
      </c>
      <c r="P1761" t="s">
        <v>340</v>
      </c>
      <c r="Q1761" t="s">
        <v>341</v>
      </c>
      <c r="R1761" t="s">
        <v>342</v>
      </c>
    </row>
    <row r="1762" spans="1:18" x14ac:dyDescent="0.25">
      <c r="A1762" t="s">
        <v>338</v>
      </c>
      <c r="B1762" t="s">
        <v>351</v>
      </c>
      <c r="C1762" t="s">
        <v>12</v>
      </c>
      <c r="D1762">
        <v>2</v>
      </c>
      <c r="E1762">
        <v>65</v>
      </c>
      <c r="F1762">
        <v>0.13469750457920299</v>
      </c>
      <c r="G1762">
        <v>485</v>
      </c>
      <c r="H1762">
        <v>6.8939885626603498E-2</v>
      </c>
      <c r="I1762">
        <v>383</v>
      </c>
      <c r="L1762">
        <v>1.07032027939017E-4</v>
      </c>
      <c r="M1762">
        <v>8.2309846247743696E-4</v>
      </c>
      <c r="N1762">
        <v>2014</v>
      </c>
      <c r="O1762" t="s">
        <v>13</v>
      </c>
      <c r="P1762" t="s">
        <v>340</v>
      </c>
      <c r="Q1762" t="s">
        <v>341</v>
      </c>
      <c r="R1762" t="s">
        <v>342</v>
      </c>
    </row>
    <row r="1763" spans="1:18" x14ac:dyDescent="0.25">
      <c r="A1763" t="s">
        <v>338</v>
      </c>
      <c r="B1763" t="s">
        <v>351</v>
      </c>
      <c r="C1763" t="s">
        <v>12</v>
      </c>
      <c r="D1763">
        <v>2</v>
      </c>
      <c r="E1763">
        <v>75</v>
      </c>
      <c r="F1763">
        <v>0.19774154448392001</v>
      </c>
      <c r="G1763">
        <v>289</v>
      </c>
      <c r="H1763">
        <v>8.2698263736952896E-2</v>
      </c>
      <c r="I1763">
        <v>208</v>
      </c>
      <c r="L1763">
        <v>8.7101903266431695E-5</v>
      </c>
      <c r="M1763">
        <v>7.2615039320201701E-4</v>
      </c>
      <c r="N1763">
        <v>2014</v>
      </c>
      <c r="O1763" t="s">
        <v>13</v>
      </c>
      <c r="P1763" t="s">
        <v>340</v>
      </c>
      <c r="Q1763" t="s">
        <v>341</v>
      </c>
      <c r="R1763" t="s">
        <v>342</v>
      </c>
    </row>
    <row r="1764" spans="1:18" x14ac:dyDescent="0.25">
      <c r="A1764" t="s">
        <v>338</v>
      </c>
      <c r="B1764" t="s">
        <v>351</v>
      </c>
      <c r="C1764" t="s">
        <v>12</v>
      </c>
      <c r="D1764">
        <v>2</v>
      </c>
      <c r="E1764">
        <v>84.91</v>
      </c>
      <c r="F1764">
        <v>0.12940780565162499</v>
      </c>
      <c r="G1764">
        <v>191</v>
      </c>
      <c r="H1764">
        <v>8.5379354732073906E-2</v>
      </c>
      <c r="I1764">
        <v>143</v>
      </c>
      <c r="L1764">
        <v>2.7469581783973499E-4</v>
      </c>
      <c r="M1764">
        <v>1.48988704985507E-3</v>
      </c>
      <c r="N1764">
        <v>2014</v>
      </c>
      <c r="O1764" t="s">
        <v>13</v>
      </c>
      <c r="P1764" t="s">
        <v>340</v>
      </c>
      <c r="Q1764" t="s">
        <v>341</v>
      </c>
      <c r="R1764" t="s">
        <v>342</v>
      </c>
    </row>
    <row r="1765" spans="1:18" x14ac:dyDescent="0.25">
      <c r="A1765" t="s">
        <v>338</v>
      </c>
      <c r="B1765" t="s">
        <v>351</v>
      </c>
      <c r="C1765" t="s">
        <v>12</v>
      </c>
      <c r="D1765">
        <v>1</v>
      </c>
      <c r="E1765">
        <v>19</v>
      </c>
      <c r="F1765">
        <v>3.8396429752163099E-3</v>
      </c>
      <c r="G1765">
        <v>158</v>
      </c>
      <c r="H1765">
        <v>2.9962769460770899E-3</v>
      </c>
      <c r="I1765">
        <v>138</v>
      </c>
      <c r="L1765">
        <v>9.3211714449851601E-4</v>
      </c>
      <c r="M1765">
        <v>1.4723408366413501E-2</v>
      </c>
      <c r="N1765">
        <v>2014</v>
      </c>
      <c r="O1765" t="s">
        <v>13</v>
      </c>
      <c r="P1765" t="s">
        <v>340</v>
      </c>
      <c r="Q1765" t="s">
        <v>341</v>
      </c>
      <c r="R1765" t="s">
        <v>342</v>
      </c>
    </row>
    <row r="1766" spans="1:18" x14ac:dyDescent="0.25">
      <c r="A1766" t="s">
        <v>338</v>
      </c>
      <c r="B1766" t="s">
        <v>351</v>
      </c>
      <c r="C1766" t="s">
        <v>12</v>
      </c>
      <c r="D1766">
        <v>1</v>
      </c>
      <c r="E1766">
        <v>25</v>
      </c>
      <c r="F1766">
        <v>2.1964616076775899E-3</v>
      </c>
      <c r="G1766">
        <v>468</v>
      </c>
      <c r="H1766">
        <v>1.6733242543309899E-2</v>
      </c>
      <c r="I1766">
        <v>437</v>
      </c>
      <c r="L1766">
        <v>3.93715212492186E-4</v>
      </c>
      <c r="M1766">
        <v>8.2207652962136199E-4</v>
      </c>
      <c r="N1766">
        <v>2014</v>
      </c>
      <c r="O1766" t="s">
        <v>13</v>
      </c>
      <c r="P1766" t="s">
        <v>340</v>
      </c>
      <c r="Q1766" t="s">
        <v>341</v>
      </c>
      <c r="R1766" t="s">
        <v>342</v>
      </c>
    </row>
    <row r="1767" spans="1:18" x14ac:dyDescent="0.25">
      <c r="A1767" t="s">
        <v>338</v>
      </c>
      <c r="B1767" t="s">
        <v>351</v>
      </c>
      <c r="C1767" t="s">
        <v>12</v>
      </c>
      <c r="D1767">
        <v>1</v>
      </c>
      <c r="E1767">
        <v>35</v>
      </c>
      <c r="F1767">
        <v>1.36234623156231E-2</v>
      </c>
      <c r="G1767">
        <v>483</v>
      </c>
      <c r="H1767">
        <v>1.8801448588514302E-2</v>
      </c>
      <c r="I1767">
        <v>434</v>
      </c>
      <c r="L1767">
        <v>4.1578023795342599E-4</v>
      </c>
      <c r="M1767">
        <v>2.40778320377775E-3</v>
      </c>
      <c r="N1767">
        <v>2014</v>
      </c>
      <c r="O1767" t="s">
        <v>13</v>
      </c>
      <c r="P1767" t="s">
        <v>340</v>
      </c>
      <c r="Q1767" t="s">
        <v>341</v>
      </c>
      <c r="R1767" t="s">
        <v>342</v>
      </c>
    </row>
    <row r="1768" spans="1:18" x14ac:dyDescent="0.25">
      <c r="A1768" t="s">
        <v>338</v>
      </c>
      <c r="B1768" t="s">
        <v>351</v>
      </c>
      <c r="C1768" t="s">
        <v>12</v>
      </c>
      <c r="D1768">
        <v>1</v>
      </c>
      <c r="E1768">
        <v>45</v>
      </c>
      <c r="F1768">
        <v>7.0821776709483697E-2</v>
      </c>
      <c r="G1768">
        <v>478</v>
      </c>
      <c r="H1768">
        <v>5.7279463435577202E-2</v>
      </c>
      <c r="I1768">
        <v>407</v>
      </c>
      <c r="L1768">
        <v>7.5857373181285504E-5</v>
      </c>
      <c r="M1768">
        <v>4.3241278249461502E-4</v>
      </c>
      <c r="N1768">
        <v>2014</v>
      </c>
      <c r="O1768" t="s">
        <v>13</v>
      </c>
      <c r="P1768" t="s">
        <v>340</v>
      </c>
      <c r="Q1768" t="s">
        <v>341</v>
      </c>
      <c r="R1768" t="s">
        <v>342</v>
      </c>
    </row>
    <row r="1769" spans="1:18" x14ac:dyDescent="0.25">
      <c r="A1769" t="s">
        <v>338</v>
      </c>
      <c r="B1769" t="s">
        <v>351</v>
      </c>
      <c r="C1769" t="s">
        <v>12</v>
      </c>
      <c r="D1769">
        <v>1</v>
      </c>
      <c r="E1769">
        <v>55</v>
      </c>
      <c r="F1769">
        <v>0.116279683355748</v>
      </c>
      <c r="G1769">
        <v>454</v>
      </c>
      <c r="H1769">
        <v>8.4776058141399893E-2</v>
      </c>
      <c r="I1769">
        <v>374</v>
      </c>
      <c r="L1769">
        <v>9.5748529731113106E-5</v>
      </c>
      <c r="M1769">
        <v>4.81589636504539E-4</v>
      </c>
      <c r="N1769">
        <v>2014</v>
      </c>
      <c r="O1769" t="s">
        <v>13</v>
      </c>
      <c r="P1769" t="s">
        <v>340</v>
      </c>
      <c r="Q1769" t="s">
        <v>341</v>
      </c>
      <c r="R1769" t="s">
        <v>342</v>
      </c>
    </row>
    <row r="1770" spans="1:18" x14ac:dyDescent="0.25">
      <c r="A1770" t="s">
        <v>338</v>
      </c>
      <c r="B1770" t="s">
        <v>351</v>
      </c>
      <c r="C1770" t="s">
        <v>12</v>
      </c>
      <c r="D1770">
        <v>1</v>
      </c>
      <c r="E1770">
        <v>65</v>
      </c>
      <c r="F1770">
        <v>0.203013709989949</v>
      </c>
      <c r="G1770">
        <v>454</v>
      </c>
      <c r="H1770">
        <v>0.10354892654947399</v>
      </c>
      <c r="I1770">
        <v>321</v>
      </c>
      <c r="L1770">
        <v>1.15479846213271E-4</v>
      </c>
      <c r="M1770">
        <v>6.9836611927178403E-4</v>
      </c>
      <c r="N1770">
        <v>2014</v>
      </c>
      <c r="O1770" t="s">
        <v>13</v>
      </c>
      <c r="P1770" t="s">
        <v>340</v>
      </c>
      <c r="Q1770" t="s">
        <v>341</v>
      </c>
      <c r="R1770" t="s">
        <v>342</v>
      </c>
    </row>
    <row r="1771" spans="1:18" x14ac:dyDescent="0.25">
      <c r="A1771" t="s">
        <v>338</v>
      </c>
      <c r="B1771" t="s">
        <v>351</v>
      </c>
      <c r="C1771" t="s">
        <v>12</v>
      </c>
      <c r="D1771">
        <v>1</v>
      </c>
      <c r="E1771">
        <v>75</v>
      </c>
      <c r="F1771">
        <v>0.18491041579922399</v>
      </c>
      <c r="G1771">
        <v>258</v>
      </c>
      <c r="H1771">
        <v>0.13927492030681601</v>
      </c>
      <c r="I1771">
        <v>190</v>
      </c>
      <c r="L1771">
        <v>1.41490806785517E-4</v>
      </c>
      <c r="M1771">
        <v>4.9957287530219996E-4</v>
      </c>
      <c r="N1771">
        <v>2014</v>
      </c>
      <c r="O1771" t="s">
        <v>13</v>
      </c>
      <c r="P1771" t="s">
        <v>340</v>
      </c>
      <c r="Q1771" t="s">
        <v>341</v>
      </c>
      <c r="R1771" t="s">
        <v>342</v>
      </c>
    </row>
    <row r="1772" spans="1:18" x14ac:dyDescent="0.25">
      <c r="A1772" t="s">
        <v>338</v>
      </c>
      <c r="B1772" t="s">
        <v>351</v>
      </c>
      <c r="C1772" t="s">
        <v>12</v>
      </c>
      <c r="D1772">
        <v>1</v>
      </c>
      <c r="E1772">
        <v>84.91</v>
      </c>
      <c r="F1772">
        <v>0.13579171505742499</v>
      </c>
      <c r="G1772">
        <v>161</v>
      </c>
      <c r="H1772">
        <v>0.16098924346180701</v>
      </c>
      <c r="I1772">
        <v>125</v>
      </c>
      <c r="L1772">
        <v>1.2593181801925501E-4</v>
      </c>
      <c r="M1772">
        <v>2.8191091502718701E-4</v>
      </c>
      <c r="N1772">
        <v>2014</v>
      </c>
      <c r="O1772" t="s">
        <v>13</v>
      </c>
      <c r="P1772" t="s">
        <v>340</v>
      </c>
      <c r="Q1772" t="s">
        <v>341</v>
      </c>
      <c r="R1772" t="s">
        <v>342</v>
      </c>
    </row>
    <row r="1773" spans="1:18" x14ac:dyDescent="0.25">
      <c r="A1773" t="s">
        <v>338</v>
      </c>
      <c r="B1773" t="s">
        <v>352</v>
      </c>
      <c r="C1773" t="s">
        <v>12</v>
      </c>
      <c r="D1773">
        <v>2</v>
      </c>
      <c r="E1773">
        <v>19</v>
      </c>
      <c r="F1773">
        <v>3.2462380548531002E-3</v>
      </c>
      <c r="G1773">
        <v>131</v>
      </c>
      <c r="H1773">
        <v>3.6976552388461401E-3</v>
      </c>
      <c r="I1773">
        <v>108</v>
      </c>
      <c r="L1773">
        <v>1.1962675730268499E-3</v>
      </c>
      <c r="M1773">
        <v>1.28257486340249E-2</v>
      </c>
      <c r="N1773">
        <v>2016</v>
      </c>
      <c r="O1773" t="s">
        <v>13</v>
      </c>
      <c r="P1773" t="s">
        <v>340</v>
      </c>
      <c r="Q1773" t="s">
        <v>341</v>
      </c>
      <c r="R1773" t="s">
        <v>342</v>
      </c>
    </row>
    <row r="1774" spans="1:18" x14ac:dyDescent="0.25">
      <c r="A1774" t="s">
        <v>338</v>
      </c>
      <c r="B1774" t="s">
        <v>352</v>
      </c>
      <c r="C1774" t="s">
        <v>12</v>
      </c>
      <c r="D1774">
        <v>2</v>
      </c>
      <c r="E1774">
        <v>25</v>
      </c>
      <c r="F1774">
        <v>1.69795574698525E-3</v>
      </c>
      <c r="G1774">
        <v>475</v>
      </c>
      <c r="H1774">
        <v>1.10067626160708E-2</v>
      </c>
      <c r="I1774">
        <v>425</v>
      </c>
      <c r="L1774">
        <v>7.6043042807188695E-4</v>
      </c>
      <c r="M1774">
        <v>1.93538749540867E-3</v>
      </c>
      <c r="N1774">
        <v>2016</v>
      </c>
      <c r="O1774" t="s">
        <v>13</v>
      </c>
      <c r="P1774" t="s">
        <v>340</v>
      </c>
      <c r="Q1774" t="s">
        <v>341</v>
      </c>
      <c r="R1774" t="s">
        <v>342</v>
      </c>
    </row>
    <row r="1775" spans="1:18" x14ac:dyDescent="0.25">
      <c r="A1775" t="s">
        <v>338</v>
      </c>
      <c r="B1775" t="s">
        <v>352</v>
      </c>
      <c r="C1775" t="s">
        <v>12</v>
      </c>
      <c r="D1775">
        <v>2</v>
      </c>
      <c r="E1775">
        <v>35</v>
      </c>
      <c r="F1775">
        <v>2.88984760591222E-2</v>
      </c>
      <c r="G1775">
        <v>476</v>
      </c>
      <c r="H1775">
        <v>2.4379178115441401E-2</v>
      </c>
      <c r="I1775">
        <v>412</v>
      </c>
      <c r="L1775">
        <v>1.5782563952379501E-4</v>
      </c>
      <c r="M1775">
        <v>1.2495529511002601E-3</v>
      </c>
      <c r="N1775">
        <v>2016</v>
      </c>
      <c r="O1775" t="s">
        <v>13</v>
      </c>
      <c r="P1775" t="s">
        <v>340</v>
      </c>
      <c r="Q1775" t="s">
        <v>341</v>
      </c>
      <c r="R1775" t="s">
        <v>342</v>
      </c>
    </row>
    <row r="1776" spans="1:18" x14ac:dyDescent="0.25">
      <c r="A1776" t="s">
        <v>338</v>
      </c>
      <c r="B1776" t="s">
        <v>352</v>
      </c>
      <c r="C1776" t="s">
        <v>12</v>
      </c>
      <c r="D1776">
        <v>2</v>
      </c>
      <c r="E1776">
        <v>45</v>
      </c>
      <c r="F1776">
        <v>4.6798775640057799E-2</v>
      </c>
      <c r="G1776">
        <v>523</v>
      </c>
      <c r="H1776">
        <v>6.3316614235719507E-2</v>
      </c>
      <c r="I1776">
        <v>449</v>
      </c>
      <c r="L1776">
        <v>8.3773227574395295E-5</v>
      </c>
      <c r="M1776">
        <v>3.0284759671993998E-4</v>
      </c>
      <c r="N1776">
        <v>2016</v>
      </c>
      <c r="O1776" t="s">
        <v>13</v>
      </c>
      <c r="P1776" t="s">
        <v>340</v>
      </c>
      <c r="Q1776" t="s">
        <v>341</v>
      </c>
      <c r="R1776" t="s">
        <v>342</v>
      </c>
    </row>
    <row r="1777" spans="1:18" x14ac:dyDescent="0.25">
      <c r="A1777" t="s">
        <v>338</v>
      </c>
      <c r="B1777" t="s">
        <v>352</v>
      </c>
      <c r="C1777" t="s">
        <v>12</v>
      </c>
      <c r="D1777">
        <v>2</v>
      </c>
      <c r="E1777">
        <v>55</v>
      </c>
      <c r="F1777">
        <v>9.4393633914667804E-2</v>
      </c>
      <c r="G1777">
        <v>471</v>
      </c>
      <c r="H1777">
        <v>7.8774236553467797E-2</v>
      </c>
      <c r="I1777">
        <v>382</v>
      </c>
      <c r="L1777">
        <v>1.47786523515056E-4</v>
      </c>
      <c r="M1777">
        <v>6.9243485353129102E-4</v>
      </c>
      <c r="N1777">
        <v>2016</v>
      </c>
      <c r="O1777" t="s">
        <v>13</v>
      </c>
      <c r="P1777" t="s">
        <v>340</v>
      </c>
      <c r="Q1777" t="s">
        <v>341</v>
      </c>
      <c r="R1777" t="s">
        <v>342</v>
      </c>
    </row>
    <row r="1778" spans="1:18" x14ac:dyDescent="0.25">
      <c r="A1778" t="s">
        <v>338</v>
      </c>
      <c r="B1778" t="s">
        <v>352</v>
      </c>
      <c r="C1778" t="s">
        <v>12</v>
      </c>
      <c r="D1778">
        <v>2</v>
      </c>
      <c r="E1778">
        <v>65</v>
      </c>
      <c r="F1778">
        <v>0.16553657744123701</v>
      </c>
      <c r="G1778">
        <v>482</v>
      </c>
      <c r="H1778">
        <v>9.2550050431407196E-2</v>
      </c>
      <c r="I1778">
        <v>348</v>
      </c>
      <c r="L1778">
        <v>8.98022505269644E-5</v>
      </c>
      <c r="M1778">
        <v>5.3885642582317901E-4</v>
      </c>
      <c r="N1778">
        <v>2016</v>
      </c>
      <c r="O1778" t="s">
        <v>13</v>
      </c>
      <c r="P1778" t="s">
        <v>340</v>
      </c>
      <c r="Q1778" t="s">
        <v>341</v>
      </c>
      <c r="R1778" t="s">
        <v>342</v>
      </c>
    </row>
    <row r="1779" spans="1:18" x14ac:dyDescent="0.25">
      <c r="A1779" t="s">
        <v>338</v>
      </c>
      <c r="B1779" t="s">
        <v>352</v>
      </c>
      <c r="C1779" t="s">
        <v>12</v>
      </c>
      <c r="D1779">
        <v>2</v>
      </c>
      <c r="E1779">
        <v>75</v>
      </c>
      <c r="F1779">
        <v>0.15164567337760501</v>
      </c>
      <c r="G1779">
        <v>277</v>
      </c>
      <c r="H1779">
        <v>6.6351367552031401E-2</v>
      </c>
      <c r="I1779">
        <v>200</v>
      </c>
      <c r="L1779">
        <v>1.3904806023360401E-4</v>
      </c>
      <c r="M1779">
        <v>1.2606888803377201E-3</v>
      </c>
      <c r="N1779">
        <v>2016</v>
      </c>
      <c r="O1779" t="s">
        <v>13</v>
      </c>
      <c r="P1779" t="s">
        <v>340</v>
      </c>
      <c r="Q1779" t="s">
        <v>341</v>
      </c>
      <c r="R1779" t="s">
        <v>342</v>
      </c>
    </row>
    <row r="1780" spans="1:18" x14ac:dyDescent="0.25">
      <c r="A1780" t="s">
        <v>338</v>
      </c>
      <c r="B1780" t="s">
        <v>352</v>
      </c>
      <c r="C1780" t="s">
        <v>12</v>
      </c>
      <c r="D1780">
        <v>2</v>
      </c>
      <c r="E1780">
        <v>84.91</v>
      </c>
      <c r="F1780">
        <v>0.117828257046469</v>
      </c>
      <c r="G1780">
        <v>195</v>
      </c>
      <c r="H1780">
        <v>0.104942933495936</v>
      </c>
      <c r="I1780">
        <v>142</v>
      </c>
      <c r="L1780">
        <v>2.6020847118256502E-4</v>
      </c>
      <c r="M1780">
        <v>9.7420022939662002E-4</v>
      </c>
      <c r="N1780">
        <v>2016</v>
      </c>
      <c r="O1780" t="s">
        <v>13</v>
      </c>
      <c r="P1780" t="s">
        <v>340</v>
      </c>
      <c r="Q1780" t="s">
        <v>341</v>
      </c>
      <c r="R1780" t="s">
        <v>342</v>
      </c>
    </row>
    <row r="1781" spans="1:18" x14ac:dyDescent="0.25">
      <c r="A1781" t="s">
        <v>338</v>
      </c>
      <c r="B1781" t="s">
        <v>352</v>
      </c>
      <c r="C1781" t="s">
        <v>12</v>
      </c>
      <c r="D1781">
        <v>1</v>
      </c>
      <c r="E1781">
        <v>19</v>
      </c>
      <c r="F1781">
        <v>0</v>
      </c>
      <c r="G1781">
        <v>140</v>
      </c>
      <c r="H1781">
        <v>1.0288335714837E-2</v>
      </c>
      <c r="I1781">
        <v>129</v>
      </c>
      <c r="L1781">
        <v>6.7576723720202102E-4</v>
      </c>
      <c r="M1781">
        <v>0</v>
      </c>
      <c r="N1781">
        <v>2016</v>
      </c>
      <c r="O1781" t="s">
        <v>13</v>
      </c>
      <c r="P1781" t="s">
        <v>340</v>
      </c>
      <c r="Q1781" t="s">
        <v>341</v>
      </c>
      <c r="R1781" t="s">
        <v>342</v>
      </c>
    </row>
    <row r="1782" spans="1:18" x14ac:dyDescent="0.25">
      <c r="A1782" t="s">
        <v>338</v>
      </c>
      <c r="B1782" t="s">
        <v>352</v>
      </c>
      <c r="C1782" t="s">
        <v>12</v>
      </c>
      <c r="D1782">
        <v>1</v>
      </c>
      <c r="E1782">
        <v>25</v>
      </c>
      <c r="F1782">
        <v>1.30400392969157E-2</v>
      </c>
      <c r="G1782">
        <v>460</v>
      </c>
      <c r="H1782">
        <v>1.8847972728239699E-2</v>
      </c>
      <c r="I1782">
        <v>402</v>
      </c>
      <c r="L1782">
        <v>2.2775162710380299E-4</v>
      </c>
      <c r="M1782">
        <v>1.2719497604752499E-3</v>
      </c>
      <c r="N1782">
        <v>2016</v>
      </c>
      <c r="O1782" t="s">
        <v>13</v>
      </c>
      <c r="P1782" t="s">
        <v>340</v>
      </c>
      <c r="Q1782" t="s">
        <v>341</v>
      </c>
      <c r="R1782" t="s">
        <v>342</v>
      </c>
    </row>
    <row r="1783" spans="1:18" x14ac:dyDescent="0.25">
      <c r="A1783" t="s">
        <v>338</v>
      </c>
      <c r="B1783" t="s">
        <v>352</v>
      </c>
      <c r="C1783" t="s">
        <v>12</v>
      </c>
      <c r="D1783">
        <v>1</v>
      </c>
      <c r="E1783">
        <v>35</v>
      </c>
      <c r="F1783">
        <v>2.38777178267452E-2</v>
      </c>
      <c r="G1783">
        <v>476</v>
      </c>
      <c r="H1783">
        <v>4.1833018335100898E-2</v>
      </c>
      <c r="I1783">
        <v>414</v>
      </c>
      <c r="L1783">
        <v>2.6018215764959598E-4</v>
      </c>
      <c r="M1783">
        <v>9.3890509282458295E-4</v>
      </c>
      <c r="N1783">
        <v>2016</v>
      </c>
      <c r="O1783" t="s">
        <v>13</v>
      </c>
      <c r="P1783" t="s">
        <v>340</v>
      </c>
      <c r="Q1783" t="s">
        <v>341</v>
      </c>
      <c r="R1783" t="s">
        <v>342</v>
      </c>
    </row>
    <row r="1784" spans="1:18" x14ac:dyDescent="0.25">
      <c r="A1784" t="s">
        <v>338</v>
      </c>
      <c r="B1784" t="s">
        <v>352</v>
      </c>
      <c r="C1784" t="s">
        <v>12</v>
      </c>
      <c r="D1784">
        <v>1</v>
      </c>
      <c r="E1784">
        <v>45</v>
      </c>
      <c r="F1784">
        <v>5.9664961359296997E-2</v>
      </c>
      <c r="G1784">
        <v>414</v>
      </c>
      <c r="H1784">
        <v>6.6452886849164394E-2</v>
      </c>
      <c r="I1784">
        <v>355</v>
      </c>
      <c r="L1784">
        <v>1.1960500741549901E-4</v>
      </c>
      <c r="M1784">
        <v>4.8867285041226199E-4</v>
      </c>
      <c r="N1784">
        <v>2016</v>
      </c>
      <c r="O1784" t="s">
        <v>13</v>
      </c>
      <c r="P1784" t="s">
        <v>340</v>
      </c>
      <c r="Q1784" t="s">
        <v>341</v>
      </c>
      <c r="R1784" t="s">
        <v>342</v>
      </c>
    </row>
    <row r="1785" spans="1:18" x14ac:dyDescent="0.25">
      <c r="A1785" t="s">
        <v>338</v>
      </c>
      <c r="B1785" t="s">
        <v>352</v>
      </c>
      <c r="C1785" t="s">
        <v>12</v>
      </c>
      <c r="D1785">
        <v>1</v>
      </c>
      <c r="E1785">
        <v>55</v>
      </c>
      <c r="F1785">
        <v>0.124480671027196</v>
      </c>
      <c r="G1785">
        <v>451</v>
      </c>
      <c r="H1785">
        <v>0.12842236591977699</v>
      </c>
      <c r="I1785">
        <v>351</v>
      </c>
      <c r="L1785">
        <v>9.47059942277972E-5</v>
      </c>
      <c r="M1785">
        <v>2.7774165253062201E-4</v>
      </c>
      <c r="N1785">
        <v>2016</v>
      </c>
      <c r="O1785" t="s">
        <v>13</v>
      </c>
      <c r="P1785" t="s">
        <v>340</v>
      </c>
      <c r="Q1785" t="s">
        <v>341</v>
      </c>
      <c r="R1785" t="s">
        <v>342</v>
      </c>
    </row>
    <row r="1786" spans="1:18" x14ac:dyDescent="0.25">
      <c r="A1786" t="s">
        <v>338</v>
      </c>
      <c r="B1786" t="s">
        <v>352</v>
      </c>
      <c r="C1786" t="s">
        <v>12</v>
      </c>
      <c r="D1786">
        <v>1</v>
      </c>
      <c r="E1786">
        <v>65</v>
      </c>
      <c r="F1786">
        <v>0.23857333384052101</v>
      </c>
      <c r="G1786">
        <v>467</v>
      </c>
      <c r="H1786">
        <v>6.7199274134805101E-2</v>
      </c>
      <c r="I1786">
        <v>317</v>
      </c>
      <c r="L1786">
        <v>5.6931273332632503E-5</v>
      </c>
      <c r="M1786">
        <v>7.9048020319005602E-4</v>
      </c>
      <c r="N1786">
        <v>2016</v>
      </c>
      <c r="O1786" t="s">
        <v>13</v>
      </c>
      <c r="P1786" t="s">
        <v>340</v>
      </c>
      <c r="Q1786" t="s">
        <v>341</v>
      </c>
      <c r="R1786" t="s">
        <v>342</v>
      </c>
    </row>
    <row r="1787" spans="1:18" x14ac:dyDescent="0.25">
      <c r="A1787" t="s">
        <v>338</v>
      </c>
      <c r="B1787" t="s">
        <v>352</v>
      </c>
      <c r="C1787" t="s">
        <v>12</v>
      </c>
      <c r="D1787">
        <v>1</v>
      </c>
      <c r="E1787">
        <v>75</v>
      </c>
      <c r="F1787">
        <v>0.31316354599819402</v>
      </c>
      <c r="G1787">
        <v>298</v>
      </c>
      <c r="H1787">
        <v>0.11237761698820301</v>
      </c>
      <c r="I1787">
        <v>185</v>
      </c>
      <c r="L1787">
        <v>7.6159715558380493E-5</v>
      </c>
      <c r="M1787">
        <v>6.0473492244225496E-4</v>
      </c>
      <c r="N1787">
        <v>2016</v>
      </c>
      <c r="O1787" t="s">
        <v>13</v>
      </c>
      <c r="P1787" t="s">
        <v>340</v>
      </c>
      <c r="Q1787" t="s">
        <v>341</v>
      </c>
      <c r="R1787" t="s">
        <v>342</v>
      </c>
    </row>
    <row r="1788" spans="1:18" x14ac:dyDescent="0.25">
      <c r="A1788" t="s">
        <v>338</v>
      </c>
      <c r="B1788" t="s">
        <v>352</v>
      </c>
      <c r="C1788" t="s">
        <v>12</v>
      </c>
      <c r="D1788">
        <v>1</v>
      </c>
      <c r="E1788">
        <v>84.91</v>
      </c>
      <c r="F1788">
        <v>0.17475707464479301</v>
      </c>
      <c r="G1788">
        <v>180</v>
      </c>
      <c r="H1788">
        <v>0.15356428024820701</v>
      </c>
      <c r="I1788">
        <v>121</v>
      </c>
      <c r="L1788">
        <v>3.31263761975851E-4</v>
      </c>
      <c r="M1788">
        <v>9.6138901296845898E-4</v>
      </c>
      <c r="N1788">
        <v>2016</v>
      </c>
      <c r="O1788" t="s">
        <v>13</v>
      </c>
      <c r="P1788" t="s">
        <v>340</v>
      </c>
      <c r="Q1788" t="s">
        <v>341</v>
      </c>
      <c r="R1788" t="s">
        <v>342</v>
      </c>
    </row>
    <row r="1789" spans="1:18" x14ac:dyDescent="0.25">
      <c r="A1789" t="s">
        <v>338</v>
      </c>
      <c r="B1789" t="s">
        <v>353</v>
      </c>
      <c r="C1789" t="s">
        <v>12</v>
      </c>
      <c r="D1789">
        <v>2</v>
      </c>
      <c r="E1789">
        <v>19</v>
      </c>
      <c r="F1789">
        <v>2.7132427484954E-3</v>
      </c>
      <c r="G1789">
        <v>149</v>
      </c>
      <c r="H1789">
        <v>7.5486298269511797E-3</v>
      </c>
      <c r="I1789">
        <v>124</v>
      </c>
      <c r="L1789">
        <v>4.7944464919332002E-4</v>
      </c>
      <c r="M1789">
        <v>2.1841690995107002E-3</v>
      </c>
      <c r="N1789">
        <v>2018</v>
      </c>
      <c r="O1789" t="s">
        <v>13</v>
      </c>
      <c r="P1789" t="s">
        <v>340</v>
      </c>
      <c r="Q1789" t="s">
        <v>341</v>
      </c>
      <c r="R1789" t="s">
        <v>342</v>
      </c>
    </row>
    <row r="1790" spans="1:18" x14ac:dyDescent="0.25">
      <c r="A1790" t="s">
        <v>338</v>
      </c>
      <c r="B1790" t="s">
        <v>353</v>
      </c>
      <c r="C1790" t="s">
        <v>12</v>
      </c>
      <c r="D1790">
        <v>2</v>
      </c>
      <c r="E1790">
        <v>25</v>
      </c>
      <c r="F1790">
        <v>6.9799019700896E-3</v>
      </c>
      <c r="G1790">
        <v>394</v>
      </c>
      <c r="H1790">
        <v>2.3611503654618098E-2</v>
      </c>
      <c r="I1790">
        <v>352</v>
      </c>
      <c r="L1790">
        <v>9.8951864438387498E-5</v>
      </c>
      <c r="M1790">
        <v>2.8768409575485702E-4</v>
      </c>
      <c r="N1790">
        <v>2018</v>
      </c>
      <c r="O1790" t="s">
        <v>13</v>
      </c>
      <c r="P1790" t="s">
        <v>340</v>
      </c>
      <c r="Q1790" t="s">
        <v>341</v>
      </c>
      <c r="R1790" t="s">
        <v>342</v>
      </c>
    </row>
    <row r="1791" spans="1:18" x14ac:dyDescent="0.25">
      <c r="A1791" t="s">
        <v>338</v>
      </c>
      <c r="B1791" t="s">
        <v>353</v>
      </c>
      <c r="C1791" t="s">
        <v>12</v>
      </c>
      <c r="D1791">
        <v>2</v>
      </c>
      <c r="E1791">
        <v>35</v>
      </c>
      <c r="F1791">
        <v>3.4825563423637303E-2</v>
      </c>
      <c r="G1791">
        <v>441</v>
      </c>
      <c r="H1791">
        <v>3.1329870088332497E-2</v>
      </c>
      <c r="I1791">
        <v>384</v>
      </c>
      <c r="L1791">
        <v>1.1562229921997901E-4</v>
      </c>
      <c r="M1791">
        <v>7.8691807791675698E-4</v>
      </c>
      <c r="N1791">
        <v>2018</v>
      </c>
      <c r="O1791" t="s">
        <v>13</v>
      </c>
      <c r="P1791" t="s">
        <v>340</v>
      </c>
      <c r="Q1791" t="s">
        <v>341</v>
      </c>
      <c r="R1791" t="s">
        <v>342</v>
      </c>
    </row>
    <row r="1792" spans="1:18" x14ac:dyDescent="0.25">
      <c r="A1792" t="s">
        <v>338</v>
      </c>
      <c r="B1792" t="s">
        <v>353</v>
      </c>
      <c r="C1792" t="s">
        <v>12</v>
      </c>
      <c r="D1792">
        <v>2</v>
      </c>
      <c r="E1792">
        <v>45</v>
      </c>
      <c r="F1792">
        <v>6.3090432746244096E-2</v>
      </c>
      <c r="G1792">
        <v>427</v>
      </c>
      <c r="H1792">
        <v>4.3714273688726699E-2</v>
      </c>
      <c r="I1792">
        <v>359</v>
      </c>
      <c r="L1792">
        <v>1.2233460512875899E-4</v>
      </c>
      <c r="M1792">
        <v>9.0230321512489102E-4</v>
      </c>
      <c r="N1792">
        <v>2018</v>
      </c>
      <c r="O1792" t="s">
        <v>13</v>
      </c>
      <c r="P1792" t="s">
        <v>340</v>
      </c>
      <c r="Q1792" t="s">
        <v>341</v>
      </c>
      <c r="R1792" t="s">
        <v>342</v>
      </c>
    </row>
    <row r="1793" spans="1:18" x14ac:dyDescent="0.25">
      <c r="A1793" t="s">
        <v>338</v>
      </c>
      <c r="B1793" t="s">
        <v>353</v>
      </c>
      <c r="C1793" t="s">
        <v>12</v>
      </c>
      <c r="D1793">
        <v>2</v>
      </c>
      <c r="E1793">
        <v>55</v>
      </c>
      <c r="F1793">
        <v>9.9973474573210402E-2</v>
      </c>
      <c r="G1793">
        <v>487</v>
      </c>
      <c r="H1793">
        <v>8.2218537119301202E-2</v>
      </c>
      <c r="I1793">
        <v>391</v>
      </c>
      <c r="L1793">
        <v>6.3710716271338206E-5</v>
      </c>
      <c r="M1793">
        <v>2.9505332164364399E-4</v>
      </c>
      <c r="N1793">
        <v>2018</v>
      </c>
      <c r="O1793" t="s">
        <v>13</v>
      </c>
      <c r="P1793" t="s">
        <v>340</v>
      </c>
      <c r="Q1793" t="s">
        <v>341</v>
      </c>
      <c r="R1793" t="s">
        <v>342</v>
      </c>
    </row>
    <row r="1794" spans="1:18" x14ac:dyDescent="0.25">
      <c r="A1794" t="s">
        <v>338</v>
      </c>
      <c r="B1794" t="s">
        <v>353</v>
      </c>
      <c r="C1794" t="s">
        <v>12</v>
      </c>
      <c r="D1794">
        <v>2</v>
      </c>
      <c r="E1794">
        <v>65</v>
      </c>
      <c r="F1794">
        <v>0.14747946632686201</v>
      </c>
      <c r="G1794">
        <v>543</v>
      </c>
      <c r="H1794">
        <v>5.7909984058484902E-2</v>
      </c>
      <c r="I1794">
        <v>371</v>
      </c>
      <c r="L1794">
        <v>1.2662369633005999E-4</v>
      </c>
      <c r="M1794">
        <v>1.3636759841526101E-3</v>
      </c>
      <c r="N1794">
        <v>2018</v>
      </c>
      <c r="O1794" t="s">
        <v>13</v>
      </c>
      <c r="P1794" t="s">
        <v>340</v>
      </c>
      <c r="Q1794" t="s">
        <v>341</v>
      </c>
      <c r="R1794" t="s">
        <v>342</v>
      </c>
    </row>
    <row r="1795" spans="1:18" x14ac:dyDescent="0.25">
      <c r="A1795" t="s">
        <v>338</v>
      </c>
      <c r="B1795" t="s">
        <v>353</v>
      </c>
      <c r="C1795" t="s">
        <v>12</v>
      </c>
      <c r="D1795">
        <v>2</v>
      </c>
      <c r="E1795">
        <v>75</v>
      </c>
      <c r="F1795">
        <v>0.19689374317178099</v>
      </c>
      <c r="G1795">
        <v>297</v>
      </c>
      <c r="H1795">
        <v>0.10068533127174401</v>
      </c>
      <c r="I1795">
        <v>208</v>
      </c>
      <c r="L1795">
        <v>1.6086743726412099E-4</v>
      </c>
      <c r="M1795">
        <v>9.8398762518875208E-4</v>
      </c>
      <c r="N1795">
        <v>2018</v>
      </c>
      <c r="O1795" t="s">
        <v>13</v>
      </c>
      <c r="P1795" t="s">
        <v>340</v>
      </c>
      <c r="Q1795" t="s">
        <v>341</v>
      </c>
      <c r="R1795" t="s">
        <v>342</v>
      </c>
    </row>
    <row r="1796" spans="1:18" x14ac:dyDescent="0.25">
      <c r="A1796" t="s">
        <v>338</v>
      </c>
      <c r="B1796" t="s">
        <v>353</v>
      </c>
      <c r="C1796" t="s">
        <v>12</v>
      </c>
      <c r="D1796">
        <v>2</v>
      </c>
      <c r="E1796">
        <v>84.91</v>
      </c>
      <c r="F1796">
        <v>0.23577157483972999</v>
      </c>
      <c r="G1796">
        <v>221</v>
      </c>
      <c r="H1796">
        <v>0.10601014182044</v>
      </c>
      <c r="I1796">
        <v>147</v>
      </c>
      <c r="L1796">
        <v>8.0510215531275593E-5</v>
      </c>
      <c r="M1796">
        <v>5.3620070993808198E-4</v>
      </c>
      <c r="N1796">
        <v>2018</v>
      </c>
      <c r="O1796" t="s">
        <v>13</v>
      </c>
      <c r="P1796" t="s">
        <v>340</v>
      </c>
      <c r="Q1796" t="s">
        <v>341</v>
      </c>
      <c r="R1796" t="s">
        <v>342</v>
      </c>
    </row>
    <row r="1797" spans="1:18" x14ac:dyDescent="0.25">
      <c r="A1797" t="s">
        <v>338</v>
      </c>
      <c r="B1797" t="s">
        <v>353</v>
      </c>
      <c r="C1797" t="s">
        <v>12</v>
      </c>
      <c r="D1797">
        <v>1</v>
      </c>
      <c r="E1797">
        <v>19</v>
      </c>
      <c r="F1797">
        <v>9.5115620013723201E-3</v>
      </c>
      <c r="G1797">
        <v>138</v>
      </c>
      <c r="H1797">
        <v>6.41979837331705E-3</v>
      </c>
      <c r="I1797">
        <v>117</v>
      </c>
      <c r="L1797">
        <v>1.75230849882959E-4</v>
      </c>
      <c r="M1797">
        <v>2.58132488088456E-3</v>
      </c>
      <c r="N1797">
        <v>2018</v>
      </c>
      <c r="O1797" t="s">
        <v>13</v>
      </c>
      <c r="P1797" t="s">
        <v>340</v>
      </c>
      <c r="Q1797" t="s">
        <v>341</v>
      </c>
      <c r="R1797" t="s">
        <v>342</v>
      </c>
    </row>
    <row r="1798" spans="1:18" x14ac:dyDescent="0.25">
      <c r="A1798" t="s">
        <v>338</v>
      </c>
      <c r="B1798" t="s">
        <v>353</v>
      </c>
      <c r="C1798" t="s">
        <v>12</v>
      </c>
      <c r="D1798">
        <v>1</v>
      </c>
      <c r="E1798">
        <v>25</v>
      </c>
      <c r="F1798">
        <v>2.3229709160829501E-3</v>
      </c>
      <c r="G1798">
        <v>406</v>
      </c>
      <c r="H1798">
        <v>1.10054488986038E-2</v>
      </c>
      <c r="I1798">
        <v>353</v>
      </c>
      <c r="L1798">
        <v>4.6444059526889499E-4</v>
      </c>
      <c r="M1798">
        <v>1.39088813853523E-3</v>
      </c>
      <c r="N1798">
        <v>2018</v>
      </c>
      <c r="O1798" t="s">
        <v>13</v>
      </c>
      <c r="P1798" t="s">
        <v>340</v>
      </c>
      <c r="Q1798" t="s">
        <v>341</v>
      </c>
      <c r="R1798" t="s">
        <v>342</v>
      </c>
    </row>
    <row r="1799" spans="1:18" x14ac:dyDescent="0.25">
      <c r="A1799" t="s">
        <v>338</v>
      </c>
      <c r="B1799" t="s">
        <v>353</v>
      </c>
      <c r="C1799" t="s">
        <v>12</v>
      </c>
      <c r="D1799">
        <v>1</v>
      </c>
      <c r="E1799">
        <v>35</v>
      </c>
      <c r="F1799">
        <v>2.41525509099953E-2</v>
      </c>
      <c r="G1799">
        <v>393</v>
      </c>
      <c r="H1799">
        <v>2.3864245549470999E-2</v>
      </c>
      <c r="I1799">
        <v>336</v>
      </c>
      <c r="L1799">
        <v>3.8234018104979002E-4</v>
      </c>
      <c r="M1799">
        <v>2.6587897901379099E-3</v>
      </c>
      <c r="N1799">
        <v>2018</v>
      </c>
      <c r="O1799" t="s">
        <v>13</v>
      </c>
      <c r="P1799" t="s">
        <v>340</v>
      </c>
      <c r="Q1799" t="s">
        <v>341</v>
      </c>
      <c r="R1799" t="s">
        <v>342</v>
      </c>
    </row>
    <row r="1800" spans="1:18" x14ac:dyDescent="0.25">
      <c r="A1800" t="s">
        <v>338</v>
      </c>
      <c r="B1800" t="s">
        <v>353</v>
      </c>
      <c r="C1800" t="s">
        <v>12</v>
      </c>
      <c r="D1800">
        <v>1</v>
      </c>
      <c r="E1800">
        <v>45</v>
      </c>
      <c r="F1800">
        <v>0.100647862575463</v>
      </c>
      <c r="G1800">
        <v>382</v>
      </c>
      <c r="H1800">
        <v>4.6820275208881199E-2</v>
      </c>
      <c r="I1800">
        <v>305</v>
      </c>
      <c r="L1800">
        <v>1.3382669120760301E-4</v>
      </c>
      <c r="M1800">
        <v>1.3675507941722301E-3</v>
      </c>
      <c r="N1800">
        <v>2018</v>
      </c>
      <c r="O1800" t="s">
        <v>13</v>
      </c>
      <c r="P1800" t="s">
        <v>340</v>
      </c>
      <c r="Q1800" t="s">
        <v>341</v>
      </c>
      <c r="R1800" t="s">
        <v>342</v>
      </c>
    </row>
    <row r="1801" spans="1:18" x14ac:dyDescent="0.25">
      <c r="A1801" t="s">
        <v>338</v>
      </c>
      <c r="B1801" t="s">
        <v>353</v>
      </c>
      <c r="C1801" t="s">
        <v>12</v>
      </c>
      <c r="D1801">
        <v>1</v>
      </c>
      <c r="E1801">
        <v>55</v>
      </c>
      <c r="F1801">
        <v>0.13805802992777599</v>
      </c>
      <c r="G1801">
        <v>431</v>
      </c>
      <c r="H1801">
        <v>0.104900037470635</v>
      </c>
      <c r="I1801">
        <v>329</v>
      </c>
      <c r="L1801">
        <v>9.3736744742073605E-5</v>
      </c>
      <c r="M1801">
        <v>3.9949865812552898E-4</v>
      </c>
      <c r="N1801">
        <v>2018</v>
      </c>
      <c r="O1801" t="s">
        <v>13</v>
      </c>
      <c r="P1801" t="s">
        <v>340</v>
      </c>
      <c r="Q1801" t="s">
        <v>341</v>
      </c>
      <c r="R1801" t="s">
        <v>342</v>
      </c>
    </row>
    <row r="1802" spans="1:18" x14ac:dyDescent="0.25">
      <c r="A1802" t="s">
        <v>338</v>
      </c>
      <c r="B1802" t="s">
        <v>353</v>
      </c>
      <c r="C1802" t="s">
        <v>12</v>
      </c>
      <c r="D1802">
        <v>1</v>
      </c>
      <c r="E1802">
        <v>65</v>
      </c>
      <c r="F1802">
        <v>0.21647816133674999</v>
      </c>
      <c r="G1802">
        <v>561</v>
      </c>
      <c r="H1802">
        <v>0.114102677929387</v>
      </c>
      <c r="I1802">
        <v>372</v>
      </c>
      <c r="L1802">
        <v>1.2276837487076999E-4</v>
      </c>
      <c r="M1802">
        <v>6.7403255366906001E-4</v>
      </c>
      <c r="N1802">
        <v>2018</v>
      </c>
      <c r="O1802" t="s">
        <v>13</v>
      </c>
      <c r="P1802" t="s">
        <v>340</v>
      </c>
      <c r="Q1802" t="s">
        <v>341</v>
      </c>
      <c r="R1802" t="s">
        <v>342</v>
      </c>
    </row>
    <row r="1803" spans="1:18" x14ac:dyDescent="0.25">
      <c r="A1803" t="s">
        <v>338</v>
      </c>
      <c r="B1803" t="s">
        <v>353</v>
      </c>
      <c r="C1803" t="s">
        <v>12</v>
      </c>
      <c r="D1803">
        <v>1</v>
      </c>
      <c r="E1803">
        <v>75</v>
      </c>
      <c r="F1803">
        <v>0.30021527991257602</v>
      </c>
      <c r="G1803">
        <v>322</v>
      </c>
      <c r="H1803">
        <v>0.10661238943831999</v>
      </c>
      <c r="I1803">
        <v>181</v>
      </c>
      <c r="L1803">
        <v>1.3490601698102801E-4</v>
      </c>
      <c r="M1803">
        <v>1.1118302842787E-3</v>
      </c>
      <c r="N1803">
        <v>2018</v>
      </c>
      <c r="O1803" t="s">
        <v>13</v>
      </c>
      <c r="P1803" t="s">
        <v>340</v>
      </c>
      <c r="Q1803" t="s">
        <v>341</v>
      </c>
      <c r="R1803" t="s">
        <v>342</v>
      </c>
    </row>
    <row r="1804" spans="1:18" x14ac:dyDescent="0.25">
      <c r="A1804" t="s">
        <v>338</v>
      </c>
      <c r="B1804" t="s">
        <v>353</v>
      </c>
      <c r="C1804" t="s">
        <v>12</v>
      </c>
      <c r="D1804">
        <v>1</v>
      </c>
      <c r="E1804">
        <v>84.91</v>
      </c>
      <c r="F1804">
        <v>0.25784702509052199</v>
      </c>
      <c r="G1804">
        <v>206</v>
      </c>
      <c r="H1804">
        <v>0.119594760653498</v>
      </c>
      <c r="I1804">
        <v>130</v>
      </c>
      <c r="L1804">
        <v>1.4922233290466601E-4</v>
      </c>
      <c r="M1804">
        <v>8.88836625810117E-4</v>
      </c>
      <c r="N1804">
        <v>2018</v>
      </c>
      <c r="O1804" t="s">
        <v>13</v>
      </c>
      <c r="P1804" t="s">
        <v>340</v>
      </c>
      <c r="Q1804" t="s">
        <v>341</v>
      </c>
      <c r="R1804" t="s">
        <v>342</v>
      </c>
    </row>
    <row r="1805" spans="1:18" x14ac:dyDescent="0.25">
      <c r="A1805" t="s">
        <v>338</v>
      </c>
      <c r="B1805" t="s">
        <v>354</v>
      </c>
      <c r="C1805" t="s">
        <v>12</v>
      </c>
      <c r="D1805">
        <v>2</v>
      </c>
      <c r="E1805">
        <v>19</v>
      </c>
      <c r="F1805">
        <v>0</v>
      </c>
      <c r="G1805">
        <v>73</v>
      </c>
      <c r="H1805">
        <v>2.56508420887302E-3</v>
      </c>
      <c r="I1805">
        <v>56</v>
      </c>
      <c r="L1805">
        <v>4.4995409290735297E-3</v>
      </c>
      <c r="M1805">
        <v>0</v>
      </c>
      <c r="N1805">
        <v>2019</v>
      </c>
      <c r="O1805" t="s">
        <v>53</v>
      </c>
      <c r="P1805" t="s">
        <v>340</v>
      </c>
      <c r="Q1805" t="s">
        <v>341</v>
      </c>
      <c r="R1805" t="s">
        <v>342</v>
      </c>
    </row>
    <row r="1806" spans="1:18" x14ac:dyDescent="0.25">
      <c r="A1806" t="s">
        <v>338</v>
      </c>
      <c r="B1806" t="s">
        <v>354</v>
      </c>
      <c r="C1806" t="s">
        <v>12</v>
      </c>
      <c r="D1806">
        <v>2</v>
      </c>
      <c r="E1806">
        <v>25</v>
      </c>
      <c r="F1806">
        <v>2.47506607257597E-2</v>
      </c>
      <c r="G1806">
        <v>276</v>
      </c>
      <c r="H1806">
        <v>3.1136683830497898E-3</v>
      </c>
      <c r="I1806">
        <v>226</v>
      </c>
      <c r="L1806">
        <v>1.0244623543975299E-4</v>
      </c>
      <c r="M1806">
        <v>1.1650143649789901E-2</v>
      </c>
      <c r="N1806">
        <v>2019</v>
      </c>
      <c r="O1806" t="s">
        <v>53</v>
      </c>
      <c r="P1806" t="s">
        <v>340</v>
      </c>
      <c r="Q1806" t="s">
        <v>341</v>
      </c>
      <c r="R1806" t="s">
        <v>342</v>
      </c>
    </row>
    <row r="1807" spans="1:18" x14ac:dyDescent="0.25">
      <c r="A1807" t="s">
        <v>338</v>
      </c>
      <c r="B1807" t="s">
        <v>354</v>
      </c>
      <c r="C1807" t="s">
        <v>12</v>
      </c>
      <c r="D1807">
        <v>2</v>
      </c>
      <c r="E1807">
        <v>35</v>
      </c>
      <c r="F1807">
        <v>3.5052132234822501E-2</v>
      </c>
      <c r="G1807">
        <v>298</v>
      </c>
      <c r="H1807">
        <v>3.2131957563859101E-2</v>
      </c>
      <c r="I1807">
        <v>245</v>
      </c>
      <c r="L1807">
        <v>6.20185947228305E-5</v>
      </c>
      <c r="M1807">
        <v>4.1101938964126802E-4</v>
      </c>
      <c r="N1807">
        <v>2019</v>
      </c>
      <c r="O1807" t="s">
        <v>53</v>
      </c>
      <c r="P1807" t="s">
        <v>340</v>
      </c>
      <c r="Q1807" t="s">
        <v>341</v>
      </c>
      <c r="R1807" t="s">
        <v>342</v>
      </c>
    </row>
    <row r="1808" spans="1:18" x14ac:dyDescent="0.25">
      <c r="A1808" t="s">
        <v>338</v>
      </c>
      <c r="B1808" t="s">
        <v>354</v>
      </c>
      <c r="C1808" t="s">
        <v>12</v>
      </c>
      <c r="D1808">
        <v>2</v>
      </c>
      <c r="E1808">
        <v>45</v>
      </c>
      <c r="F1808">
        <v>9.9712084425716996E-2</v>
      </c>
      <c r="G1808">
        <v>307</v>
      </c>
      <c r="H1808">
        <v>3.8165086796456797E-2</v>
      </c>
      <c r="I1808">
        <v>244</v>
      </c>
      <c r="L1808">
        <v>5.8813490397392298E-5</v>
      </c>
      <c r="M1808">
        <v>7.9802573374245802E-4</v>
      </c>
      <c r="N1808">
        <v>2019</v>
      </c>
      <c r="O1808" t="s">
        <v>53</v>
      </c>
      <c r="P1808" t="s">
        <v>340</v>
      </c>
      <c r="Q1808" t="s">
        <v>341</v>
      </c>
      <c r="R1808" t="s">
        <v>342</v>
      </c>
    </row>
    <row r="1809" spans="1:18" x14ac:dyDescent="0.25">
      <c r="A1809" t="s">
        <v>338</v>
      </c>
      <c r="B1809" t="s">
        <v>354</v>
      </c>
      <c r="C1809" t="s">
        <v>12</v>
      </c>
      <c r="D1809">
        <v>2</v>
      </c>
      <c r="E1809">
        <v>55</v>
      </c>
      <c r="F1809">
        <v>0.107773722257821</v>
      </c>
      <c r="G1809">
        <v>343</v>
      </c>
      <c r="H1809">
        <v>5.56079535424545E-2</v>
      </c>
      <c r="I1809">
        <v>248</v>
      </c>
      <c r="L1809">
        <v>8.8608457818198597E-5</v>
      </c>
      <c r="M1809">
        <v>7.5441476469001597E-4</v>
      </c>
      <c r="N1809">
        <v>2019</v>
      </c>
      <c r="O1809" t="s">
        <v>53</v>
      </c>
      <c r="P1809" t="s">
        <v>340</v>
      </c>
      <c r="Q1809" t="s">
        <v>341</v>
      </c>
      <c r="R1809" t="s">
        <v>342</v>
      </c>
    </row>
    <row r="1810" spans="1:18" x14ac:dyDescent="0.25">
      <c r="A1810" t="s">
        <v>338</v>
      </c>
      <c r="B1810" t="s">
        <v>354</v>
      </c>
      <c r="C1810" t="s">
        <v>12</v>
      </c>
      <c r="D1810">
        <v>2</v>
      </c>
      <c r="E1810">
        <v>65</v>
      </c>
      <c r="F1810">
        <v>0.133788156864517</v>
      </c>
      <c r="G1810">
        <v>305</v>
      </c>
      <c r="H1810">
        <v>0.12098799404039499</v>
      </c>
      <c r="I1810">
        <v>215</v>
      </c>
      <c r="L1810">
        <v>1.21339034641845E-4</v>
      </c>
      <c r="M1810">
        <v>4.0885428802133698E-4</v>
      </c>
      <c r="N1810">
        <v>2019</v>
      </c>
      <c r="O1810" t="s">
        <v>53</v>
      </c>
      <c r="P1810" t="s">
        <v>340</v>
      </c>
      <c r="Q1810" t="s">
        <v>341</v>
      </c>
      <c r="R1810" t="s">
        <v>342</v>
      </c>
    </row>
    <row r="1811" spans="1:18" x14ac:dyDescent="0.25">
      <c r="A1811" t="s">
        <v>338</v>
      </c>
      <c r="B1811" t="s">
        <v>354</v>
      </c>
      <c r="C1811" t="s">
        <v>12</v>
      </c>
      <c r="D1811">
        <v>2</v>
      </c>
      <c r="E1811">
        <v>75</v>
      </c>
      <c r="F1811">
        <v>0.17875126492524601</v>
      </c>
      <c r="G1811">
        <v>194</v>
      </c>
      <c r="H1811">
        <v>6.6153799662265395E-2</v>
      </c>
      <c r="I1811">
        <v>113</v>
      </c>
      <c r="L1811">
        <v>1.2320064964302699E-4</v>
      </c>
      <c r="M1811">
        <v>1.3010113428669301E-3</v>
      </c>
      <c r="N1811">
        <v>2019</v>
      </c>
      <c r="O1811" t="s">
        <v>53</v>
      </c>
      <c r="P1811" t="s">
        <v>340</v>
      </c>
      <c r="Q1811" t="s">
        <v>341</v>
      </c>
      <c r="R1811" t="s">
        <v>342</v>
      </c>
    </row>
    <row r="1812" spans="1:18" x14ac:dyDescent="0.25">
      <c r="A1812" t="s">
        <v>338</v>
      </c>
      <c r="B1812" t="s">
        <v>354</v>
      </c>
      <c r="C1812" t="s">
        <v>12</v>
      </c>
      <c r="D1812">
        <v>2</v>
      </c>
      <c r="E1812">
        <v>84.91</v>
      </c>
      <c r="F1812">
        <v>0.1045531347458</v>
      </c>
      <c r="G1812">
        <v>127</v>
      </c>
      <c r="H1812">
        <v>9.4630077769554302E-2</v>
      </c>
      <c r="I1812">
        <v>69</v>
      </c>
      <c r="L1812">
        <v>2.2870745203711101E-4</v>
      </c>
      <c r="M1812">
        <v>8.9472188097987403E-4</v>
      </c>
      <c r="N1812">
        <v>2019</v>
      </c>
      <c r="O1812" t="s">
        <v>53</v>
      </c>
      <c r="P1812" t="s">
        <v>340</v>
      </c>
      <c r="Q1812" t="s">
        <v>341</v>
      </c>
      <c r="R1812" t="s">
        <v>342</v>
      </c>
    </row>
    <row r="1813" spans="1:18" x14ac:dyDescent="0.25">
      <c r="A1813" t="s">
        <v>338</v>
      </c>
      <c r="B1813" t="s">
        <v>354</v>
      </c>
      <c r="C1813" t="s">
        <v>12</v>
      </c>
      <c r="D1813">
        <v>1</v>
      </c>
      <c r="E1813">
        <v>19</v>
      </c>
      <c r="F1813">
        <v>0</v>
      </c>
      <c r="G1813">
        <v>101</v>
      </c>
      <c r="H1813">
        <v>3.3758907507141799E-3</v>
      </c>
      <c r="I1813">
        <v>84</v>
      </c>
      <c r="L1813">
        <v>4.8662818943739101E-3</v>
      </c>
      <c r="M1813">
        <v>0</v>
      </c>
      <c r="N1813">
        <v>2019</v>
      </c>
      <c r="O1813" t="s">
        <v>53</v>
      </c>
      <c r="P1813" t="s">
        <v>340</v>
      </c>
      <c r="Q1813" t="s">
        <v>341</v>
      </c>
      <c r="R1813" t="s">
        <v>342</v>
      </c>
    </row>
    <row r="1814" spans="1:18" x14ac:dyDescent="0.25">
      <c r="A1814" t="s">
        <v>338</v>
      </c>
      <c r="B1814" t="s">
        <v>354</v>
      </c>
      <c r="C1814" t="s">
        <v>12</v>
      </c>
      <c r="D1814">
        <v>1</v>
      </c>
      <c r="E1814">
        <v>25</v>
      </c>
      <c r="F1814">
        <v>2.7575053298655298E-3</v>
      </c>
      <c r="G1814">
        <v>255</v>
      </c>
      <c r="H1814">
        <v>1.7533066123311399E-2</v>
      </c>
      <c r="I1814">
        <v>212</v>
      </c>
      <c r="L1814">
        <v>2.8910484145455099E-4</v>
      </c>
      <c r="M1814">
        <v>6.4814037307226596E-4</v>
      </c>
      <c r="N1814">
        <v>2019</v>
      </c>
      <c r="O1814" t="s">
        <v>53</v>
      </c>
      <c r="P1814" t="s">
        <v>340</v>
      </c>
      <c r="Q1814" t="s">
        <v>341</v>
      </c>
      <c r="R1814" t="s">
        <v>342</v>
      </c>
    </row>
    <row r="1815" spans="1:18" x14ac:dyDescent="0.25">
      <c r="A1815" t="s">
        <v>338</v>
      </c>
      <c r="B1815" t="s">
        <v>354</v>
      </c>
      <c r="C1815" t="s">
        <v>12</v>
      </c>
      <c r="D1815">
        <v>1</v>
      </c>
      <c r="E1815">
        <v>35</v>
      </c>
      <c r="F1815">
        <v>1.7644286704989999E-2</v>
      </c>
      <c r="G1815">
        <v>252</v>
      </c>
      <c r="H1815">
        <v>3.3613240104143197E-2</v>
      </c>
      <c r="I1815">
        <v>203</v>
      </c>
      <c r="L1815">
        <v>2.05855260169529E-4</v>
      </c>
      <c r="M1815">
        <v>7.60997503359681E-4</v>
      </c>
      <c r="N1815">
        <v>2019</v>
      </c>
      <c r="O1815" t="s">
        <v>53</v>
      </c>
      <c r="P1815" t="s">
        <v>340</v>
      </c>
      <c r="Q1815" t="s">
        <v>341</v>
      </c>
      <c r="R1815" t="s">
        <v>342</v>
      </c>
    </row>
    <row r="1816" spans="1:18" x14ac:dyDescent="0.25">
      <c r="A1816" t="s">
        <v>338</v>
      </c>
      <c r="B1816" t="s">
        <v>354</v>
      </c>
      <c r="C1816" t="s">
        <v>12</v>
      </c>
      <c r="D1816">
        <v>1</v>
      </c>
      <c r="E1816">
        <v>45</v>
      </c>
      <c r="F1816">
        <v>0.102253378878396</v>
      </c>
      <c r="G1816">
        <v>325</v>
      </c>
      <c r="H1816">
        <v>6.3140058736698396E-2</v>
      </c>
      <c r="I1816">
        <v>249</v>
      </c>
      <c r="L1816">
        <v>5.5922603491417203E-5</v>
      </c>
      <c r="M1816">
        <v>3.8079126665831501E-4</v>
      </c>
      <c r="N1816">
        <v>2019</v>
      </c>
      <c r="O1816" t="s">
        <v>53</v>
      </c>
      <c r="P1816" t="s">
        <v>340</v>
      </c>
      <c r="Q1816" t="s">
        <v>341</v>
      </c>
      <c r="R1816" t="s">
        <v>342</v>
      </c>
    </row>
    <row r="1817" spans="1:18" x14ac:dyDescent="0.25">
      <c r="A1817" t="s">
        <v>338</v>
      </c>
      <c r="B1817" t="s">
        <v>354</v>
      </c>
      <c r="C1817" t="s">
        <v>12</v>
      </c>
      <c r="D1817">
        <v>1</v>
      </c>
      <c r="E1817">
        <v>55</v>
      </c>
      <c r="F1817">
        <v>0.15907526644043801</v>
      </c>
      <c r="G1817">
        <v>302</v>
      </c>
      <c r="H1817">
        <v>6.2861630946245306E-2</v>
      </c>
      <c r="I1817">
        <v>201</v>
      </c>
      <c r="L1817">
        <v>1.6737224006198399E-4</v>
      </c>
      <c r="M1817">
        <v>1.7022246775413999E-3</v>
      </c>
      <c r="N1817">
        <v>2019</v>
      </c>
      <c r="O1817" t="s">
        <v>53</v>
      </c>
      <c r="P1817" t="s">
        <v>340</v>
      </c>
      <c r="Q1817" t="s">
        <v>341</v>
      </c>
      <c r="R1817" t="s">
        <v>342</v>
      </c>
    </row>
    <row r="1818" spans="1:18" x14ac:dyDescent="0.25">
      <c r="A1818" t="s">
        <v>338</v>
      </c>
      <c r="B1818" t="s">
        <v>354</v>
      </c>
      <c r="C1818" t="s">
        <v>12</v>
      </c>
      <c r="D1818">
        <v>1</v>
      </c>
      <c r="E1818">
        <v>65</v>
      </c>
      <c r="F1818">
        <v>0.202130008893741</v>
      </c>
      <c r="G1818">
        <v>336</v>
      </c>
      <c r="H1818">
        <v>7.6784628608203995E-2</v>
      </c>
      <c r="I1818">
        <v>206</v>
      </c>
      <c r="L1818">
        <v>7.2764802609263796E-5</v>
      </c>
      <c r="M1818">
        <v>6.9090028540818096E-4</v>
      </c>
      <c r="N1818">
        <v>2019</v>
      </c>
      <c r="O1818" t="s">
        <v>53</v>
      </c>
      <c r="P1818" t="s">
        <v>340</v>
      </c>
      <c r="Q1818" t="s">
        <v>341</v>
      </c>
      <c r="R1818" t="s">
        <v>342</v>
      </c>
    </row>
    <row r="1819" spans="1:18" x14ac:dyDescent="0.25">
      <c r="A1819" t="s">
        <v>338</v>
      </c>
      <c r="B1819" t="s">
        <v>354</v>
      </c>
      <c r="C1819" t="s">
        <v>12</v>
      </c>
      <c r="D1819">
        <v>1</v>
      </c>
      <c r="E1819">
        <v>75</v>
      </c>
      <c r="F1819">
        <v>0.27363002341849102</v>
      </c>
      <c r="G1819">
        <v>181</v>
      </c>
      <c r="H1819">
        <v>0.103686273991402</v>
      </c>
      <c r="I1819">
        <v>112</v>
      </c>
      <c r="L1819">
        <v>1.01996254906864E-4</v>
      </c>
      <c r="M1819">
        <v>8.0355005181816899E-4</v>
      </c>
      <c r="N1819">
        <v>2019</v>
      </c>
      <c r="O1819" t="s">
        <v>53</v>
      </c>
      <c r="P1819" t="s">
        <v>340</v>
      </c>
      <c r="Q1819" t="s">
        <v>341</v>
      </c>
      <c r="R1819" t="s">
        <v>342</v>
      </c>
    </row>
    <row r="1820" spans="1:18" x14ac:dyDescent="0.25">
      <c r="A1820" t="s">
        <v>338</v>
      </c>
      <c r="B1820" t="s">
        <v>354</v>
      </c>
      <c r="C1820" t="s">
        <v>12</v>
      </c>
      <c r="D1820">
        <v>1</v>
      </c>
      <c r="E1820">
        <v>84.91</v>
      </c>
      <c r="F1820">
        <v>0.14167733068203001</v>
      </c>
      <c r="G1820">
        <v>126</v>
      </c>
      <c r="H1820">
        <v>0.12168565410517899</v>
      </c>
      <c r="I1820">
        <v>85</v>
      </c>
      <c r="L1820">
        <v>1.2629399538913801E-4</v>
      </c>
      <c r="M1820">
        <v>4.3989206799648599E-4</v>
      </c>
      <c r="N1820">
        <v>2019</v>
      </c>
      <c r="O1820" t="s">
        <v>53</v>
      </c>
      <c r="P1820" t="s">
        <v>340</v>
      </c>
      <c r="Q1820" t="s">
        <v>341</v>
      </c>
      <c r="R1820" t="s">
        <v>342</v>
      </c>
    </row>
    <row r="1821" spans="1:18" x14ac:dyDescent="0.25">
      <c r="A1821" t="s">
        <v>355</v>
      </c>
      <c r="B1821" t="s">
        <v>356</v>
      </c>
      <c r="C1821" t="s">
        <v>12</v>
      </c>
      <c r="D1821">
        <v>2</v>
      </c>
      <c r="E1821">
        <v>19</v>
      </c>
      <c r="F1821">
        <v>0</v>
      </c>
      <c r="G1821">
        <v>75</v>
      </c>
      <c r="H1821">
        <v>4.7905857679917197E-3</v>
      </c>
      <c r="I1821">
        <v>70</v>
      </c>
      <c r="L1821">
        <v>0.12220489604408701</v>
      </c>
      <c r="M1821">
        <v>0</v>
      </c>
      <c r="N1821">
        <v>2014</v>
      </c>
      <c r="O1821" t="s">
        <v>13</v>
      </c>
      <c r="P1821" t="s">
        <v>357</v>
      </c>
      <c r="Q1821" t="s">
        <v>29</v>
      </c>
      <c r="R1821" t="s">
        <v>20</v>
      </c>
    </row>
    <row r="1822" spans="1:18" x14ac:dyDescent="0.25">
      <c r="A1822" t="s">
        <v>355</v>
      </c>
      <c r="B1822" t="s">
        <v>356</v>
      </c>
      <c r="C1822" t="s">
        <v>12</v>
      </c>
      <c r="D1822">
        <v>2</v>
      </c>
      <c r="E1822">
        <v>25</v>
      </c>
      <c r="F1822">
        <v>1.10319409189532E-3</v>
      </c>
      <c r="G1822">
        <v>503</v>
      </c>
      <c r="H1822">
        <v>2.8131799772299002E-2</v>
      </c>
      <c r="I1822">
        <v>475</v>
      </c>
      <c r="L1822">
        <v>1.55094283177711E-2</v>
      </c>
      <c r="M1822">
        <v>1.3585571119237E-2</v>
      </c>
      <c r="N1822">
        <v>2014</v>
      </c>
      <c r="O1822" t="s">
        <v>13</v>
      </c>
      <c r="P1822" t="s">
        <v>357</v>
      </c>
      <c r="Q1822" t="s">
        <v>29</v>
      </c>
      <c r="R1822" t="s">
        <v>20</v>
      </c>
    </row>
    <row r="1823" spans="1:18" x14ac:dyDescent="0.25">
      <c r="A1823" t="s">
        <v>355</v>
      </c>
      <c r="B1823" t="s">
        <v>356</v>
      </c>
      <c r="C1823" t="s">
        <v>12</v>
      </c>
      <c r="D1823">
        <v>2</v>
      </c>
      <c r="E1823">
        <v>35</v>
      </c>
      <c r="F1823">
        <v>1.80217771283905E-3</v>
      </c>
      <c r="G1823">
        <v>656</v>
      </c>
      <c r="H1823">
        <v>2.18411913856182E-2</v>
      </c>
      <c r="I1823">
        <v>631</v>
      </c>
      <c r="L1823">
        <v>5.8820436152053103E-2</v>
      </c>
      <c r="M1823">
        <v>7.3221244232023003E-2</v>
      </c>
      <c r="N1823">
        <v>2014</v>
      </c>
      <c r="O1823" t="s">
        <v>13</v>
      </c>
      <c r="P1823" t="s">
        <v>357</v>
      </c>
      <c r="Q1823" t="s">
        <v>29</v>
      </c>
      <c r="R1823" t="s">
        <v>20</v>
      </c>
    </row>
    <row r="1824" spans="1:18" x14ac:dyDescent="0.25">
      <c r="A1824" t="s">
        <v>355</v>
      </c>
      <c r="B1824" t="s">
        <v>356</v>
      </c>
      <c r="C1824" t="s">
        <v>12</v>
      </c>
      <c r="D1824">
        <v>2</v>
      </c>
      <c r="E1824">
        <v>45</v>
      </c>
      <c r="F1824">
        <v>2.1153168378701601E-2</v>
      </c>
      <c r="G1824">
        <v>482</v>
      </c>
      <c r="H1824">
        <v>6.7716384586355899E-2</v>
      </c>
      <c r="I1824">
        <v>454</v>
      </c>
      <c r="L1824">
        <v>3.0685937686191E-2</v>
      </c>
      <c r="M1824">
        <v>4.3963107814902001E-2</v>
      </c>
      <c r="N1824">
        <v>2014</v>
      </c>
      <c r="O1824" t="s">
        <v>13</v>
      </c>
      <c r="P1824" t="s">
        <v>357</v>
      </c>
      <c r="Q1824" t="s">
        <v>29</v>
      </c>
      <c r="R1824" t="s">
        <v>20</v>
      </c>
    </row>
    <row r="1825" spans="1:18" x14ac:dyDescent="0.25">
      <c r="A1825" t="s">
        <v>355</v>
      </c>
      <c r="B1825" t="s">
        <v>356</v>
      </c>
      <c r="C1825" t="s">
        <v>12</v>
      </c>
      <c r="D1825">
        <v>2</v>
      </c>
      <c r="E1825">
        <v>55</v>
      </c>
      <c r="F1825">
        <v>3.9155272711935397E-2</v>
      </c>
      <c r="G1825">
        <v>367</v>
      </c>
      <c r="H1825">
        <v>0.117873909520196</v>
      </c>
      <c r="I1825">
        <v>341</v>
      </c>
      <c r="L1825">
        <v>3.5602740040793598E-2</v>
      </c>
      <c r="M1825">
        <v>3.9244613231034002E-2</v>
      </c>
      <c r="N1825">
        <v>2014</v>
      </c>
      <c r="O1825" t="s">
        <v>13</v>
      </c>
      <c r="P1825" t="s">
        <v>357</v>
      </c>
      <c r="Q1825" t="s">
        <v>29</v>
      </c>
      <c r="R1825" t="s">
        <v>20</v>
      </c>
    </row>
    <row r="1826" spans="1:18" x14ac:dyDescent="0.25">
      <c r="A1826" t="s">
        <v>355</v>
      </c>
      <c r="B1826" t="s">
        <v>356</v>
      </c>
      <c r="C1826" t="s">
        <v>12</v>
      </c>
      <c r="D1826">
        <v>2</v>
      </c>
      <c r="E1826">
        <v>62.5</v>
      </c>
      <c r="F1826">
        <v>6.1162909186354399E-2</v>
      </c>
      <c r="G1826">
        <v>93</v>
      </c>
      <c r="H1826">
        <v>0.14621429241325601</v>
      </c>
      <c r="I1826">
        <v>86</v>
      </c>
      <c r="L1826">
        <v>2.7605942655992199E-2</v>
      </c>
      <c r="M1826">
        <v>3.0545487982024701E-2</v>
      </c>
      <c r="N1826">
        <v>2014</v>
      </c>
      <c r="O1826" t="s">
        <v>13</v>
      </c>
      <c r="P1826" t="s">
        <v>357</v>
      </c>
      <c r="Q1826" t="s">
        <v>29</v>
      </c>
      <c r="R1826" t="s">
        <v>20</v>
      </c>
    </row>
    <row r="1827" spans="1:18" x14ac:dyDescent="0.25">
      <c r="A1827" t="s">
        <v>355</v>
      </c>
      <c r="B1827" t="s">
        <v>356</v>
      </c>
      <c r="C1827" t="s">
        <v>12</v>
      </c>
      <c r="D1827">
        <v>1</v>
      </c>
      <c r="E1827">
        <v>19</v>
      </c>
      <c r="F1827">
        <v>0</v>
      </c>
      <c r="G1827">
        <v>82</v>
      </c>
      <c r="H1827">
        <v>5.9732303172464101E-3</v>
      </c>
      <c r="I1827">
        <v>79</v>
      </c>
      <c r="L1827">
        <v>0.125702485048796</v>
      </c>
      <c r="M1827">
        <v>0</v>
      </c>
      <c r="N1827">
        <v>2014</v>
      </c>
      <c r="O1827" t="s">
        <v>13</v>
      </c>
      <c r="P1827" t="s">
        <v>357</v>
      </c>
      <c r="Q1827" t="s">
        <v>29</v>
      </c>
      <c r="R1827" t="s">
        <v>20</v>
      </c>
    </row>
    <row r="1828" spans="1:18" x14ac:dyDescent="0.25">
      <c r="A1828" t="s">
        <v>355</v>
      </c>
      <c r="B1828" t="s">
        <v>356</v>
      </c>
      <c r="C1828" t="s">
        <v>12</v>
      </c>
      <c r="D1828">
        <v>1</v>
      </c>
      <c r="E1828">
        <v>25</v>
      </c>
      <c r="F1828">
        <v>0</v>
      </c>
      <c r="G1828">
        <v>381</v>
      </c>
      <c r="H1828">
        <v>2.4097484832215701E-2</v>
      </c>
      <c r="I1828">
        <v>355</v>
      </c>
      <c r="L1828">
        <v>1.6260880963755799E-2</v>
      </c>
      <c r="M1828">
        <v>0</v>
      </c>
      <c r="N1828">
        <v>2014</v>
      </c>
      <c r="O1828" t="s">
        <v>13</v>
      </c>
      <c r="P1828" t="s">
        <v>357</v>
      </c>
      <c r="Q1828" t="s">
        <v>29</v>
      </c>
      <c r="R1828" t="s">
        <v>20</v>
      </c>
    </row>
    <row r="1829" spans="1:18" x14ac:dyDescent="0.25">
      <c r="A1829" t="s">
        <v>355</v>
      </c>
      <c r="B1829" t="s">
        <v>356</v>
      </c>
      <c r="C1829" t="s">
        <v>12</v>
      </c>
      <c r="D1829">
        <v>1</v>
      </c>
      <c r="E1829">
        <v>35</v>
      </c>
      <c r="F1829">
        <v>0</v>
      </c>
      <c r="G1829">
        <v>439</v>
      </c>
      <c r="H1829">
        <v>5.3488011923501E-2</v>
      </c>
      <c r="I1829">
        <v>420</v>
      </c>
      <c r="L1829">
        <v>1.31355417617819E-2</v>
      </c>
      <c r="M1829">
        <v>0</v>
      </c>
      <c r="N1829">
        <v>2014</v>
      </c>
      <c r="O1829" t="s">
        <v>13</v>
      </c>
      <c r="P1829" t="s">
        <v>357</v>
      </c>
      <c r="Q1829" t="s">
        <v>29</v>
      </c>
      <c r="R1829" t="s">
        <v>20</v>
      </c>
    </row>
    <row r="1830" spans="1:18" x14ac:dyDescent="0.25">
      <c r="A1830" t="s">
        <v>355</v>
      </c>
      <c r="B1830" t="s">
        <v>356</v>
      </c>
      <c r="C1830" t="s">
        <v>12</v>
      </c>
      <c r="D1830">
        <v>1</v>
      </c>
      <c r="E1830">
        <v>45</v>
      </c>
      <c r="F1830">
        <v>7.2782384294133801E-3</v>
      </c>
      <c r="G1830">
        <v>333</v>
      </c>
      <c r="H1830">
        <v>6.0488762414260398E-2</v>
      </c>
      <c r="I1830">
        <v>318</v>
      </c>
      <c r="L1830">
        <v>2.3872751666809799E-2</v>
      </c>
      <c r="M1830">
        <v>2.3228347796640399E-2</v>
      </c>
      <c r="N1830">
        <v>2014</v>
      </c>
      <c r="O1830" t="s">
        <v>13</v>
      </c>
      <c r="P1830" t="s">
        <v>357</v>
      </c>
      <c r="Q1830" t="s">
        <v>29</v>
      </c>
      <c r="R1830" t="s">
        <v>20</v>
      </c>
    </row>
    <row r="1831" spans="1:18" x14ac:dyDescent="0.25">
      <c r="A1831" t="s">
        <v>355</v>
      </c>
      <c r="B1831" t="s">
        <v>356</v>
      </c>
      <c r="C1831" t="s">
        <v>12</v>
      </c>
      <c r="D1831">
        <v>1</v>
      </c>
      <c r="E1831">
        <v>55</v>
      </c>
      <c r="F1831">
        <v>4.0435716189327599E-2</v>
      </c>
      <c r="G1831">
        <v>243</v>
      </c>
      <c r="H1831">
        <v>0.122568212565558</v>
      </c>
      <c r="I1831">
        <v>223</v>
      </c>
      <c r="L1831">
        <v>1.76388740972626E-2</v>
      </c>
      <c r="M1831">
        <v>1.9263503017406799E-2</v>
      </c>
      <c r="N1831">
        <v>2014</v>
      </c>
      <c r="O1831" t="s">
        <v>13</v>
      </c>
      <c r="P1831" t="s">
        <v>357</v>
      </c>
      <c r="Q1831" t="s">
        <v>29</v>
      </c>
      <c r="R1831" t="s">
        <v>20</v>
      </c>
    </row>
    <row r="1832" spans="1:18" x14ac:dyDescent="0.25">
      <c r="A1832" t="s">
        <v>355</v>
      </c>
      <c r="B1832" t="s">
        <v>356</v>
      </c>
      <c r="C1832" t="s">
        <v>12</v>
      </c>
      <c r="D1832">
        <v>1</v>
      </c>
      <c r="E1832">
        <v>62.5</v>
      </c>
      <c r="F1832">
        <v>9.6035512999924702E-2</v>
      </c>
      <c r="G1832">
        <v>65</v>
      </c>
      <c r="H1832">
        <v>0.101328752616898</v>
      </c>
      <c r="I1832">
        <v>57</v>
      </c>
      <c r="L1832">
        <v>1.48920866530299E-2</v>
      </c>
      <c r="M1832">
        <v>3.3327082906055502E-2</v>
      </c>
      <c r="N1832">
        <v>2014</v>
      </c>
      <c r="O1832" t="s">
        <v>13</v>
      </c>
      <c r="P1832" t="s">
        <v>357</v>
      </c>
      <c r="Q1832" t="s">
        <v>29</v>
      </c>
      <c r="R1832" t="s">
        <v>20</v>
      </c>
    </row>
    <row r="1833" spans="1:18" x14ac:dyDescent="0.25">
      <c r="A1833" t="s">
        <v>355</v>
      </c>
      <c r="B1833" t="s">
        <v>358</v>
      </c>
      <c r="C1833" t="s">
        <v>12</v>
      </c>
      <c r="D1833">
        <v>2</v>
      </c>
      <c r="E1833">
        <v>19</v>
      </c>
      <c r="F1833">
        <v>0</v>
      </c>
      <c r="G1833">
        <v>25</v>
      </c>
      <c r="H1833">
        <v>4.7841696723897403E-2</v>
      </c>
      <c r="I1833">
        <v>25</v>
      </c>
      <c r="L1833">
        <v>4.2705145405728298E-2</v>
      </c>
      <c r="M1833">
        <v>0</v>
      </c>
      <c r="N1833">
        <v>2019</v>
      </c>
      <c r="O1833" t="s">
        <v>13</v>
      </c>
      <c r="P1833" t="s">
        <v>357</v>
      </c>
      <c r="Q1833" t="s">
        <v>29</v>
      </c>
      <c r="R1833" t="s">
        <v>20</v>
      </c>
    </row>
    <row r="1834" spans="1:18" x14ac:dyDescent="0.25">
      <c r="A1834" t="s">
        <v>355</v>
      </c>
      <c r="B1834" t="s">
        <v>358</v>
      </c>
      <c r="C1834" t="s">
        <v>12</v>
      </c>
      <c r="D1834">
        <v>2</v>
      </c>
      <c r="E1834">
        <v>25</v>
      </c>
      <c r="F1834">
        <v>8.7625537021225802E-2</v>
      </c>
      <c r="G1834">
        <v>237</v>
      </c>
      <c r="H1834">
        <v>5.5599140909127098E-2</v>
      </c>
      <c r="I1834">
        <v>212</v>
      </c>
      <c r="L1834">
        <v>8.4629732912095395E-3</v>
      </c>
      <c r="M1834">
        <v>3.64408601316146E-2</v>
      </c>
      <c r="N1834">
        <v>2019</v>
      </c>
      <c r="O1834" t="s">
        <v>13</v>
      </c>
      <c r="P1834" t="s">
        <v>357</v>
      </c>
      <c r="Q1834" t="s">
        <v>29</v>
      </c>
      <c r="R1834" t="s">
        <v>20</v>
      </c>
    </row>
    <row r="1835" spans="1:18" x14ac:dyDescent="0.25">
      <c r="A1835" t="s">
        <v>355</v>
      </c>
      <c r="B1835" t="s">
        <v>358</v>
      </c>
      <c r="C1835" t="s">
        <v>12</v>
      </c>
      <c r="D1835">
        <v>2</v>
      </c>
      <c r="E1835">
        <v>35</v>
      </c>
      <c r="F1835">
        <v>6.8707765255311304E-2</v>
      </c>
      <c r="G1835">
        <v>515</v>
      </c>
      <c r="H1835">
        <v>8.7866206721005299E-2</v>
      </c>
      <c r="I1835">
        <v>475</v>
      </c>
      <c r="L1835">
        <v>2.0468769001589001E-2</v>
      </c>
      <c r="M1835">
        <v>4.3137172420409098E-2</v>
      </c>
      <c r="N1835">
        <v>2019</v>
      </c>
      <c r="O1835" t="s">
        <v>13</v>
      </c>
      <c r="P1835" t="s">
        <v>357</v>
      </c>
      <c r="Q1835" t="s">
        <v>29</v>
      </c>
      <c r="R1835" t="s">
        <v>20</v>
      </c>
    </row>
    <row r="1836" spans="1:18" x14ac:dyDescent="0.25">
      <c r="A1836" t="s">
        <v>355</v>
      </c>
      <c r="B1836" t="s">
        <v>358</v>
      </c>
      <c r="C1836" t="s">
        <v>12</v>
      </c>
      <c r="D1836">
        <v>2</v>
      </c>
      <c r="E1836">
        <v>45</v>
      </c>
      <c r="F1836">
        <v>0.104882780800592</v>
      </c>
      <c r="G1836">
        <v>593</v>
      </c>
      <c r="H1836">
        <v>0.166003786640358</v>
      </c>
      <c r="I1836">
        <v>530</v>
      </c>
      <c r="L1836">
        <v>2.6796202523620801E-2</v>
      </c>
      <c r="M1836">
        <v>3.3331184470459602E-2</v>
      </c>
      <c r="N1836">
        <v>2019</v>
      </c>
      <c r="O1836" t="s">
        <v>13</v>
      </c>
      <c r="P1836" t="s">
        <v>357</v>
      </c>
      <c r="Q1836" t="s">
        <v>29</v>
      </c>
      <c r="R1836" t="s">
        <v>20</v>
      </c>
    </row>
    <row r="1837" spans="1:18" x14ac:dyDescent="0.25">
      <c r="A1837" t="s">
        <v>355</v>
      </c>
      <c r="B1837" t="s">
        <v>358</v>
      </c>
      <c r="C1837" t="s">
        <v>12</v>
      </c>
      <c r="D1837">
        <v>2</v>
      </c>
      <c r="E1837">
        <v>55</v>
      </c>
      <c r="F1837">
        <v>0.100833665991301</v>
      </c>
      <c r="G1837">
        <v>536</v>
      </c>
      <c r="H1837">
        <v>0.247739479960946</v>
      </c>
      <c r="I1837">
        <v>481</v>
      </c>
      <c r="L1837">
        <v>3.9081612883773299E-2</v>
      </c>
      <c r="M1837">
        <v>2.7034493825180701E-2</v>
      </c>
      <c r="N1837">
        <v>2019</v>
      </c>
      <c r="O1837" t="s">
        <v>13</v>
      </c>
      <c r="P1837" t="s">
        <v>357</v>
      </c>
      <c r="Q1837" t="s">
        <v>29</v>
      </c>
      <c r="R1837" t="s">
        <v>20</v>
      </c>
    </row>
    <row r="1838" spans="1:18" x14ac:dyDescent="0.25">
      <c r="A1838" t="s">
        <v>355</v>
      </c>
      <c r="B1838" t="s">
        <v>358</v>
      </c>
      <c r="C1838" t="s">
        <v>12</v>
      </c>
      <c r="D1838">
        <v>2</v>
      </c>
      <c r="E1838">
        <v>65</v>
      </c>
      <c r="F1838">
        <v>0.10638361279481</v>
      </c>
      <c r="G1838">
        <v>354</v>
      </c>
      <c r="H1838">
        <v>0.28699890750983398</v>
      </c>
      <c r="I1838">
        <v>314</v>
      </c>
      <c r="L1838">
        <v>4.5014766164579202E-2</v>
      </c>
      <c r="M1838">
        <v>2.5242443320130301E-2</v>
      </c>
      <c r="N1838">
        <v>2019</v>
      </c>
      <c r="O1838" t="s">
        <v>13</v>
      </c>
      <c r="P1838" t="s">
        <v>357</v>
      </c>
      <c r="Q1838" t="s">
        <v>29</v>
      </c>
      <c r="R1838" t="s">
        <v>20</v>
      </c>
    </row>
    <row r="1839" spans="1:18" x14ac:dyDescent="0.25">
      <c r="A1839" t="s">
        <v>355</v>
      </c>
      <c r="B1839" t="s">
        <v>358</v>
      </c>
      <c r="C1839" t="s">
        <v>12</v>
      </c>
      <c r="D1839">
        <v>1</v>
      </c>
      <c r="E1839">
        <v>19</v>
      </c>
      <c r="F1839">
        <v>0</v>
      </c>
      <c r="G1839">
        <v>12</v>
      </c>
      <c r="H1839">
        <v>1.4355172733233199E-2</v>
      </c>
      <c r="I1839">
        <v>12</v>
      </c>
      <c r="L1839">
        <v>0.16015671468676099</v>
      </c>
      <c r="M1839">
        <v>0</v>
      </c>
      <c r="N1839">
        <v>2019</v>
      </c>
      <c r="O1839" t="s">
        <v>13</v>
      </c>
      <c r="P1839" t="s">
        <v>357</v>
      </c>
      <c r="Q1839" t="s">
        <v>29</v>
      </c>
      <c r="R1839" t="s">
        <v>20</v>
      </c>
    </row>
    <row r="1840" spans="1:18" x14ac:dyDescent="0.25">
      <c r="A1840" t="s">
        <v>355</v>
      </c>
      <c r="B1840" t="s">
        <v>358</v>
      </c>
      <c r="C1840" t="s">
        <v>12</v>
      </c>
      <c r="D1840">
        <v>1</v>
      </c>
      <c r="E1840">
        <v>25</v>
      </c>
      <c r="F1840">
        <v>2.2729629492928598E-2</v>
      </c>
      <c r="G1840">
        <v>163</v>
      </c>
      <c r="H1840">
        <v>7.2241643977913106E-2</v>
      </c>
      <c r="I1840">
        <v>158</v>
      </c>
      <c r="L1840">
        <v>2.29760494279144E-2</v>
      </c>
      <c r="M1840">
        <v>3.10888431189765E-2</v>
      </c>
      <c r="N1840">
        <v>2019</v>
      </c>
      <c r="O1840" t="s">
        <v>13</v>
      </c>
      <c r="P1840" t="s">
        <v>357</v>
      </c>
      <c r="Q1840" t="s">
        <v>29</v>
      </c>
      <c r="R1840" t="s">
        <v>20</v>
      </c>
    </row>
    <row r="1841" spans="1:18" x14ac:dyDescent="0.25">
      <c r="A1841" t="s">
        <v>355</v>
      </c>
      <c r="B1841" t="s">
        <v>358</v>
      </c>
      <c r="C1841" t="s">
        <v>12</v>
      </c>
      <c r="D1841">
        <v>1</v>
      </c>
      <c r="E1841">
        <v>35</v>
      </c>
      <c r="F1841">
        <v>3.0507242641707101E-2</v>
      </c>
      <c r="G1841">
        <v>262</v>
      </c>
      <c r="H1841">
        <v>9.2941648242267805E-2</v>
      </c>
      <c r="I1841">
        <v>249</v>
      </c>
      <c r="L1841">
        <v>3.4778227303440302E-2</v>
      </c>
      <c r="M1841">
        <v>4.2280250488903201E-2</v>
      </c>
      <c r="N1841">
        <v>2019</v>
      </c>
      <c r="O1841" t="s">
        <v>13</v>
      </c>
      <c r="P1841" t="s">
        <v>357</v>
      </c>
      <c r="Q1841" t="s">
        <v>29</v>
      </c>
      <c r="R1841" t="s">
        <v>20</v>
      </c>
    </row>
    <row r="1842" spans="1:18" x14ac:dyDescent="0.25">
      <c r="A1842" t="s">
        <v>355</v>
      </c>
      <c r="B1842" t="s">
        <v>358</v>
      </c>
      <c r="C1842" t="s">
        <v>12</v>
      </c>
      <c r="D1842">
        <v>1</v>
      </c>
      <c r="E1842">
        <v>45</v>
      </c>
      <c r="F1842">
        <v>5.4606714880796201E-2</v>
      </c>
      <c r="G1842">
        <v>345</v>
      </c>
      <c r="H1842">
        <v>0.14455828301170801</v>
      </c>
      <c r="I1842">
        <v>327</v>
      </c>
      <c r="L1842">
        <v>3.26947231430645E-2</v>
      </c>
      <c r="M1842">
        <v>3.3215903966598001E-2</v>
      </c>
      <c r="N1842">
        <v>2019</v>
      </c>
      <c r="O1842" t="s">
        <v>13</v>
      </c>
      <c r="P1842" t="s">
        <v>357</v>
      </c>
      <c r="Q1842" t="s">
        <v>29</v>
      </c>
      <c r="R1842" t="s">
        <v>20</v>
      </c>
    </row>
    <row r="1843" spans="1:18" x14ac:dyDescent="0.25">
      <c r="A1843" t="s">
        <v>355</v>
      </c>
      <c r="B1843" t="s">
        <v>358</v>
      </c>
      <c r="C1843" t="s">
        <v>12</v>
      </c>
      <c r="D1843">
        <v>1</v>
      </c>
      <c r="E1843">
        <v>55</v>
      </c>
      <c r="F1843">
        <v>8.3385714693644794E-2</v>
      </c>
      <c r="G1843">
        <v>399</v>
      </c>
      <c r="H1843">
        <v>0.24395233125731999</v>
      </c>
      <c r="I1843">
        <v>365</v>
      </c>
      <c r="L1843">
        <v>3.4475016527986901E-2</v>
      </c>
      <c r="M1843">
        <v>2.2080628299212299E-2</v>
      </c>
      <c r="N1843">
        <v>2019</v>
      </c>
      <c r="O1843" t="s">
        <v>13</v>
      </c>
      <c r="P1843" t="s">
        <v>357</v>
      </c>
      <c r="Q1843" t="s">
        <v>29</v>
      </c>
      <c r="R1843" t="s">
        <v>20</v>
      </c>
    </row>
    <row r="1844" spans="1:18" x14ac:dyDescent="0.25">
      <c r="A1844" t="s">
        <v>355</v>
      </c>
      <c r="B1844" t="s">
        <v>358</v>
      </c>
      <c r="C1844" t="s">
        <v>12</v>
      </c>
      <c r="D1844">
        <v>1</v>
      </c>
      <c r="E1844">
        <v>65</v>
      </c>
      <c r="F1844">
        <v>7.6079903358005699E-2</v>
      </c>
      <c r="G1844">
        <v>307</v>
      </c>
      <c r="H1844">
        <v>0.340393696377979</v>
      </c>
      <c r="I1844">
        <v>285</v>
      </c>
      <c r="L1844">
        <v>4.0158844950710197E-2</v>
      </c>
      <c r="M1844">
        <v>1.4772637709700999E-2</v>
      </c>
      <c r="N1844">
        <v>2019</v>
      </c>
      <c r="O1844" t="s">
        <v>13</v>
      </c>
      <c r="P1844" t="s">
        <v>357</v>
      </c>
      <c r="Q1844" t="s">
        <v>29</v>
      </c>
      <c r="R1844" t="s">
        <v>20</v>
      </c>
    </row>
    <row r="1845" spans="1:18" x14ac:dyDescent="0.25">
      <c r="A1845" t="s">
        <v>359</v>
      </c>
      <c r="B1845" t="s">
        <v>360</v>
      </c>
      <c r="C1845" t="s">
        <v>12</v>
      </c>
      <c r="D1845">
        <v>2</v>
      </c>
      <c r="E1845">
        <v>19</v>
      </c>
      <c r="F1845">
        <v>0</v>
      </c>
      <c r="G1845">
        <v>68</v>
      </c>
      <c r="H1845">
        <v>4.7991191834928504E-3</v>
      </c>
      <c r="I1845">
        <v>17</v>
      </c>
      <c r="L1845">
        <v>0.12334547242457999</v>
      </c>
      <c r="M1845">
        <v>0</v>
      </c>
      <c r="N1845">
        <v>2014</v>
      </c>
      <c r="O1845" t="s">
        <v>13</v>
      </c>
      <c r="P1845" t="s">
        <v>361</v>
      </c>
      <c r="Q1845" t="s">
        <v>61</v>
      </c>
      <c r="R1845" t="s">
        <v>25</v>
      </c>
    </row>
    <row r="1846" spans="1:18" x14ac:dyDescent="0.25">
      <c r="A1846" t="s">
        <v>359</v>
      </c>
      <c r="B1846" t="s">
        <v>360</v>
      </c>
      <c r="C1846" t="s">
        <v>12</v>
      </c>
      <c r="D1846">
        <v>2</v>
      </c>
      <c r="E1846">
        <v>25</v>
      </c>
      <c r="F1846">
        <v>0</v>
      </c>
      <c r="G1846">
        <v>378</v>
      </c>
      <c r="H1846">
        <v>1.4307237699795399E-2</v>
      </c>
      <c r="I1846">
        <v>96</v>
      </c>
      <c r="L1846">
        <v>3.1285173172789102E-2</v>
      </c>
      <c r="M1846">
        <v>0</v>
      </c>
      <c r="N1846">
        <v>2014</v>
      </c>
      <c r="O1846" t="s">
        <v>13</v>
      </c>
      <c r="P1846" t="s">
        <v>361</v>
      </c>
      <c r="Q1846" t="s">
        <v>61</v>
      </c>
      <c r="R1846" t="s">
        <v>25</v>
      </c>
    </row>
    <row r="1847" spans="1:18" x14ac:dyDescent="0.25">
      <c r="A1847" t="s">
        <v>359</v>
      </c>
      <c r="B1847" t="s">
        <v>360</v>
      </c>
      <c r="C1847" t="s">
        <v>12</v>
      </c>
      <c r="D1847">
        <v>2</v>
      </c>
      <c r="E1847">
        <v>35</v>
      </c>
      <c r="F1847">
        <v>2.7132095082645101E-2</v>
      </c>
      <c r="G1847">
        <v>461</v>
      </c>
      <c r="H1847">
        <v>3.5695064159595301E-2</v>
      </c>
      <c r="I1847">
        <v>138</v>
      </c>
      <c r="L1847">
        <v>1.3066735659546099E-2</v>
      </c>
      <c r="M1847">
        <v>4.2539796883532197E-2</v>
      </c>
      <c r="N1847">
        <v>2014</v>
      </c>
      <c r="O1847" t="s">
        <v>13</v>
      </c>
      <c r="P1847" t="s">
        <v>361</v>
      </c>
      <c r="Q1847" t="s">
        <v>61</v>
      </c>
      <c r="R1847" t="s">
        <v>25</v>
      </c>
    </row>
    <row r="1848" spans="1:18" x14ac:dyDescent="0.25">
      <c r="A1848" t="s">
        <v>359</v>
      </c>
      <c r="B1848" t="s">
        <v>360</v>
      </c>
      <c r="C1848" t="s">
        <v>12</v>
      </c>
      <c r="D1848">
        <v>2</v>
      </c>
      <c r="E1848">
        <v>45</v>
      </c>
      <c r="F1848">
        <v>0.10639263391303801</v>
      </c>
      <c r="G1848">
        <v>433</v>
      </c>
      <c r="H1848">
        <v>6.6477863705011603E-2</v>
      </c>
      <c r="I1848">
        <v>127</v>
      </c>
      <c r="L1848">
        <v>7.6995341405756597E-3</v>
      </c>
      <c r="M1848">
        <v>3.26299260573003E-2</v>
      </c>
      <c r="N1848">
        <v>2014</v>
      </c>
      <c r="O1848" t="s">
        <v>13</v>
      </c>
      <c r="P1848" t="s">
        <v>361</v>
      </c>
      <c r="Q1848" t="s">
        <v>61</v>
      </c>
      <c r="R1848" t="s">
        <v>25</v>
      </c>
    </row>
    <row r="1849" spans="1:18" x14ac:dyDescent="0.25">
      <c r="A1849" t="s">
        <v>359</v>
      </c>
      <c r="B1849" t="s">
        <v>360</v>
      </c>
      <c r="C1849" t="s">
        <v>12</v>
      </c>
      <c r="D1849">
        <v>2</v>
      </c>
      <c r="E1849">
        <v>55</v>
      </c>
      <c r="F1849">
        <v>0.192446655828894</v>
      </c>
      <c r="G1849">
        <v>364</v>
      </c>
      <c r="H1849">
        <v>9.9543210641813804E-2</v>
      </c>
      <c r="I1849">
        <v>100</v>
      </c>
      <c r="L1849">
        <v>4.9240555916153601E-3</v>
      </c>
      <c r="M1849">
        <v>1.9607020564969699E-2</v>
      </c>
      <c r="N1849">
        <v>2014</v>
      </c>
      <c r="O1849" t="s">
        <v>13</v>
      </c>
      <c r="P1849" t="s">
        <v>361</v>
      </c>
      <c r="Q1849" t="s">
        <v>61</v>
      </c>
      <c r="R1849" t="s">
        <v>25</v>
      </c>
    </row>
    <row r="1850" spans="1:18" x14ac:dyDescent="0.25">
      <c r="A1850" t="s">
        <v>359</v>
      </c>
      <c r="B1850" t="s">
        <v>360</v>
      </c>
      <c r="C1850" t="s">
        <v>12</v>
      </c>
      <c r="D1850">
        <v>2</v>
      </c>
      <c r="E1850">
        <v>65</v>
      </c>
      <c r="F1850">
        <v>0.291942446772127</v>
      </c>
      <c r="G1850">
        <v>219</v>
      </c>
      <c r="H1850">
        <v>9.68465368990232E-2</v>
      </c>
      <c r="I1850">
        <v>52</v>
      </c>
      <c r="L1850">
        <v>6.2522872445746501E-3</v>
      </c>
      <c r="M1850">
        <v>3.4263740058132298E-2</v>
      </c>
      <c r="N1850">
        <v>2014</v>
      </c>
      <c r="O1850" t="s">
        <v>13</v>
      </c>
      <c r="P1850" t="s">
        <v>361</v>
      </c>
      <c r="Q1850" t="s">
        <v>61</v>
      </c>
      <c r="R1850" t="s">
        <v>25</v>
      </c>
    </row>
    <row r="1851" spans="1:18" x14ac:dyDescent="0.25">
      <c r="A1851" t="s">
        <v>359</v>
      </c>
      <c r="B1851" t="s">
        <v>360</v>
      </c>
      <c r="C1851" t="s">
        <v>12</v>
      </c>
      <c r="D1851">
        <v>1</v>
      </c>
      <c r="E1851">
        <v>19</v>
      </c>
      <c r="F1851">
        <v>0</v>
      </c>
      <c r="G1851">
        <v>57</v>
      </c>
      <c r="H1851">
        <v>1.7197886905393599E-3</v>
      </c>
      <c r="I1851">
        <v>11</v>
      </c>
      <c r="L1851">
        <v>0.107637570934698</v>
      </c>
      <c r="M1851">
        <v>0</v>
      </c>
      <c r="N1851">
        <v>2014</v>
      </c>
      <c r="O1851" t="s">
        <v>13</v>
      </c>
      <c r="P1851" t="s">
        <v>361</v>
      </c>
      <c r="Q1851" t="s">
        <v>61</v>
      </c>
      <c r="R1851" t="s">
        <v>25</v>
      </c>
    </row>
    <row r="1852" spans="1:18" x14ac:dyDescent="0.25">
      <c r="A1852" t="s">
        <v>359</v>
      </c>
      <c r="B1852" t="s">
        <v>360</v>
      </c>
      <c r="C1852" t="s">
        <v>12</v>
      </c>
      <c r="D1852">
        <v>1</v>
      </c>
      <c r="E1852">
        <v>25</v>
      </c>
      <c r="F1852">
        <v>0</v>
      </c>
      <c r="G1852">
        <v>238</v>
      </c>
      <c r="H1852">
        <v>2.08713559116148E-3</v>
      </c>
      <c r="I1852">
        <v>60</v>
      </c>
      <c r="L1852">
        <v>0.110250878425926</v>
      </c>
      <c r="M1852">
        <v>0</v>
      </c>
      <c r="N1852">
        <v>2014</v>
      </c>
      <c r="O1852" t="s">
        <v>13</v>
      </c>
      <c r="P1852" t="s">
        <v>361</v>
      </c>
      <c r="Q1852" t="s">
        <v>61</v>
      </c>
      <c r="R1852" t="s">
        <v>25</v>
      </c>
    </row>
    <row r="1853" spans="1:18" x14ac:dyDescent="0.25">
      <c r="A1853" t="s">
        <v>359</v>
      </c>
      <c r="B1853" t="s">
        <v>360</v>
      </c>
      <c r="C1853" t="s">
        <v>12</v>
      </c>
      <c r="D1853">
        <v>1</v>
      </c>
      <c r="E1853">
        <v>35</v>
      </c>
      <c r="F1853">
        <v>5.5365461329021396E-3</v>
      </c>
      <c r="G1853">
        <v>301</v>
      </c>
      <c r="H1853">
        <v>2.6875752905539601E-2</v>
      </c>
      <c r="I1853">
        <v>70</v>
      </c>
      <c r="L1853">
        <v>9.4761277749894103E-3</v>
      </c>
      <c r="M1853">
        <v>1.6598650455555499E-2</v>
      </c>
      <c r="N1853">
        <v>2014</v>
      </c>
      <c r="O1853" t="s">
        <v>13</v>
      </c>
      <c r="P1853" t="s">
        <v>361</v>
      </c>
      <c r="Q1853" t="s">
        <v>61</v>
      </c>
      <c r="R1853" t="s">
        <v>25</v>
      </c>
    </row>
    <row r="1854" spans="1:18" x14ac:dyDescent="0.25">
      <c r="A1854" t="s">
        <v>359</v>
      </c>
      <c r="B1854" t="s">
        <v>360</v>
      </c>
      <c r="C1854" t="s">
        <v>12</v>
      </c>
      <c r="D1854">
        <v>1</v>
      </c>
      <c r="E1854">
        <v>45</v>
      </c>
      <c r="F1854">
        <v>2.1606364971562202E-2</v>
      </c>
      <c r="G1854">
        <v>377</v>
      </c>
      <c r="H1854">
        <v>1.8421686252334899E-2</v>
      </c>
      <c r="I1854">
        <v>90</v>
      </c>
      <c r="L1854">
        <v>2.56354897351149E-2</v>
      </c>
      <c r="M1854">
        <v>0.14740818416450899</v>
      </c>
      <c r="N1854">
        <v>2014</v>
      </c>
      <c r="O1854" t="s">
        <v>13</v>
      </c>
      <c r="P1854" t="s">
        <v>361</v>
      </c>
      <c r="Q1854" t="s">
        <v>61</v>
      </c>
      <c r="R1854" t="s">
        <v>25</v>
      </c>
    </row>
    <row r="1855" spans="1:18" x14ac:dyDescent="0.25">
      <c r="A1855" t="s">
        <v>359</v>
      </c>
      <c r="B1855" t="s">
        <v>360</v>
      </c>
      <c r="C1855" t="s">
        <v>12</v>
      </c>
      <c r="D1855">
        <v>1</v>
      </c>
      <c r="E1855">
        <v>55</v>
      </c>
      <c r="F1855">
        <v>9.3523212759896696E-2</v>
      </c>
      <c r="G1855">
        <v>354</v>
      </c>
      <c r="H1855">
        <v>6.07898860948674E-2</v>
      </c>
      <c r="I1855">
        <v>91</v>
      </c>
      <c r="L1855">
        <v>4.2008613298875497E-3</v>
      </c>
      <c r="M1855">
        <v>1.8714579302271699E-2</v>
      </c>
      <c r="N1855">
        <v>2014</v>
      </c>
      <c r="O1855" t="s">
        <v>13</v>
      </c>
      <c r="P1855" t="s">
        <v>361</v>
      </c>
      <c r="Q1855" t="s">
        <v>61</v>
      </c>
      <c r="R1855" t="s">
        <v>25</v>
      </c>
    </row>
    <row r="1856" spans="1:18" x14ac:dyDescent="0.25">
      <c r="A1856" t="s">
        <v>359</v>
      </c>
      <c r="B1856" t="s">
        <v>360</v>
      </c>
      <c r="C1856" t="s">
        <v>12</v>
      </c>
      <c r="D1856">
        <v>1</v>
      </c>
      <c r="E1856">
        <v>65</v>
      </c>
      <c r="F1856">
        <v>0.190419943906983</v>
      </c>
      <c r="G1856">
        <v>217</v>
      </c>
      <c r="H1856">
        <v>7.7586267514756405E-2</v>
      </c>
      <c r="I1856">
        <v>55</v>
      </c>
      <c r="L1856">
        <v>5.70500262736519E-3</v>
      </c>
      <c r="M1856">
        <v>3.2004666520217703E-2</v>
      </c>
      <c r="N1856">
        <v>2014</v>
      </c>
      <c r="O1856" t="s">
        <v>13</v>
      </c>
      <c r="P1856" t="s">
        <v>361</v>
      </c>
      <c r="Q1856" t="s">
        <v>61</v>
      </c>
      <c r="R1856" t="s">
        <v>25</v>
      </c>
    </row>
    <row r="1857" spans="1:18" x14ac:dyDescent="0.25">
      <c r="A1857" t="s">
        <v>362</v>
      </c>
      <c r="B1857" t="s">
        <v>363</v>
      </c>
      <c r="C1857" t="s">
        <v>12</v>
      </c>
      <c r="D1857">
        <v>2</v>
      </c>
      <c r="E1857">
        <v>27.5</v>
      </c>
      <c r="F1857">
        <v>0</v>
      </c>
      <c r="G1857">
        <v>799</v>
      </c>
      <c r="H1857">
        <v>1.48515751409327E-2</v>
      </c>
      <c r="I1857">
        <v>765</v>
      </c>
      <c r="L1857">
        <v>2.0339470302242299E-2</v>
      </c>
      <c r="M1857">
        <v>0</v>
      </c>
      <c r="N1857">
        <v>2009</v>
      </c>
      <c r="O1857" t="s">
        <v>13</v>
      </c>
      <c r="P1857" t="s">
        <v>364</v>
      </c>
      <c r="Q1857" t="s">
        <v>169</v>
      </c>
      <c r="R1857" t="s">
        <v>170</v>
      </c>
    </row>
    <row r="1858" spans="1:18" x14ac:dyDescent="0.25">
      <c r="A1858" t="s">
        <v>362</v>
      </c>
      <c r="B1858" t="s">
        <v>363</v>
      </c>
      <c r="C1858" t="s">
        <v>12</v>
      </c>
      <c r="D1858">
        <v>2</v>
      </c>
      <c r="E1858">
        <v>35</v>
      </c>
      <c r="F1858">
        <v>2.1917808219178098E-3</v>
      </c>
      <c r="G1858">
        <v>1825</v>
      </c>
      <c r="H1858">
        <v>1.2904693550830499E-2</v>
      </c>
      <c r="I1858">
        <v>1762</v>
      </c>
      <c r="L1858">
        <v>3.5730336130701403E-2</v>
      </c>
      <c r="M1858">
        <v>7.0222994153066695E-2</v>
      </c>
      <c r="N1858">
        <v>2009</v>
      </c>
      <c r="O1858" t="s">
        <v>13</v>
      </c>
      <c r="P1858" t="s">
        <v>364</v>
      </c>
      <c r="Q1858" t="s">
        <v>169</v>
      </c>
      <c r="R1858" t="s">
        <v>170</v>
      </c>
    </row>
    <row r="1859" spans="1:18" x14ac:dyDescent="0.25">
      <c r="A1859" t="s">
        <v>362</v>
      </c>
      <c r="B1859" t="s">
        <v>363</v>
      </c>
      <c r="C1859" t="s">
        <v>12</v>
      </c>
      <c r="D1859">
        <v>2</v>
      </c>
      <c r="E1859">
        <v>45</v>
      </c>
      <c r="F1859">
        <v>3.88538125303545E-3</v>
      </c>
      <c r="G1859">
        <v>2059</v>
      </c>
      <c r="H1859">
        <v>2.49773277391299E-2</v>
      </c>
      <c r="I1859">
        <v>1974</v>
      </c>
      <c r="L1859">
        <v>3.6564487764761497E-2</v>
      </c>
      <c r="M1859">
        <v>5.6196476933623798E-2</v>
      </c>
      <c r="N1859">
        <v>2009</v>
      </c>
      <c r="O1859" t="s">
        <v>13</v>
      </c>
      <c r="P1859" t="s">
        <v>364</v>
      </c>
      <c r="Q1859" t="s">
        <v>169</v>
      </c>
      <c r="R1859" t="s">
        <v>170</v>
      </c>
    </row>
    <row r="1860" spans="1:18" x14ac:dyDescent="0.25">
      <c r="A1860" t="s">
        <v>362</v>
      </c>
      <c r="B1860" t="s">
        <v>363</v>
      </c>
      <c r="C1860" t="s">
        <v>12</v>
      </c>
      <c r="D1860">
        <v>2</v>
      </c>
      <c r="E1860">
        <v>55</v>
      </c>
      <c r="F1860">
        <v>2.1361815754339101E-2</v>
      </c>
      <c r="G1860">
        <v>2247</v>
      </c>
      <c r="H1860">
        <v>4.2127142121929202E-2</v>
      </c>
      <c r="I1860">
        <v>2117</v>
      </c>
      <c r="L1860">
        <v>2.87348885218238E-2</v>
      </c>
      <c r="M1860">
        <v>6.7169715947675596E-2</v>
      </c>
      <c r="N1860">
        <v>2009</v>
      </c>
      <c r="O1860" t="s">
        <v>13</v>
      </c>
      <c r="P1860" t="s">
        <v>364</v>
      </c>
      <c r="Q1860" t="s">
        <v>169</v>
      </c>
      <c r="R1860" t="s">
        <v>170</v>
      </c>
    </row>
    <row r="1861" spans="1:18" x14ac:dyDescent="0.25">
      <c r="A1861" t="s">
        <v>362</v>
      </c>
      <c r="B1861" t="s">
        <v>363</v>
      </c>
      <c r="C1861" t="s">
        <v>12</v>
      </c>
      <c r="D1861">
        <v>2</v>
      </c>
      <c r="E1861">
        <v>62.5</v>
      </c>
      <c r="F1861">
        <v>4.6116504854368898E-2</v>
      </c>
      <c r="G1861">
        <v>824</v>
      </c>
      <c r="H1861">
        <v>5.4547536989127399E-2</v>
      </c>
      <c r="I1861">
        <v>760</v>
      </c>
      <c r="L1861">
        <v>2.6731669689338902E-2</v>
      </c>
      <c r="M1861">
        <v>7.8781836660937493E-2</v>
      </c>
      <c r="N1861">
        <v>2009</v>
      </c>
      <c r="O1861" t="s">
        <v>13</v>
      </c>
      <c r="P1861" t="s">
        <v>364</v>
      </c>
      <c r="Q1861" t="s">
        <v>169</v>
      </c>
      <c r="R1861" t="s">
        <v>170</v>
      </c>
    </row>
    <row r="1862" spans="1:18" x14ac:dyDescent="0.25">
      <c r="A1862" t="s">
        <v>362</v>
      </c>
      <c r="B1862" t="s">
        <v>363</v>
      </c>
      <c r="C1862" t="s">
        <v>12</v>
      </c>
      <c r="D1862">
        <v>1</v>
      </c>
      <c r="E1862">
        <v>27.5</v>
      </c>
      <c r="F1862">
        <v>0</v>
      </c>
      <c r="G1862">
        <v>634</v>
      </c>
      <c r="H1862">
        <v>1.5456457498814099E-2</v>
      </c>
      <c r="I1862">
        <v>601</v>
      </c>
      <c r="L1862">
        <v>3.8610649801067098E-2</v>
      </c>
      <c r="M1862">
        <v>0</v>
      </c>
      <c r="N1862">
        <v>2009</v>
      </c>
      <c r="O1862" t="s">
        <v>13</v>
      </c>
      <c r="P1862" t="s">
        <v>364</v>
      </c>
      <c r="Q1862" t="s">
        <v>169</v>
      </c>
      <c r="R1862" t="s">
        <v>170</v>
      </c>
    </row>
    <row r="1863" spans="1:18" x14ac:dyDescent="0.25">
      <c r="A1863" t="s">
        <v>362</v>
      </c>
      <c r="B1863" t="s">
        <v>363</v>
      </c>
      <c r="C1863" t="s">
        <v>12</v>
      </c>
      <c r="D1863">
        <v>1</v>
      </c>
      <c r="E1863">
        <v>35</v>
      </c>
      <c r="F1863">
        <v>6.3572790845518097E-4</v>
      </c>
      <c r="G1863">
        <v>1573</v>
      </c>
      <c r="H1863">
        <v>1.37358473897058E-2</v>
      </c>
      <c r="I1863">
        <v>1499</v>
      </c>
      <c r="L1863">
        <v>6.1792243140824002E-2</v>
      </c>
      <c r="M1863">
        <v>7.3692151376479595E-2</v>
      </c>
      <c r="N1863">
        <v>2009</v>
      </c>
      <c r="O1863" t="s">
        <v>13</v>
      </c>
      <c r="P1863" t="s">
        <v>364</v>
      </c>
      <c r="Q1863" t="s">
        <v>169</v>
      </c>
      <c r="R1863" t="s">
        <v>170</v>
      </c>
    </row>
    <row r="1864" spans="1:18" x14ac:dyDescent="0.25">
      <c r="A1864" t="s">
        <v>362</v>
      </c>
      <c r="B1864" t="s">
        <v>363</v>
      </c>
      <c r="C1864" t="s">
        <v>12</v>
      </c>
      <c r="D1864">
        <v>1</v>
      </c>
      <c r="E1864">
        <v>45</v>
      </c>
      <c r="F1864">
        <v>3.4364261168384901E-3</v>
      </c>
      <c r="G1864">
        <v>1746</v>
      </c>
      <c r="H1864">
        <v>3.1040913883335599E-2</v>
      </c>
      <c r="I1864">
        <v>1666</v>
      </c>
      <c r="L1864">
        <v>3.6124935520556102E-2</v>
      </c>
      <c r="M1864">
        <v>4.4392717692713003E-2</v>
      </c>
      <c r="N1864">
        <v>2009</v>
      </c>
      <c r="O1864" t="s">
        <v>13</v>
      </c>
      <c r="P1864" t="s">
        <v>364</v>
      </c>
      <c r="Q1864" t="s">
        <v>169</v>
      </c>
      <c r="R1864" t="s">
        <v>170</v>
      </c>
    </row>
    <row r="1865" spans="1:18" x14ac:dyDescent="0.25">
      <c r="A1865" t="s">
        <v>362</v>
      </c>
      <c r="B1865" t="s">
        <v>363</v>
      </c>
      <c r="C1865" t="s">
        <v>12</v>
      </c>
      <c r="D1865">
        <v>1</v>
      </c>
      <c r="E1865">
        <v>55</v>
      </c>
      <c r="F1865">
        <v>1.5511892450879E-2</v>
      </c>
      <c r="G1865">
        <v>1934</v>
      </c>
      <c r="H1865">
        <v>4.5053799695295299E-2</v>
      </c>
      <c r="I1865">
        <v>1838</v>
      </c>
      <c r="L1865">
        <v>3.1349840783703099E-2</v>
      </c>
      <c r="M1865">
        <v>5.74834506599173E-2</v>
      </c>
      <c r="N1865">
        <v>2009</v>
      </c>
      <c r="O1865" t="s">
        <v>13</v>
      </c>
      <c r="P1865" t="s">
        <v>364</v>
      </c>
      <c r="Q1865" t="s">
        <v>169</v>
      </c>
      <c r="R1865" t="s">
        <v>170</v>
      </c>
    </row>
    <row r="1866" spans="1:18" x14ac:dyDescent="0.25">
      <c r="A1866" t="s">
        <v>362</v>
      </c>
      <c r="B1866" t="s">
        <v>363</v>
      </c>
      <c r="C1866" t="s">
        <v>12</v>
      </c>
      <c r="D1866">
        <v>1</v>
      </c>
      <c r="E1866">
        <v>62.5</v>
      </c>
      <c r="F1866">
        <v>2.0253164556962001E-2</v>
      </c>
      <c r="G1866">
        <v>790</v>
      </c>
      <c r="H1866">
        <v>5.0824093107667098E-2</v>
      </c>
      <c r="I1866">
        <v>751</v>
      </c>
      <c r="L1866">
        <v>3.7174692347240197E-2</v>
      </c>
      <c r="M1866">
        <v>7.0464807864705006E-2</v>
      </c>
      <c r="N1866">
        <v>2009</v>
      </c>
      <c r="O1866" t="s">
        <v>13</v>
      </c>
      <c r="P1866" t="s">
        <v>364</v>
      </c>
      <c r="Q1866" t="s">
        <v>169</v>
      </c>
      <c r="R1866" t="s">
        <v>170</v>
      </c>
    </row>
    <row r="1867" spans="1:18" x14ac:dyDescent="0.25">
      <c r="A1867" t="s">
        <v>362</v>
      </c>
      <c r="B1867" t="s">
        <v>365</v>
      </c>
      <c r="C1867" t="s">
        <v>12</v>
      </c>
      <c r="D1867">
        <v>2</v>
      </c>
      <c r="E1867">
        <v>19</v>
      </c>
      <c r="F1867">
        <v>0</v>
      </c>
      <c r="G1867">
        <v>36</v>
      </c>
      <c r="H1867">
        <v>3.0766914153879401E-3</v>
      </c>
      <c r="I1867">
        <v>18</v>
      </c>
      <c r="L1867">
        <v>0.112904840101177</v>
      </c>
      <c r="M1867">
        <v>0</v>
      </c>
      <c r="N1867">
        <v>2015</v>
      </c>
      <c r="O1867" t="s">
        <v>13</v>
      </c>
      <c r="P1867" t="s">
        <v>364</v>
      </c>
      <c r="Q1867" t="s">
        <v>169</v>
      </c>
      <c r="R1867" t="s">
        <v>170</v>
      </c>
    </row>
    <row r="1868" spans="1:18" x14ac:dyDescent="0.25">
      <c r="A1868" t="s">
        <v>362</v>
      </c>
      <c r="B1868" t="s">
        <v>365</v>
      </c>
      <c r="C1868" t="s">
        <v>12</v>
      </c>
      <c r="D1868">
        <v>2</v>
      </c>
      <c r="E1868">
        <v>25</v>
      </c>
      <c r="F1868">
        <v>5.2598648217146203E-3</v>
      </c>
      <c r="G1868">
        <v>321</v>
      </c>
      <c r="H1868">
        <v>1.7863849806852398E-2</v>
      </c>
      <c r="I1868">
        <v>204</v>
      </c>
      <c r="L1868">
        <v>1.1074829123589E-2</v>
      </c>
      <c r="M1868">
        <v>2.6128713122107902E-2</v>
      </c>
      <c r="N1868">
        <v>2015</v>
      </c>
      <c r="O1868" t="s">
        <v>13</v>
      </c>
      <c r="P1868" t="s">
        <v>364</v>
      </c>
      <c r="Q1868" t="s">
        <v>169</v>
      </c>
      <c r="R1868" t="s">
        <v>170</v>
      </c>
    </row>
    <row r="1869" spans="1:18" x14ac:dyDescent="0.25">
      <c r="A1869" t="s">
        <v>362</v>
      </c>
      <c r="B1869" t="s">
        <v>365</v>
      </c>
      <c r="C1869" t="s">
        <v>12</v>
      </c>
      <c r="D1869">
        <v>2</v>
      </c>
      <c r="E1869">
        <v>35</v>
      </c>
      <c r="F1869">
        <v>6.8859932055688499E-4</v>
      </c>
      <c r="G1869">
        <v>497</v>
      </c>
      <c r="H1869">
        <v>2.59134075843005E-2</v>
      </c>
      <c r="I1869">
        <v>377</v>
      </c>
      <c r="L1869">
        <v>2.1069593880001101E-2</v>
      </c>
      <c r="M1869">
        <v>1.6754759257070699E-2</v>
      </c>
      <c r="N1869">
        <v>2015</v>
      </c>
      <c r="O1869" t="s">
        <v>13</v>
      </c>
      <c r="P1869" t="s">
        <v>364</v>
      </c>
      <c r="Q1869" t="s">
        <v>169</v>
      </c>
      <c r="R1869" t="s">
        <v>170</v>
      </c>
    </row>
    <row r="1870" spans="1:18" x14ac:dyDescent="0.25">
      <c r="A1870" t="s">
        <v>362</v>
      </c>
      <c r="B1870" t="s">
        <v>365</v>
      </c>
      <c r="C1870" t="s">
        <v>12</v>
      </c>
      <c r="D1870">
        <v>2</v>
      </c>
      <c r="E1870">
        <v>45</v>
      </c>
      <c r="F1870">
        <v>1.24978730642151E-2</v>
      </c>
      <c r="G1870">
        <v>507</v>
      </c>
      <c r="H1870">
        <v>4.0398649013197799E-2</v>
      </c>
      <c r="I1870">
        <v>411</v>
      </c>
      <c r="L1870">
        <v>2.1897257051736101E-2</v>
      </c>
      <c r="M1870">
        <v>3.9012971442542198E-2</v>
      </c>
      <c r="N1870">
        <v>2015</v>
      </c>
      <c r="O1870" t="s">
        <v>13</v>
      </c>
      <c r="P1870" t="s">
        <v>364</v>
      </c>
      <c r="Q1870" t="s">
        <v>169</v>
      </c>
      <c r="R1870" t="s">
        <v>170</v>
      </c>
    </row>
    <row r="1871" spans="1:18" x14ac:dyDescent="0.25">
      <c r="A1871" t="s">
        <v>362</v>
      </c>
      <c r="B1871" t="s">
        <v>365</v>
      </c>
      <c r="C1871" t="s">
        <v>12</v>
      </c>
      <c r="D1871">
        <v>2</v>
      </c>
      <c r="E1871">
        <v>55</v>
      </c>
      <c r="F1871">
        <v>2.3883259059049401E-2</v>
      </c>
      <c r="G1871">
        <v>428</v>
      </c>
      <c r="H1871">
        <v>8.6097265068446505E-2</v>
      </c>
      <c r="I1871">
        <v>347</v>
      </c>
      <c r="L1871">
        <v>2.1540580694878901E-2</v>
      </c>
      <c r="M1871">
        <v>2.5565631459603701E-2</v>
      </c>
      <c r="N1871">
        <v>2015</v>
      </c>
      <c r="O1871" t="s">
        <v>13</v>
      </c>
      <c r="P1871" t="s">
        <v>364</v>
      </c>
      <c r="Q1871" t="s">
        <v>169</v>
      </c>
      <c r="R1871" t="s">
        <v>170</v>
      </c>
    </row>
    <row r="1872" spans="1:18" x14ac:dyDescent="0.25">
      <c r="A1872" t="s">
        <v>362</v>
      </c>
      <c r="B1872" t="s">
        <v>365</v>
      </c>
      <c r="C1872" t="s">
        <v>12</v>
      </c>
      <c r="D1872">
        <v>2</v>
      </c>
      <c r="E1872">
        <v>65</v>
      </c>
      <c r="F1872">
        <v>7.0399941602556304E-2</v>
      </c>
      <c r="G1872">
        <v>254</v>
      </c>
      <c r="H1872">
        <v>6.8093158852086805E-2</v>
      </c>
      <c r="I1872">
        <v>180</v>
      </c>
      <c r="L1872">
        <v>2.2720864707698001E-2</v>
      </c>
      <c r="M1872">
        <v>6.5636976599890706E-2</v>
      </c>
      <c r="N1872">
        <v>2015</v>
      </c>
      <c r="O1872" t="s">
        <v>13</v>
      </c>
      <c r="P1872" t="s">
        <v>364</v>
      </c>
      <c r="Q1872" t="s">
        <v>169</v>
      </c>
      <c r="R1872" t="s">
        <v>170</v>
      </c>
    </row>
    <row r="1873" spans="1:18" x14ac:dyDescent="0.25">
      <c r="A1873" t="s">
        <v>362</v>
      </c>
      <c r="B1873" t="s">
        <v>365</v>
      </c>
      <c r="C1873" t="s">
        <v>12</v>
      </c>
      <c r="D1873">
        <v>1</v>
      </c>
      <c r="E1873">
        <v>19</v>
      </c>
      <c r="F1873">
        <v>0</v>
      </c>
      <c r="G1873">
        <v>36</v>
      </c>
      <c r="H1873">
        <v>9.4401729111830202E-2</v>
      </c>
      <c r="I1873">
        <v>22</v>
      </c>
      <c r="L1873">
        <v>1.2060253172468799E-3</v>
      </c>
      <c r="M1873">
        <v>0</v>
      </c>
      <c r="N1873">
        <v>2015</v>
      </c>
      <c r="O1873" t="s">
        <v>13</v>
      </c>
      <c r="P1873" t="s">
        <v>364</v>
      </c>
      <c r="Q1873" t="s">
        <v>169</v>
      </c>
      <c r="R1873" t="s">
        <v>170</v>
      </c>
    </row>
    <row r="1874" spans="1:18" x14ac:dyDescent="0.25">
      <c r="A1874" t="s">
        <v>362</v>
      </c>
      <c r="B1874" t="s">
        <v>365</v>
      </c>
      <c r="C1874" t="s">
        <v>12</v>
      </c>
      <c r="D1874">
        <v>1</v>
      </c>
      <c r="E1874">
        <v>25</v>
      </c>
      <c r="F1874">
        <v>6.9260741252674604E-3</v>
      </c>
      <c r="G1874">
        <v>279</v>
      </c>
      <c r="H1874">
        <v>4.6074527096238403E-3</v>
      </c>
      <c r="I1874">
        <v>168</v>
      </c>
      <c r="L1874">
        <v>2.94801680619265E-2</v>
      </c>
      <c r="M1874">
        <v>0.35180093464675999</v>
      </c>
      <c r="N1874">
        <v>2015</v>
      </c>
      <c r="O1874" t="s">
        <v>13</v>
      </c>
      <c r="P1874" t="s">
        <v>364</v>
      </c>
      <c r="Q1874" t="s">
        <v>169</v>
      </c>
      <c r="R1874" t="s">
        <v>170</v>
      </c>
    </row>
    <row r="1875" spans="1:18" x14ac:dyDescent="0.25">
      <c r="A1875" t="s">
        <v>362</v>
      </c>
      <c r="B1875" t="s">
        <v>365</v>
      </c>
      <c r="C1875" t="s">
        <v>12</v>
      </c>
      <c r="D1875">
        <v>1</v>
      </c>
      <c r="E1875">
        <v>35</v>
      </c>
      <c r="F1875">
        <v>1.91972905581534E-3</v>
      </c>
      <c r="G1875">
        <v>398</v>
      </c>
      <c r="H1875">
        <v>3.3004088083469697E-2</v>
      </c>
      <c r="I1875">
        <v>266</v>
      </c>
      <c r="L1875">
        <v>1.7467827286545601E-2</v>
      </c>
      <c r="M1875">
        <v>1.64478792902727E-2</v>
      </c>
      <c r="N1875">
        <v>2015</v>
      </c>
      <c r="O1875" t="s">
        <v>13</v>
      </c>
      <c r="P1875" t="s">
        <v>364</v>
      </c>
      <c r="Q1875" t="s">
        <v>169</v>
      </c>
      <c r="R1875" t="s">
        <v>170</v>
      </c>
    </row>
    <row r="1876" spans="1:18" x14ac:dyDescent="0.25">
      <c r="A1876" t="s">
        <v>362</v>
      </c>
      <c r="B1876" t="s">
        <v>365</v>
      </c>
      <c r="C1876" t="s">
        <v>12</v>
      </c>
      <c r="D1876">
        <v>1</v>
      </c>
      <c r="E1876">
        <v>45</v>
      </c>
      <c r="F1876">
        <v>8.3358218424220195E-3</v>
      </c>
      <c r="G1876">
        <v>392</v>
      </c>
      <c r="H1876">
        <v>6.5646861311737498E-2</v>
      </c>
      <c r="I1876">
        <v>288</v>
      </c>
      <c r="L1876">
        <v>1.82521954647549E-2</v>
      </c>
      <c r="M1876">
        <v>1.7423681721086499E-2</v>
      </c>
      <c r="N1876">
        <v>2015</v>
      </c>
      <c r="O1876" t="s">
        <v>13</v>
      </c>
      <c r="P1876" t="s">
        <v>364</v>
      </c>
      <c r="Q1876" t="s">
        <v>169</v>
      </c>
      <c r="R1876" t="s">
        <v>170</v>
      </c>
    </row>
    <row r="1877" spans="1:18" x14ac:dyDescent="0.25">
      <c r="A1877" t="s">
        <v>362</v>
      </c>
      <c r="B1877" t="s">
        <v>365</v>
      </c>
      <c r="C1877" t="s">
        <v>12</v>
      </c>
      <c r="D1877">
        <v>1</v>
      </c>
      <c r="E1877">
        <v>55</v>
      </c>
      <c r="F1877">
        <v>3.9412489565336398E-2</v>
      </c>
      <c r="G1877">
        <v>344</v>
      </c>
      <c r="H1877">
        <v>5.8779540620328703E-2</v>
      </c>
      <c r="I1877">
        <v>267</v>
      </c>
      <c r="L1877">
        <v>1.6844109961169799E-2</v>
      </c>
      <c r="M1877">
        <v>4.00820862635363E-2</v>
      </c>
      <c r="N1877">
        <v>2015</v>
      </c>
      <c r="O1877" t="s">
        <v>13</v>
      </c>
      <c r="P1877" t="s">
        <v>364</v>
      </c>
      <c r="Q1877" t="s">
        <v>169</v>
      </c>
      <c r="R1877" t="s">
        <v>170</v>
      </c>
    </row>
    <row r="1878" spans="1:18" x14ac:dyDescent="0.25">
      <c r="A1878" t="s">
        <v>362</v>
      </c>
      <c r="B1878" t="s">
        <v>365</v>
      </c>
      <c r="C1878" t="s">
        <v>12</v>
      </c>
      <c r="D1878">
        <v>1</v>
      </c>
      <c r="E1878">
        <v>65</v>
      </c>
      <c r="F1878">
        <v>2.5180728423645202E-2</v>
      </c>
      <c r="G1878">
        <v>220</v>
      </c>
      <c r="H1878">
        <v>9.3418729855052396E-2</v>
      </c>
      <c r="I1878">
        <v>171</v>
      </c>
      <c r="L1878">
        <v>2.86817257580195E-2</v>
      </c>
      <c r="M1878">
        <v>3.4089420643615101E-2</v>
      </c>
      <c r="N1878">
        <v>2015</v>
      </c>
      <c r="O1878" t="s">
        <v>13</v>
      </c>
      <c r="P1878" t="s">
        <v>364</v>
      </c>
      <c r="Q1878" t="s">
        <v>169</v>
      </c>
      <c r="R1878" t="s">
        <v>170</v>
      </c>
    </row>
    <row r="1879" spans="1:18" x14ac:dyDescent="0.25">
      <c r="A1879" t="s">
        <v>362</v>
      </c>
      <c r="B1879" t="s">
        <v>366</v>
      </c>
      <c r="C1879" t="s">
        <v>12</v>
      </c>
      <c r="D1879">
        <v>2</v>
      </c>
      <c r="E1879">
        <v>19</v>
      </c>
      <c r="F1879">
        <v>0</v>
      </c>
      <c r="G1879">
        <v>25</v>
      </c>
      <c r="H1879">
        <v>0.17471412402241401</v>
      </c>
      <c r="I1879">
        <v>19</v>
      </c>
      <c r="L1879">
        <v>1.6212066445846799E-3</v>
      </c>
      <c r="M1879">
        <v>0</v>
      </c>
      <c r="N1879">
        <v>2021</v>
      </c>
      <c r="O1879" t="s">
        <v>13</v>
      </c>
      <c r="P1879" t="s">
        <v>364</v>
      </c>
      <c r="Q1879" t="s">
        <v>169</v>
      </c>
      <c r="R1879" t="s">
        <v>170</v>
      </c>
    </row>
    <row r="1880" spans="1:18" x14ac:dyDescent="0.25">
      <c r="A1880" t="s">
        <v>362</v>
      </c>
      <c r="B1880" t="s">
        <v>366</v>
      </c>
      <c r="C1880" t="s">
        <v>12</v>
      </c>
      <c r="D1880">
        <v>2</v>
      </c>
      <c r="E1880">
        <v>25</v>
      </c>
      <c r="F1880">
        <v>1.42739920759471E-2</v>
      </c>
      <c r="G1880">
        <v>230</v>
      </c>
      <c r="H1880">
        <v>2.8944508507492101E-2</v>
      </c>
      <c r="I1880">
        <v>155</v>
      </c>
      <c r="L1880">
        <v>4.9593411983836003E-2</v>
      </c>
      <c r="M1880">
        <v>0.13170403476495399</v>
      </c>
      <c r="N1880">
        <v>2021</v>
      </c>
      <c r="O1880" t="s">
        <v>13</v>
      </c>
      <c r="P1880" t="s">
        <v>364</v>
      </c>
      <c r="Q1880" t="s">
        <v>169</v>
      </c>
      <c r="R1880" t="s">
        <v>170</v>
      </c>
    </row>
    <row r="1881" spans="1:18" x14ac:dyDescent="0.25">
      <c r="A1881" t="s">
        <v>362</v>
      </c>
      <c r="B1881" t="s">
        <v>366</v>
      </c>
      <c r="C1881" t="s">
        <v>12</v>
      </c>
      <c r="D1881">
        <v>2</v>
      </c>
      <c r="E1881">
        <v>35</v>
      </c>
      <c r="F1881">
        <v>6.3375873773949603E-3</v>
      </c>
      <c r="G1881">
        <v>479</v>
      </c>
      <c r="H1881">
        <v>3.2829587057381003E-2</v>
      </c>
      <c r="I1881">
        <v>367</v>
      </c>
      <c r="L1881">
        <v>5.8918833226504298E-2</v>
      </c>
      <c r="M1881">
        <v>8.6051571850601499E-2</v>
      </c>
      <c r="N1881">
        <v>2021</v>
      </c>
      <c r="O1881" t="s">
        <v>13</v>
      </c>
      <c r="P1881" t="s">
        <v>364</v>
      </c>
      <c r="Q1881" t="s">
        <v>169</v>
      </c>
      <c r="R1881" t="s">
        <v>170</v>
      </c>
    </row>
    <row r="1882" spans="1:18" x14ac:dyDescent="0.25">
      <c r="A1882" t="s">
        <v>362</v>
      </c>
      <c r="B1882" t="s">
        <v>366</v>
      </c>
      <c r="C1882" t="s">
        <v>12</v>
      </c>
      <c r="D1882">
        <v>2</v>
      </c>
      <c r="E1882">
        <v>45</v>
      </c>
      <c r="F1882">
        <v>2.1847754244543899E-2</v>
      </c>
      <c r="G1882">
        <v>453</v>
      </c>
      <c r="H1882">
        <v>7.7690680172847804E-2</v>
      </c>
      <c r="I1882">
        <v>352</v>
      </c>
      <c r="L1882">
        <v>3.5871579398734699E-2</v>
      </c>
      <c r="M1882">
        <v>4.2729523238130597E-2</v>
      </c>
      <c r="N1882">
        <v>2021</v>
      </c>
      <c r="O1882" t="s">
        <v>13</v>
      </c>
      <c r="P1882" t="s">
        <v>364</v>
      </c>
      <c r="Q1882" t="s">
        <v>169</v>
      </c>
      <c r="R1882" t="s">
        <v>170</v>
      </c>
    </row>
    <row r="1883" spans="1:18" x14ac:dyDescent="0.25">
      <c r="A1883" t="s">
        <v>362</v>
      </c>
      <c r="B1883" t="s">
        <v>366</v>
      </c>
      <c r="C1883" t="s">
        <v>12</v>
      </c>
      <c r="D1883">
        <v>2</v>
      </c>
      <c r="E1883">
        <v>55</v>
      </c>
      <c r="F1883">
        <v>5.3216489184529897E-2</v>
      </c>
      <c r="G1883">
        <v>554</v>
      </c>
      <c r="H1883">
        <v>0.109111692636332</v>
      </c>
      <c r="I1883">
        <v>418</v>
      </c>
      <c r="L1883">
        <v>3.79714879043642E-2</v>
      </c>
      <c r="M1883">
        <v>4.99001029523913E-2</v>
      </c>
      <c r="N1883">
        <v>2021</v>
      </c>
      <c r="O1883" t="s">
        <v>13</v>
      </c>
      <c r="P1883" t="s">
        <v>364</v>
      </c>
      <c r="Q1883" t="s">
        <v>169</v>
      </c>
      <c r="R1883" t="s">
        <v>170</v>
      </c>
    </row>
    <row r="1884" spans="1:18" x14ac:dyDescent="0.25">
      <c r="A1884" t="s">
        <v>362</v>
      </c>
      <c r="B1884" t="s">
        <v>366</v>
      </c>
      <c r="C1884" t="s">
        <v>12</v>
      </c>
      <c r="D1884">
        <v>2</v>
      </c>
      <c r="E1884">
        <v>65</v>
      </c>
      <c r="F1884">
        <v>7.9909884217165106E-2</v>
      </c>
      <c r="G1884">
        <v>431</v>
      </c>
      <c r="H1884">
        <v>0.14730972305871001</v>
      </c>
      <c r="I1884">
        <v>310</v>
      </c>
      <c r="L1884">
        <v>4.6506673839867597E-2</v>
      </c>
      <c r="M1884">
        <v>5.4594995305535299E-2</v>
      </c>
      <c r="N1884">
        <v>2021</v>
      </c>
      <c r="O1884" t="s">
        <v>13</v>
      </c>
      <c r="P1884" t="s">
        <v>364</v>
      </c>
      <c r="Q1884" t="s">
        <v>169</v>
      </c>
      <c r="R1884" t="s">
        <v>170</v>
      </c>
    </row>
    <row r="1885" spans="1:18" x14ac:dyDescent="0.25">
      <c r="A1885" t="s">
        <v>362</v>
      </c>
      <c r="B1885" t="s">
        <v>366</v>
      </c>
      <c r="C1885" t="s">
        <v>12</v>
      </c>
      <c r="D1885">
        <v>1</v>
      </c>
      <c r="E1885">
        <v>19</v>
      </c>
      <c r="F1885">
        <v>0</v>
      </c>
      <c r="G1885">
        <v>34</v>
      </c>
      <c r="H1885">
        <v>8.9899421331030207E-3</v>
      </c>
      <c r="I1885">
        <v>20</v>
      </c>
      <c r="L1885">
        <v>0.15208036288896801</v>
      </c>
      <c r="M1885">
        <v>0</v>
      </c>
      <c r="N1885">
        <v>2021</v>
      </c>
      <c r="O1885" t="s">
        <v>13</v>
      </c>
      <c r="P1885" t="s">
        <v>364</v>
      </c>
      <c r="Q1885" t="s">
        <v>169</v>
      </c>
      <c r="R1885" t="s">
        <v>170</v>
      </c>
    </row>
    <row r="1886" spans="1:18" x14ac:dyDescent="0.25">
      <c r="A1886" t="s">
        <v>362</v>
      </c>
      <c r="B1886" t="s">
        <v>366</v>
      </c>
      <c r="C1886" t="s">
        <v>12</v>
      </c>
      <c r="D1886">
        <v>1</v>
      </c>
      <c r="E1886">
        <v>25</v>
      </c>
      <c r="F1886">
        <v>0</v>
      </c>
      <c r="G1886">
        <v>240</v>
      </c>
      <c r="H1886">
        <v>2.9189212391438499E-2</v>
      </c>
      <c r="I1886">
        <v>150</v>
      </c>
      <c r="L1886">
        <v>4.5254631190942897E-2</v>
      </c>
      <c r="M1886">
        <v>0</v>
      </c>
      <c r="N1886">
        <v>2021</v>
      </c>
      <c r="O1886" t="s">
        <v>13</v>
      </c>
      <c r="P1886" t="s">
        <v>364</v>
      </c>
      <c r="Q1886" t="s">
        <v>169</v>
      </c>
      <c r="R1886" t="s">
        <v>170</v>
      </c>
    </row>
    <row r="1887" spans="1:18" x14ac:dyDescent="0.25">
      <c r="A1887" t="s">
        <v>362</v>
      </c>
      <c r="B1887" t="s">
        <v>366</v>
      </c>
      <c r="C1887" t="s">
        <v>12</v>
      </c>
      <c r="D1887">
        <v>1</v>
      </c>
      <c r="E1887">
        <v>35</v>
      </c>
      <c r="F1887">
        <v>9.0763410459157796E-4</v>
      </c>
      <c r="G1887">
        <v>449</v>
      </c>
      <c r="H1887">
        <v>8.8012296104621607E-2</v>
      </c>
      <c r="I1887">
        <v>306</v>
      </c>
      <c r="L1887">
        <v>4.3158050382057798E-2</v>
      </c>
      <c r="M1887">
        <v>1.5328564635255599E-2</v>
      </c>
      <c r="N1887">
        <v>2021</v>
      </c>
      <c r="O1887" t="s">
        <v>13</v>
      </c>
      <c r="P1887" t="s">
        <v>364</v>
      </c>
      <c r="Q1887" t="s">
        <v>169</v>
      </c>
      <c r="R1887" t="s">
        <v>170</v>
      </c>
    </row>
    <row r="1888" spans="1:18" x14ac:dyDescent="0.25">
      <c r="A1888" t="s">
        <v>362</v>
      </c>
      <c r="B1888" t="s">
        <v>366</v>
      </c>
      <c r="C1888" t="s">
        <v>12</v>
      </c>
      <c r="D1888">
        <v>1</v>
      </c>
      <c r="E1888">
        <v>45</v>
      </c>
      <c r="F1888">
        <v>2.1557408045090699E-2</v>
      </c>
      <c r="G1888">
        <v>524</v>
      </c>
      <c r="H1888">
        <v>9.1257508364066306E-2</v>
      </c>
      <c r="I1888">
        <v>360</v>
      </c>
      <c r="L1888">
        <v>4.8565034864924403E-2</v>
      </c>
      <c r="M1888">
        <v>4.8567210487509699E-2</v>
      </c>
      <c r="N1888">
        <v>2021</v>
      </c>
      <c r="O1888" t="s">
        <v>13</v>
      </c>
      <c r="P1888" t="s">
        <v>364</v>
      </c>
      <c r="Q1888" t="s">
        <v>169</v>
      </c>
      <c r="R1888" t="s">
        <v>170</v>
      </c>
    </row>
    <row r="1889" spans="1:18" x14ac:dyDescent="0.25">
      <c r="A1889" t="s">
        <v>362</v>
      </c>
      <c r="B1889" t="s">
        <v>366</v>
      </c>
      <c r="C1889" t="s">
        <v>12</v>
      </c>
      <c r="D1889">
        <v>1</v>
      </c>
      <c r="E1889">
        <v>55</v>
      </c>
      <c r="F1889">
        <v>4.4958666873335898E-2</v>
      </c>
      <c r="G1889">
        <v>554</v>
      </c>
      <c r="H1889">
        <v>0.112799632371841</v>
      </c>
      <c r="I1889">
        <v>411</v>
      </c>
      <c r="L1889">
        <v>4.8974977112538398E-2</v>
      </c>
      <c r="M1889">
        <v>5.7186869991635601E-2</v>
      </c>
      <c r="N1889">
        <v>2021</v>
      </c>
      <c r="O1889" t="s">
        <v>13</v>
      </c>
      <c r="P1889" t="s">
        <v>364</v>
      </c>
      <c r="Q1889" t="s">
        <v>169</v>
      </c>
      <c r="R1889" t="s">
        <v>170</v>
      </c>
    </row>
    <row r="1890" spans="1:18" x14ac:dyDescent="0.25">
      <c r="A1890" t="s">
        <v>362</v>
      </c>
      <c r="B1890" t="s">
        <v>366</v>
      </c>
      <c r="C1890" t="s">
        <v>12</v>
      </c>
      <c r="D1890">
        <v>1</v>
      </c>
      <c r="E1890">
        <v>65</v>
      </c>
      <c r="F1890">
        <v>8.6137842478770696E-2</v>
      </c>
      <c r="G1890">
        <v>399</v>
      </c>
      <c r="H1890">
        <v>0.17778085930043899</v>
      </c>
      <c r="I1890">
        <v>298</v>
      </c>
      <c r="L1890">
        <v>3.9779065430914202E-2</v>
      </c>
      <c r="M1890">
        <v>3.7957717534920998E-2</v>
      </c>
      <c r="N1890">
        <v>2021</v>
      </c>
      <c r="O1890" t="s">
        <v>13</v>
      </c>
      <c r="P1890" t="s">
        <v>364</v>
      </c>
      <c r="Q1890" t="s">
        <v>169</v>
      </c>
      <c r="R1890" t="s">
        <v>170</v>
      </c>
    </row>
    <row r="1891" spans="1:18" x14ac:dyDescent="0.25">
      <c r="A1891" t="s">
        <v>367</v>
      </c>
      <c r="B1891" t="s">
        <v>368</v>
      </c>
      <c r="C1891" t="s">
        <v>12</v>
      </c>
      <c r="D1891">
        <v>2</v>
      </c>
      <c r="E1891">
        <v>27.5</v>
      </c>
      <c r="F1891">
        <v>5.2246912833520398E-3</v>
      </c>
      <c r="G1891">
        <v>416</v>
      </c>
      <c r="H1891">
        <v>7.9825436156131593E-2</v>
      </c>
      <c r="I1891">
        <v>399</v>
      </c>
      <c r="L1891">
        <v>2.4964102841710901E-2</v>
      </c>
      <c r="M1891">
        <v>1.6570780510394501E-2</v>
      </c>
      <c r="N1891">
        <v>2011</v>
      </c>
      <c r="O1891" t="s">
        <v>13</v>
      </c>
      <c r="P1891" t="s">
        <v>369</v>
      </c>
      <c r="Q1891" t="s">
        <v>125</v>
      </c>
      <c r="R1891" t="s">
        <v>34</v>
      </c>
    </row>
    <row r="1892" spans="1:18" x14ac:dyDescent="0.25">
      <c r="A1892" t="s">
        <v>367</v>
      </c>
      <c r="B1892" t="s">
        <v>368</v>
      </c>
      <c r="C1892" t="s">
        <v>12</v>
      </c>
      <c r="D1892">
        <v>2</v>
      </c>
      <c r="E1892">
        <v>35</v>
      </c>
      <c r="F1892">
        <v>4.5807930198656401E-3</v>
      </c>
      <c r="G1892">
        <v>737</v>
      </c>
      <c r="H1892">
        <v>0.16332951505509199</v>
      </c>
      <c r="I1892">
        <v>700</v>
      </c>
      <c r="L1892">
        <v>2.49369568447106E-2</v>
      </c>
      <c r="M1892">
        <v>8.2974384636898494E-3</v>
      </c>
      <c r="N1892">
        <v>2011</v>
      </c>
      <c r="O1892" t="s">
        <v>13</v>
      </c>
      <c r="P1892" t="s">
        <v>369</v>
      </c>
      <c r="Q1892" t="s">
        <v>125</v>
      </c>
      <c r="R1892" t="s">
        <v>34</v>
      </c>
    </row>
    <row r="1893" spans="1:18" x14ac:dyDescent="0.25">
      <c r="A1893" t="s">
        <v>367</v>
      </c>
      <c r="B1893" t="s">
        <v>368</v>
      </c>
      <c r="C1893" t="s">
        <v>12</v>
      </c>
      <c r="D1893">
        <v>2</v>
      </c>
      <c r="E1893">
        <v>45</v>
      </c>
      <c r="F1893">
        <v>2.24728044501563E-2</v>
      </c>
      <c r="G1893">
        <v>565</v>
      </c>
      <c r="H1893">
        <v>0.20659866035625399</v>
      </c>
      <c r="I1893">
        <v>535</v>
      </c>
      <c r="L1893">
        <v>3.5764979123508102E-2</v>
      </c>
      <c r="M1893">
        <v>1.54716445373849E-2</v>
      </c>
      <c r="N1893">
        <v>2011</v>
      </c>
      <c r="O1893" t="s">
        <v>13</v>
      </c>
      <c r="P1893" t="s">
        <v>369</v>
      </c>
      <c r="Q1893" t="s">
        <v>125</v>
      </c>
      <c r="R1893" t="s">
        <v>34</v>
      </c>
    </row>
    <row r="1894" spans="1:18" x14ac:dyDescent="0.25">
      <c r="A1894" t="s">
        <v>367</v>
      </c>
      <c r="B1894" t="s">
        <v>368</v>
      </c>
      <c r="C1894" t="s">
        <v>12</v>
      </c>
      <c r="D1894">
        <v>2</v>
      </c>
      <c r="E1894">
        <v>55</v>
      </c>
      <c r="F1894">
        <v>3.7370442999794098E-2</v>
      </c>
      <c r="G1894">
        <v>383</v>
      </c>
      <c r="H1894">
        <v>0.27225211955178102</v>
      </c>
      <c r="I1894">
        <v>359</v>
      </c>
      <c r="L1894">
        <v>4.3341006347755798E-2</v>
      </c>
      <c r="M1894">
        <v>1.6134730093929201E-2</v>
      </c>
      <c r="N1894">
        <v>2011</v>
      </c>
      <c r="O1894" t="s">
        <v>13</v>
      </c>
      <c r="P1894" t="s">
        <v>369</v>
      </c>
      <c r="Q1894" t="s">
        <v>125</v>
      </c>
      <c r="R1894" t="s">
        <v>34</v>
      </c>
    </row>
    <row r="1895" spans="1:18" x14ac:dyDescent="0.25">
      <c r="A1895" t="s">
        <v>367</v>
      </c>
      <c r="B1895" t="s">
        <v>368</v>
      </c>
      <c r="C1895" t="s">
        <v>12</v>
      </c>
      <c r="D1895">
        <v>2</v>
      </c>
      <c r="E1895">
        <v>62.5</v>
      </c>
      <c r="F1895">
        <v>6.1706048728847197E-2</v>
      </c>
      <c r="G1895">
        <v>135</v>
      </c>
      <c r="H1895">
        <v>0.302441374633797</v>
      </c>
      <c r="I1895">
        <v>122</v>
      </c>
      <c r="L1895">
        <v>3.60669021635334E-2</v>
      </c>
      <c r="M1895">
        <v>1.4114235905456201E-2</v>
      </c>
      <c r="N1895">
        <v>2011</v>
      </c>
      <c r="O1895" t="s">
        <v>13</v>
      </c>
      <c r="P1895" t="s">
        <v>369</v>
      </c>
      <c r="Q1895" t="s">
        <v>125</v>
      </c>
      <c r="R1895" t="s">
        <v>34</v>
      </c>
    </row>
    <row r="1896" spans="1:18" x14ac:dyDescent="0.25">
      <c r="A1896" t="s">
        <v>367</v>
      </c>
      <c r="B1896" t="s">
        <v>368</v>
      </c>
      <c r="C1896" t="s">
        <v>12</v>
      </c>
      <c r="D1896">
        <v>1</v>
      </c>
      <c r="E1896">
        <v>27.5</v>
      </c>
      <c r="F1896">
        <v>0</v>
      </c>
      <c r="G1896">
        <v>395</v>
      </c>
      <c r="H1896">
        <v>0.127852023903677</v>
      </c>
      <c r="I1896">
        <v>371</v>
      </c>
      <c r="L1896">
        <v>1.49345275446481E-2</v>
      </c>
      <c r="M1896">
        <v>0</v>
      </c>
      <c r="N1896">
        <v>2011</v>
      </c>
      <c r="O1896" t="s">
        <v>13</v>
      </c>
      <c r="P1896" t="s">
        <v>369</v>
      </c>
      <c r="Q1896" t="s">
        <v>125</v>
      </c>
      <c r="R1896" t="s">
        <v>34</v>
      </c>
    </row>
    <row r="1897" spans="1:18" x14ac:dyDescent="0.25">
      <c r="A1897" t="s">
        <v>367</v>
      </c>
      <c r="B1897" t="s">
        <v>368</v>
      </c>
      <c r="C1897" t="s">
        <v>12</v>
      </c>
      <c r="D1897">
        <v>1</v>
      </c>
      <c r="E1897">
        <v>35</v>
      </c>
      <c r="F1897">
        <v>2.7873605423951999E-3</v>
      </c>
      <c r="G1897">
        <v>700</v>
      </c>
      <c r="H1897">
        <v>0.159109852913566</v>
      </c>
      <c r="I1897">
        <v>672</v>
      </c>
      <c r="L1897">
        <v>2.0040116919512602E-2</v>
      </c>
      <c r="M1897">
        <v>6.0104546572493896E-3</v>
      </c>
      <c r="N1897">
        <v>2011</v>
      </c>
      <c r="O1897" t="s">
        <v>13</v>
      </c>
      <c r="P1897" t="s">
        <v>369</v>
      </c>
      <c r="Q1897" t="s">
        <v>125</v>
      </c>
      <c r="R1897" t="s">
        <v>34</v>
      </c>
    </row>
    <row r="1898" spans="1:18" x14ac:dyDescent="0.25">
      <c r="A1898" t="s">
        <v>367</v>
      </c>
      <c r="B1898" t="s">
        <v>368</v>
      </c>
      <c r="C1898" t="s">
        <v>12</v>
      </c>
      <c r="D1898">
        <v>1</v>
      </c>
      <c r="E1898">
        <v>45</v>
      </c>
      <c r="F1898">
        <v>1.32270456746861E-2</v>
      </c>
      <c r="G1898">
        <v>564</v>
      </c>
      <c r="H1898">
        <v>0.17875142772789501</v>
      </c>
      <c r="I1898">
        <v>535</v>
      </c>
      <c r="L1898">
        <v>3.3292802587057302E-2</v>
      </c>
      <c r="M1898">
        <v>1.4030227655657901E-2</v>
      </c>
      <c r="N1898">
        <v>2011</v>
      </c>
      <c r="O1898" t="s">
        <v>13</v>
      </c>
      <c r="P1898" t="s">
        <v>369</v>
      </c>
      <c r="Q1898" t="s">
        <v>125</v>
      </c>
      <c r="R1898" t="s">
        <v>34</v>
      </c>
    </row>
    <row r="1899" spans="1:18" x14ac:dyDescent="0.25">
      <c r="A1899" t="s">
        <v>367</v>
      </c>
      <c r="B1899" t="s">
        <v>368</v>
      </c>
      <c r="C1899" t="s">
        <v>12</v>
      </c>
      <c r="D1899">
        <v>1</v>
      </c>
      <c r="E1899">
        <v>55</v>
      </c>
      <c r="F1899">
        <v>2.9616061700909399E-2</v>
      </c>
      <c r="G1899">
        <v>438</v>
      </c>
      <c r="H1899">
        <v>0.246696951036949</v>
      </c>
      <c r="I1899">
        <v>398</v>
      </c>
      <c r="L1899">
        <v>2.9535507585905001E-2</v>
      </c>
      <c r="M1899">
        <v>1.1479896527581201E-2</v>
      </c>
      <c r="N1899">
        <v>2011</v>
      </c>
      <c r="O1899" t="s">
        <v>13</v>
      </c>
      <c r="P1899" t="s">
        <v>369</v>
      </c>
      <c r="Q1899" t="s">
        <v>125</v>
      </c>
      <c r="R1899" t="s">
        <v>34</v>
      </c>
    </row>
    <row r="1900" spans="1:18" x14ac:dyDescent="0.25">
      <c r="A1900" t="s">
        <v>367</v>
      </c>
      <c r="B1900" t="s">
        <v>368</v>
      </c>
      <c r="C1900" t="s">
        <v>12</v>
      </c>
      <c r="D1900">
        <v>1</v>
      </c>
      <c r="E1900">
        <v>62.5</v>
      </c>
      <c r="F1900">
        <v>3.45902063329162E-2</v>
      </c>
      <c r="G1900">
        <v>215</v>
      </c>
      <c r="H1900">
        <v>0.34740706352054002</v>
      </c>
      <c r="I1900">
        <v>195</v>
      </c>
      <c r="L1900">
        <v>2.6524781187211102E-2</v>
      </c>
      <c r="M1900">
        <v>6.4980040560891298E-3</v>
      </c>
      <c r="N1900">
        <v>2011</v>
      </c>
      <c r="O1900" t="s">
        <v>13</v>
      </c>
      <c r="P1900" t="s">
        <v>369</v>
      </c>
      <c r="Q1900" t="s">
        <v>125</v>
      </c>
      <c r="R1900" t="s">
        <v>34</v>
      </c>
    </row>
    <row r="1901" spans="1:18" x14ac:dyDescent="0.25">
      <c r="A1901" t="s">
        <v>370</v>
      </c>
      <c r="B1901" t="s">
        <v>371</v>
      </c>
      <c r="C1901" t="s">
        <v>12</v>
      </c>
      <c r="D1901">
        <v>2</v>
      </c>
      <c r="E1901">
        <v>27.5</v>
      </c>
      <c r="F1901">
        <v>3.5229027356769201E-3</v>
      </c>
      <c r="G1901">
        <v>218</v>
      </c>
      <c r="H1901">
        <v>8.1815030731043001E-2</v>
      </c>
      <c r="I1901">
        <v>207</v>
      </c>
      <c r="L1901">
        <v>4.1529613866544898E-2</v>
      </c>
      <c r="M1901">
        <v>2.3190672087018999E-2</v>
      </c>
      <c r="N1901">
        <v>2002</v>
      </c>
      <c r="O1901" t="s">
        <v>13</v>
      </c>
      <c r="P1901" t="s">
        <v>372</v>
      </c>
      <c r="Q1901" t="s">
        <v>33</v>
      </c>
      <c r="R1901" t="s">
        <v>34</v>
      </c>
    </row>
    <row r="1902" spans="1:18" x14ac:dyDescent="0.25">
      <c r="A1902" t="s">
        <v>370</v>
      </c>
      <c r="B1902" t="s">
        <v>371</v>
      </c>
      <c r="C1902" t="s">
        <v>12</v>
      </c>
      <c r="D1902">
        <v>2</v>
      </c>
      <c r="E1902">
        <v>35</v>
      </c>
      <c r="F1902">
        <v>1.07811643775355E-2</v>
      </c>
      <c r="G1902">
        <v>389</v>
      </c>
      <c r="H1902">
        <v>0.108819094348876</v>
      </c>
      <c r="I1902">
        <v>366</v>
      </c>
      <c r="L1902">
        <v>4.6563069436373401E-2</v>
      </c>
      <c r="M1902">
        <v>3.01683804911487E-2</v>
      </c>
      <c r="N1902">
        <v>2002</v>
      </c>
      <c r="O1902" t="s">
        <v>13</v>
      </c>
      <c r="P1902" t="s">
        <v>372</v>
      </c>
      <c r="Q1902" t="s">
        <v>33</v>
      </c>
      <c r="R1902" t="s">
        <v>34</v>
      </c>
    </row>
    <row r="1903" spans="1:18" x14ac:dyDescent="0.25">
      <c r="A1903" t="s">
        <v>370</v>
      </c>
      <c r="B1903" t="s">
        <v>371</v>
      </c>
      <c r="C1903" t="s">
        <v>12</v>
      </c>
      <c r="D1903">
        <v>2</v>
      </c>
      <c r="E1903">
        <v>45</v>
      </c>
      <c r="F1903">
        <v>6.5200428563050694E-2</v>
      </c>
      <c r="G1903">
        <v>339</v>
      </c>
      <c r="H1903">
        <v>0.227429436282443</v>
      </c>
      <c r="I1903">
        <v>303</v>
      </c>
      <c r="L1903">
        <v>3.6796129534460202E-2</v>
      </c>
      <c r="M1903">
        <v>2.25057955837424E-2</v>
      </c>
      <c r="N1903">
        <v>2002</v>
      </c>
      <c r="O1903" t="s">
        <v>13</v>
      </c>
      <c r="P1903" t="s">
        <v>372</v>
      </c>
      <c r="Q1903" t="s">
        <v>33</v>
      </c>
      <c r="R1903" t="s">
        <v>34</v>
      </c>
    </row>
    <row r="1904" spans="1:18" x14ac:dyDescent="0.25">
      <c r="A1904" t="s">
        <v>370</v>
      </c>
      <c r="B1904" t="s">
        <v>371</v>
      </c>
      <c r="C1904" t="s">
        <v>12</v>
      </c>
      <c r="D1904">
        <v>2</v>
      </c>
      <c r="E1904">
        <v>55</v>
      </c>
      <c r="F1904">
        <v>8.40155927670522E-2</v>
      </c>
      <c r="G1904">
        <v>274</v>
      </c>
      <c r="H1904">
        <v>0.31225343232699998</v>
      </c>
      <c r="I1904">
        <v>245</v>
      </c>
      <c r="L1904">
        <v>4.4014088561586499E-2</v>
      </c>
      <c r="M1904">
        <v>1.88817994800312E-2</v>
      </c>
      <c r="N1904">
        <v>2002</v>
      </c>
      <c r="O1904" t="s">
        <v>13</v>
      </c>
      <c r="P1904" t="s">
        <v>372</v>
      </c>
      <c r="Q1904" t="s">
        <v>33</v>
      </c>
      <c r="R1904" t="s">
        <v>34</v>
      </c>
    </row>
    <row r="1905" spans="1:18" x14ac:dyDescent="0.25">
      <c r="A1905" t="s">
        <v>370</v>
      </c>
      <c r="B1905" t="s">
        <v>371</v>
      </c>
      <c r="C1905" t="s">
        <v>12</v>
      </c>
      <c r="D1905">
        <v>2</v>
      </c>
      <c r="E1905">
        <v>62.5</v>
      </c>
      <c r="F1905">
        <v>0.15155597926416001</v>
      </c>
      <c r="G1905">
        <v>119</v>
      </c>
      <c r="H1905">
        <v>0.44067237983688901</v>
      </c>
      <c r="I1905">
        <v>98</v>
      </c>
      <c r="L1905">
        <v>3.6086877347253701E-2</v>
      </c>
      <c r="M1905">
        <v>1.05996063676285E-2</v>
      </c>
      <c r="N1905">
        <v>2002</v>
      </c>
      <c r="O1905" t="s">
        <v>13</v>
      </c>
      <c r="P1905" t="s">
        <v>372</v>
      </c>
      <c r="Q1905" t="s">
        <v>33</v>
      </c>
      <c r="R1905" t="s">
        <v>34</v>
      </c>
    </row>
    <row r="1906" spans="1:18" x14ac:dyDescent="0.25">
      <c r="A1906" t="s">
        <v>370</v>
      </c>
      <c r="B1906" t="s">
        <v>371</v>
      </c>
      <c r="C1906" t="s">
        <v>12</v>
      </c>
      <c r="D1906">
        <v>1</v>
      </c>
      <c r="E1906">
        <v>27.5</v>
      </c>
      <c r="F1906">
        <v>5.3028712895227701E-3</v>
      </c>
      <c r="G1906">
        <v>226</v>
      </c>
      <c r="H1906">
        <v>4.86544412070751E-2</v>
      </c>
      <c r="I1906">
        <v>213</v>
      </c>
      <c r="L1906">
        <v>5.1165427043156499E-2</v>
      </c>
      <c r="M1906">
        <v>5.0685684527180502E-2</v>
      </c>
      <c r="N1906">
        <v>2002</v>
      </c>
      <c r="O1906" t="s">
        <v>13</v>
      </c>
      <c r="P1906" t="s">
        <v>372</v>
      </c>
      <c r="Q1906" t="s">
        <v>33</v>
      </c>
      <c r="R1906" t="s">
        <v>34</v>
      </c>
    </row>
    <row r="1907" spans="1:18" x14ac:dyDescent="0.25">
      <c r="A1907" t="s">
        <v>370</v>
      </c>
      <c r="B1907" t="s">
        <v>371</v>
      </c>
      <c r="C1907" t="s">
        <v>12</v>
      </c>
      <c r="D1907">
        <v>1</v>
      </c>
      <c r="E1907">
        <v>35</v>
      </c>
      <c r="F1907">
        <v>0</v>
      </c>
      <c r="G1907">
        <v>361</v>
      </c>
      <c r="H1907">
        <v>0.12595500303082</v>
      </c>
      <c r="I1907">
        <v>344</v>
      </c>
      <c r="L1907">
        <v>3.9264928698773099E-2</v>
      </c>
      <c r="M1907">
        <v>0</v>
      </c>
      <c r="N1907">
        <v>2002</v>
      </c>
      <c r="O1907" t="s">
        <v>13</v>
      </c>
      <c r="P1907" t="s">
        <v>372</v>
      </c>
      <c r="Q1907" t="s">
        <v>33</v>
      </c>
      <c r="R1907" t="s">
        <v>34</v>
      </c>
    </row>
    <row r="1908" spans="1:18" x14ac:dyDescent="0.25">
      <c r="A1908" t="s">
        <v>370</v>
      </c>
      <c r="B1908" t="s">
        <v>371</v>
      </c>
      <c r="C1908" t="s">
        <v>12</v>
      </c>
      <c r="D1908">
        <v>1</v>
      </c>
      <c r="E1908">
        <v>45</v>
      </c>
      <c r="F1908">
        <v>2.47030798169845E-2</v>
      </c>
      <c r="G1908">
        <v>288</v>
      </c>
      <c r="H1908">
        <v>0.19547550602359501</v>
      </c>
      <c r="I1908">
        <v>270</v>
      </c>
      <c r="L1908">
        <v>4.3230605989434602E-2</v>
      </c>
      <c r="M1908">
        <v>2.0327754327434801E-2</v>
      </c>
      <c r="N1908">
        <v>2002</v>
      </c>
      <c r="O1908" t="s">
        <v>13</v>
      </c>
      <c r="P1908" t="s">
        <v>372</v>
      </c>
      <c r="Q1908" t="s">
        <v>33</v>
      </c>
      <c r="R1908" t="s">
        <v>34</v>
      </c>
    </row>
    <row r="1909" spans="1:18" x14ac:dyDescent="0.25">
      <c r="A1909" t="s">
        <v>370</v>
      </c>
      <c r="B1909" t="s">
        <v>371</v>
      </c>
      <c r="C1909" t="s">
        <v>12</v>
      </c>
      <c r="D1909">
        <v>1</v>
      </c>
      <c r="E1909">
        <v>55</v>
      </c>
      <c r="F1909">
        <v>7.4550167461501907E-2</v>
      </c>
      <c r="G1909">
        <v>223</v>
      </c>
      <c r="H1909">
        <v>0.29173601323676301</v>
      </c>
      <c r="I1909">
        <v>203</v>
      </c>
      <c r="L1909">
        <v>4.1447920596207603E-2</v>
      </c>
      <c r="M1909">
        <v>1.84033865473281E-2</v>
      </c>
      <c r="N1909">
        <v>2002</v>
      </c>
      <c r="O1909" t="s">
        <v>13</v>
      </c>
      <c r="P1909" t="s">
        <v>372</v>
      </c>
      <c r="Q1909" t="s">
        <v>33</v>
      </c>
      <c r="R1909" t="s">
        <v>34</v>
      </c>
    </row>
    <row r="1910" spans="1:18" x14ac:dyDescent="0.25">
      <c r="A1910" t="s">
        <v>370</v>
      </c>
      <c r="B1910" t="s">
        <v>371</v>
      </c>
      <c r="C1910" t="s">
        <v>12</v>
      </c>
      <c r="D1910">
        <v>1</v>
      </c>
      <c r="E1910">
        <v>62.5</v>
      </c>
      <c r="F1910">
        <v>0.16973851759371</v>
      </c>
      <c r="G1910">
        <v>90</v>
      </c>
      <c r="H1910">
        <v>0.29473334052383898</v>
      </c>
      <c r="I1910">
        <v>74</v>
      </c>
      <c r="L1910">
        <v>3.0238513476077301E-2</v>
      </c>
      <c r="M1910">
        <v>2.0181782577105001E-2</v>
      </c>
      <c r="N1910">
        <v>2002</v>
      </c>
      <c r="O1910" t="s">
        <v>13</v>
      </c>
      <c r="P1910" t="s">
        <v>372</v>
      </c>
      <c r="Q1910" t="s">
        <v>33</v>
      </c>
      <c r="R1910" t="s">
        <v>34</v>
      </c>
    </row>
    <row r="1911" spans="1:18" x14ac:dyDescent="0.25">
      <c r="A1911" t="s">
        <v>373</v>
      </c>
      <c r="B1911" t="s">
        <v>374</v>
      </c>
      <c r="C1911" t="s">
        <v>40</v>
      </c>
      <c r="D1911">
        <v>2</v>
      </c>
      <c r="E1911">
        <v>27.5</v>
      </c>
      <c r="F1911">
        <v>5.1546391752577301E-3</v>
      </c>
      <c r="G1911">
        <v>388</v>
      </c>
      <c r="H1911">
        <v>9.3880603040337098E-3</v>
      </c>
      <c r="I1911">
        <v>377</v>
      </c>
      <c r="L1911">
        <v>4.2175055003564402E-2</v>
      </c>
      <c r="M1911">
        <v>0.16625751091074201</v>
      </c>
      <c r="N1911">
        <v>2008</v>
      </c>
      <c r="O1911" t="s">
        <v>53</v>
      </c>
      <c r="P1911" t="s">
        <v>375</v>
      </c>
      <c r="Q1911" t="s">
        <v>94</v>
      </c>
      <c r="R1911" t="s">
        <v>44</v>
      </c>
    </row>
    <row r="1912" spans="1:18" x14ac:dyDescent="0.25">
      <c r="A1912" t="s">
        <v>373</v>
      </c>
      <c r="B1912" t="s">
        <v>374</v>
      </c>
      <c r="C1912" t="s">
        <v>40</v>
      </c>
      <c r="D1912">
        <v>2</v>
      </c>
      <c r="E1912">
        <v>35</v>
      </c>
      <c r="F1912">
        <v>1.00755667506297E-2</v>
      </c>
      <c r="G1912">
        <v>397</v>
      </c>
      <c r="H1912">
        <v>1.9083974395111399E-2</v>
      </c>
      <c r="I1912">
        <v>370</v>
      </c>
      <c r="L1912">
        <v>3.4760461887484599E-2</v>
      </c>
      <c r="M1912">
        <v>0.107169802553368</v>
      </c>
      <c r="N1912">
        <v>2008</v>
      </c>
      <c r="O1912" t="s">
        <v>53</v>
      </c>
      <c r="P1912" t="s">
        <v>375</v>
      </c>
      <c r="Q1912" t="s">
        <v>94</v>
      </c>
      <c r="R1912" t="s">
        <v>44</v>
      </c>
    </row>
    <row r="1913" spans="1:18" x14ac:dyDescent="0.25">
      <c r="A1913" t="s">
        <v>373</v>
      </c>
      <c r="B1913" t="s">
        <v>374</v>
      </c>
      <c r="C1913" t="s">
        <v>40</v>
      </c>
      <c r="D1913">
        <v>2</v>
      </c>
      <c r="E1913">
        <v>45</v>
      </c>
      <c r="F1913">
        <v>9.5693779904306199E-3</v>
      </c>
      <c r="G1913">
        <v>209</v>
      </c>
      <c r="H1913">
        <v>6.0665070164521703E-2</v>
      </c>
      <c r="I1913">
        <v>200</v>
      </c>
      <c r="L1913">
        <v>2.2131183358688002E-2</v>
      </c>
      <c r="M1913">
        <v>2.34077920975727E-2</v>
      </c>
      <c r="N1913">
        <v>2008</v>
      </c>
      <c r="O1913" t="s">
        <v>53</v>
      </c>
      <c r="P1913" t="s">
        <v>375</v>
      </c>
      <c r="Q1913" t="s">
        <v>94</v>
      </c>
      <c r="R1913" t="s">
        <v>44</v>
      </c>
    </row>
    <row r="1914" spans="1:18" x14ac:dyDescent="0.25">
      <c r="A1914" t="s">
        <v>373</v>
      </c>
      <c r="B1914" t="s">
        <v>374</v>
      </c>
      <c r="C1914" t="s">
        <v>40</v>
      </c>
      <c r="D1914">
        <v>2</v>
      </c>
      <c r="E1914">
        <v>55</v>
      </c>
      <c r="F1914">
        <v>5.3846153846153801E-2</v>
      </c>
      <c r="G1914">
        <v>130</v>
      </c>
      <c r="H1914">
        <v>8.4085608923337399E-2</v>
      </c>
      <c r="I1914">
        <v>120</v>
      </c>
      <c r="L1914">
        <v>1.9259187064491499E-2</v>
      </c>
      <c r="M1914">
        <v>3.63954245644511E-2</v>
      </c>
      <c r="N1914">
        <v>2008</v>
      </c>
      <c r="O1914" t="s">
        <v>53</v>
      </c>
      <c r="P1914" t="s">
        <v>375</v>
      </c>
      <c r="Q1914" t="s">
        <v>94</v>
      </c>
      <c r="R1914" t="s">
        <v>44</v>
      </c>
    </row>
    <row r="1915" spans="1:18" x14ac:dyDescent="0.25">
      <c r="A1915" t="s">
        <v>373</v>
      </c>
      <c r="B1915" t="s">
        <v>374</v>
      </c>
      <c r="C1915" t="s">
        <v>40</v>
      </c>
      <c r="D1915">
        <v>2</v>
      </c>
      <c r="E1915">
        <v>65</v>
      </c>
      <c r="F1915">
        <v>8.7719298245614002E-2</v>
      </c>
      <c r="G1915">
        <v>57</v>
      </c>
      <c r="H1915">
        <v>7.9688464777506907E-2</v>
      </c>
      <c r="I1915">
        <v>50</v>
      </c>
      <c r="L1915">
        <v>3.8962277346173302E-2</v>
      </c>
      <c r="M1915">
        <v>0.124803328752322</v>
      </c>
      <c r="N1915">
        <v>2008</v>
      </c>
      <c r="O1915" t="s">
        <v>53</v>
      </c>
      <c r="P1915" t="s">
        <v>375</v>
      </c>
      <c r="Q1915" t="s">
        <v>94</v>
      </c>
      <c r="R1915" t="s">
        <v>44</v>
      </c>
    </row>
    <row r="1916" spans="1:18" x14ac:dyDescent="0.25">
      <c r="A1916" t="s">
        <v>373</v>
      </c>
      <c r="B1916" t="s">
        <v>374</v>
      </c>
      <c r="C1916" t="s">
        <v>40</v>
      </c>
      <c r="D1916">
        <v>2</v>
      </c>
      <c r="E1916">
        <v>75</v>
      </c>
      <c r="F1916">
        <v>0</v>
      </c>
      <c r="G1916">
        <v>29</v>
      </c>
      <c r="H1916">
        <v>0.206852751568252</v>
      </c>
      <c r="I1916">
        <v>29</v>
      </c>
      <c r="L1916">
        <v>4.1579892237787297E-2</v>
      </c>
      <c r="M1916">
        <v>0</v>
      </c>
      <c r="N1916">
        <v>2008</v>
      </c>
      <c r="O1916" t="s">
        <v>53</v>
      </c>
      <c r="P1916" t="s">
        <v>375</v>
      </c>
      <c r="Q1916" t="s">
        <v>94</v>
      </c>
      <c r="R1916" t="s">
        <v>44</v>
      </c>
    </row>
    <row r="1917" spans="1:18" x14ac:dyDescent="0.25">
      <c r="A1917" t="s">
        <v>373</v>
      </c>
      <c r="B1917" t="s">
        <v>374</v>
      </c>
      <c r="C1917" t="s">
        <v>40</v>
      </c>
      <c r="D1917">
        <v>2</v>
      </c>
      <c r="E1917">
        <v>84.91</v>
      </c>
      <c r="F1917">
        <v>0</v>
      </c>
      <c r="G1917">
        <v>9</v>
      </c>
      <c r="H1917">
        <v>0.14494420057225799</v>
      </c>
      <c r="I1917">
        <v>9</v>
      </c>
      <c r="L1917">
        <v>2.29645591772457E-2</v>
      </c>
      <c r="M1917">
        <v>0</v>
      </c>
      <c r="N1917">
        <v>2008</v>
      </c>
      <c r="O1917" t="s">
        <v>53</v>
      </c>
      <c r="P1917" t="s">
        <v>375</v>
      </c>
      <c r="Q1917" t="s">
        <v>94</v>
      </c>
      <c r="R1917" t="s">
        <v>44</v>
      </c>
    </row>
    <row r="1918" spans="1:18" x14ac:dyDescent="0.25">
      <c r="A1918" t="s">
        <v>373</v>
      </c>
      <c r="B1918" t="s">
        <v>374</v>
      </c>
      <c r="C1918" t="s">
        <v>40</v>
      </c>
      <c r="D1918">
        <v>1</v>
      </c>
      <c r="E1918">
        <v>27.5</v>
      </c>
      <c r="F1918">
        <v>0</v>
      </c>
      <c r="G1918">
        <v>211</v>
      </c>
      <c r="H1918">
        <v>1.12595532687882E-2</v>
      </c>
      <c r="I1918">
        <v>194</v>
      </c>
      <c r="L1918">
        <v>4.6456808524818802E-2</v>
      </c>
      <c r="M1918">
        <v>0</v>
      </c>
      <c r="N1918">
        <v>2008</v>
      </c>
      <c r="O1918" t="s">
        <v>53</v>
      </c>
      <c r="P1918" t="s">
        <v>375</v>
      </c>
      <c r="Q1918" t="s">
        <v>94</v>
      </c>
      <c r="R1918" t="s">
        <v>44</v>
      </c>
    </row>
    <row r="1919" spans="1:18" x14ac:dyDescent="0.25">
      <c r="A1919" t="s">
        <v>373</v>
      </c>
      <c r="B1919" t="s">
        <v>374</v>
      </c>
      <c r="C1919" t="s">
        <v>40</v>
      </c>
      <c r="D1919">
        <v>1</v>
      </c>
      <c r="E1919">
        <v>35</v>
      </c>
      <c r="F1919">
        <v>4.4444444444444401E-3</v>
      </c>
      <c r="G1919">
        <v>225</v>
      </c>
      <c r="H1919">
        <v>2.6672662194581399E-2</v>
      </c>
      <c r="I1919">
        <v>213</v>
      </c>
      <c r="L1919">
        <v>2.1591153997106101E-2</v>
      </c>
      <c r="M1919">
        <v>3.2312348147597203E-2</v>
      </c>
      <c r="N1919">
        <v>2008</v>
      </c>
      <c r="O1919" t="s">
        <v>53</v>
      </c>
      <c r="P1919" t="s">
        <v>375</v>
      </c>
      <c r="Q1919" t="s">
        <v>94</v>
      </c>
      <c r="R1919" t="s">
        <v>44</v>
      </c>
    </row>
    <row r="1920" spans="1:18" x14ac:dyDescent="0.25">
      <c r="A1920" t="s">
        <v>373</v>
      </c>
      <c r="B1920" t="s">
        <v>374</v>
      </c>
      <c r="C1920" t="s">
        <v>40</v>
      </c>
      <c r="D1920">
        <v>1</v>
      </c>
      <c r="E1920">
        <v>45</v>
      </c>
      <c r="F1920">
        <v>2.1978021978022001E-2</v>
      </c>
      <c r="G1920">
        <v>91</v>
      </c>
      <c r="H1920">
        <v>1.15996506056251E-2</v>
      </c>
      <c r="I1920">
        <v>86</v>
      </c>
      <c r="L1920">
        <v>3.36355008776393E-2</v>
      </c>
      <c r="M1920">
        <v>0.345554730241588</v>
      </c>
      <c r="N1920">
        <v>2008</v>
      </c>
      <c r="O1920" t="s">
        <v>53</v>
      </c>
      <c r="P1920" t="s">
        <v>375</v>
      </c>
      <c r="Q1920" t="s">
        <v>94</v>
      </c>
      <c r="R1920" t="s">
        <v>44</v>
      </c>
    </row>
    <row r="1921" spans="1:18" x14ac:dyDescent="0.25">
      <c r="A1921" t="s">
        <v>373</v>
      </c>
      <c r="B1921" t="s">
        <v>374</v>
      </c>
      <c r="C1921" t="s">
        <v>40</v>
      </c>
      <c r="D1921">
        <v>1</v>
      </c>
      <c r="E1921">
        <v>55</v>
      </c>
      <c r="F1921">
        <v>3.8461538461538498E-2</v>
      </c>
      <c r="G1921">
        <v>52</v>
      </c>
      <c r="H1921">
        <v>6.0127648295135998E-2</v>
      </c>
      <c r="I1921">
        <v>49</v>
      </c>
      <c r="L1921">
        <v>1.9928924603895601E-2</v>
      </c>
      <c r="M1921">
        <v>4.3817994698135201E-2</v>
      </c>
      <c r="N1921">
        <v>2008</v>
      </c>
      <c r="O1921" t="s">
        <v>53</v>
      </c>
      <c r="P1921" t="s">
        <v>375</v>
      </c>
      <c r="Q1921" t="s">
        <v>94</v>
      </c>
      <c r="R1921" t="s">
        <v>44</v>
      </c>
    </row>
    <row r="1922" spans="1:18" x14ac:dyDescent="0.25">
      <c r="A1922" t="s">
        <v>373</v>
      </c>
      <c r="B1922" t="s">
        <v>374</v>
      </c>
      <c r="C1922" t="s">
        <v>40</v>
      </c>
      <c r="D1922">
        <v>1</v>
      </c>
      <c r="E1922">
        <v>65</v>
      </c>
      <c r="F1922">
        <v>3.5714285714285698E-2</v>
      </c>
      <c r="G1922">
        <v>28</v>
      </c>
      <c r="H1922">
        <v>0.111776869315073</v>
      </c>
      <c r="I1922">
        <v>25</v>
      </c>
      <c r="L1922">
        <v>2.70997662971139E-2</v>
      </c>
      <c r="M1922">
        <v>2.8632928850886301E-2</v>
      </c>
      <c r="N1922">
        <v>2008</v>
      </c>
      <c r="O1922" t="s">
        <v>53</v>
      </c>
      <c r="P1922" t="s">
        <v>375</v>
      </c>
      <c r="Q1922" t="s">
        <v>94</v>
      </c>
      <c r="R1922" t="s">
        <v>44</v>
      </c>
    </row>
    <row r="1923" spans="1:18" x14ac:dyDescent="0.25">
      <c r="A1923" t="s">
        <v>373</v>
      </c>
      <c r="B1923" t="s">
        <v>374</v>
      </c>
      <c r="C1923" t="s">
        <v>40</v>
      </c>
      <c r="D1923">
        <v>1</v>
      </c>
      <c r="E1923">
        <v>75</v>
      </c>
      <c r="F1923">
        <v>5.5555555555555601E-2</v>
      </c>
      <c r="G1923">
        <v>18</v>
      </c>
      <c r="H1923">
        <v>0.14378389080961601</v>
      </c>
      <c r="I1923">
        <v>17</v>
      </c>
      <c r="L1923">
        <v>1.7125310281880302E-2</v>
      </c>
      <c r="M1923">
        <v>1.7046616445958299E-2</v>
      </c>
      <c r="N1923">
        <v>2008</v>
      </c>
      <c r="O1923" t="s">
        <v>53</v>
      </c>
      <c r="P1923" t="s">
        <v>375</v>
      </c>
      <c r="Q1923" t="s">
        <v>94</v>
      </c>
      <c r="R1923" t="s">
        <v>44</v>
      </c>
    </row>
    <row r="1924" spans="1:18" x14ac:dyDescent="0.25">
      <c r="A1924" t="s">
        <v>373</v>
      </c>
      <c r="B1924" t="s">
        <v>374</v>
      </c>
      <c r="C1924" t="s">
        <v>40</v>
      </c>
      <c r="D1924">
        <v>1</v>
      </c>
      <c r="E1924">
        <v>84.91</v>
      </c>
      <c r="F1924">
        <v>0</v>
      </c>
      <c r="G1924">
        <v>6</v>
      </c>
      <c r="H1924">
        <v>0.199749098321652</v>
      </c>
      <c r="I1924">
        <v>6</v>
      </c>
      <c r="L1924">
        <v>2.2089121383259899E-2</v>
      </c>
      <c r="M1924">
        <v>0</v>
      </c>
      <c r="N1924">
        <v>2008</v>
      </c>
      <c r="O1924" t="s">
        <v>53</v>
      </c>
      <c r="P1924" t="s">
        <v>375</v>
      </c>
      <c r="Q1924" t="s">
        <v>94</v>
      </c>
      <c r="R1924" t="s">
        <v>44</v>
      </c>
    </row>
    <row r="1925" spans="1:18" x14ac:dyDescent="0.25">
      <c r="A1925" t="s">
        <v>373</v>
      </c>
      <c r="B1925" t="s">
        <v>376</v>
      </c>
      <c r="C1925" t="s">
        <v>12</v>
      </c>
      <c r="D1925">
        <v>2</v>
      </c>
      <c r="E1925">
        <v>19</v>
      </c>
      <c r="F1925">
        <v>0</v>
      </c>
      <c r="G1925">
        <v>212</v>
      </c>
      <c r="H1925">
        <v>3.8115965439858103E-2</v>
      </c>
      <c r="I1925">
        <v>176</v>
      </c>
      <c r="L1925">
        <v>3.7311458195001701E-2</v>
      </c>
      <c r="M1925">
        <v>0</v>
      </c>
      <c r="N1925">
        <v>2017</v>
      </c>
      <c r="O1925" t="s">
        <v>13</v>
      </c>
      <c r="P1925" t="s">
        <v>375</v>
      </c>
      <c r="Q1925" t="s">
        <v>94</v>
      </c>
      <c r="R1925" t="s">
        <v>44</v>
      </c>
    </row>
    <row r="1926" spans="1:18" x14ac:dyDescent="0.25">
      <c r="A1926" t="s">
        <v>373</v>
      </c>
      <c r="B1926" t="s">
        <v>376</v>
      </c>
      <c r="C1926" t="s">
        <v>12</v>
      </c>
      <c r="D1926">
        <v>2</v>
      </c>
      <c r="E1926">
        <v>25</v>
      </c>
      <c r="F1926">
        <v>2.0056121791941798E-3</v>
      </c>
      <c r="G1926">
        <v>697</v>
      </c>
      <c r="H1926">
        <v>5.4729873236606601E-2</v>
      </c>
      <c r="I1926">
        <v>571</v>
      </c>
      <c r="L1926">
        <v>3.1320960400463699E-2</v>
      </c>
      <c r="M1926">
        <v>2.0664316901375102E-2</v>
      </c>
      <c r="N1926">
        <v>2017</v>
      </c>
      <c r="O1926" t="s">
        <v>13</v>
      </c>
      <c r="P1926" t="s">
        <v>375</v>
      </c>
      <c r="Q1926" t="s">
        <v>94</v>
      </c>
      <c r="R1926" t="s">
        <v>44</v>
      </c>
    </row>
    <row r="1927" spans="1:18" x14ac:dyDescent="0.25">
      <c r="A1927" t="s">
        <v>373</v>
      </c>
      <c r="B1927" t="s">
        <v>376</v>
      </c>
      <c r="C1927" t="s">
        <v>12</v>
      </c>
      <c r="D1927">
        <v>2</v>
      </c>
      <c r="E1927">
        <v>35</v>
      </c>
      <c r="F1927">
        <v>0</v>
      </c>
      <c r="G1927">
        <v>617</v>
      </c>
      <c r="H1927">
        <v>8.5891256852249395E-2</v>
      </c>
      <c r="I1927">
        <v>495</v>
      </c>
      <c r="L1927">
        <v>2.90111402391257E-2</v>
      </c>
      <c r="M1927">
        <v>0</v>
      </c>
      <c r="N1927">
        <v>2017</v>
      </c>
      <c r="O1927" t="s">
        <v>13</v>
      </c>
      <c r="P1927" t="s">
        <v>375</v>
      </c>
      <c r="Q1927" t="s">
        <v>94</v>
      </c>
      <c r="R1927" t="s">
        <v>44</v>
      </c>
    </row>
    <row r="1928" spans="1:18" x14ac:dyDescent="0.25">
      <c r="A1928" t="s">
        <v>373</v>
      </c>
      <c r="B1928" t="s">
        <v>376</v>
      </c>
      <c r="C1928" t="s">
        <v>12</v>
      </c>
      <c r="D1928">
        <v>2</v>
      </c>
      <c r="E1928">
        <v>45</v>
      </c>
      <c r="F1928">
        <v>1.2898318371740601E-2</v>
      </c>
      <c r="G1928">
        <v>454</v>
      </c>
      <c r="H1928">
        <v>0.12650976930868599</v>
      </c>
      <c r="I1928">
        <v>379</v>
      </c>
      <c r="L1928">
        <v>3.11072218301955E-2</v>
      </c>
      <c r="M1928">
        <v>1.93900081262386E-2</v>
      </c>
      <c r="N1928">
        <v>2017</v>
      </c>
      <c r="O1928" t="s">
        <v>13</v>
      </c>
      <c r="P1928" t="s">
        <v>375</v>
      </c>
      <c r="Q1928" t="s">
        <v>94</v>
      </c>
      <c r="R1928" t="s">
        <v>44</v>
      </c>
    </row>
    <row r="1929" spans="1:18" x14ac:dyDescent="0.25">
      <c r="A1929" t="s">
        <v>373</v>
      </c>
      <c r="B1929" t="s">
        <v>376</v>
      </c>
      <c r="C1929" t="s">
        <v>12</v>
      </c>
      <c r="D1929">
        <v>2</v>
      </c>
      <c r="E1929">
        <v>55</v>
      </c>
      <c r="F1929">
        <v>1.3781501632725301E-2</v>
      </c>
      <c r="G1929">
        <v>276</v>
      </c>
      <c r="H1929">
        <v>0.154741318919285</v>
      </c>
      <c r="I1929">
        <v>232</v>
      </c>
      <c r="L1929">
        <v>3.6506267293568997E-2</v>
      </c>
      <c r="M1929">
        <v>1.8995711734160599E-2</v>
      </c>
      <c r="N1929">
        <v>2017</v>
      </c>
      <c r="O1929" t="s">
        <v>13</v>
      </c>
      <c r="P1929" t="s">
        <v>375</v>
      </c>
      <c r="Q1929" t="s">
        <v>94</v>
      </c>
      <c r="R1929" t="s">
        <v>44</v>
      </c>
    </row>
    <row r="1930" spans="1:18" x14ac:dyDescent="0.25">
      <c r="A1930" t="s">
        <v>373</v>
      </c>
      <c r="B1930" t="s">
        <v>376</v>
      </c>
      <c r="C1930" t="s">
        <v>12</v>
      </c>
      <c r="D1930">
        <v>2</v>
      </c>
      <c r="E1930">
        <v>65</v>
      </c>
      <c r="F1930">
        <v>4.7367590600643598E-2</v>
      </c>
      <c r="G1930">
        <v>257</v>
      </c>
      <c r="H1930">
        <v>0.259342327790273</v>
      </c>
      <c r="I1930">
        <v>206</v>
      </c>
      <c r="L1930">
        <v>2.5442221940650302E-2</v>
      </c>
      <c r="M1930">
        <v>1.19435820460904E-2</v>
      </c>
      <c r="N1930">
        <v>2017</v>
      </c>
      <c r="O1930" t="s">
        <v>13</v>
      </c>
      <c r="P1930" t="s">
        <v>375</v>
      </c>
      <c r="Q1930" t="s">
        <v>94</v>
      </c>
      <c r="R1930" t="s">
        <v>44</v>
      </c>
    </row>
    <row r="1931" spans="1:18" x14ac:dyDescent="0.25">
      <c r="A1931" t="s">
        <v>373</v>
      </c>
      <c r="B1931" t="s">
        <v>376</v>
      </c>
      <c r="C1931" t="s">
        <v>12</v>
      </c>
      <c r="D1931">
        <v>1</v>
      </c>
      <c r="E1931">
        <v>19</v>
      </c>
      <c r="F1931">
        <v>0</v>
      </c>
      <c r="G1931">
        <v>111</v>
      </c>
      <c r="H1931">
        <v>2.7700849106215598E-2</v>
      </c>
      <c r="I1931">
        <v>86</v>
      </c>
      <c r="L1931">
        <v>1.7718018382928399E-2</v>
      </c>
      <c r="M1931">
        <v>0</v>
      </c>
      <c r="N1931">
        <v>2017</v>
      </c>
      <c r="O1931" t="s">
        <v>13</v>
      </c>
      <c r="P1931" t="s">
        <v>375</v>
      </c>
      <c r="Q1931" t="s">
        <v>94</v>
      </c>
      <c r="R1931" t="s">
        <v>44</v>
      </c>
    </row>
    <row r="1932" spans="1:18" x14ac:dyDescent="0.25">
      <c r="A1932" t="s">
        <v>373</v>
      </c>
      <c r="B1932" t="s">
        <v>376</v>
      </c>
      <c r="C1932" t="s">
        <v>12</v>
      </c>
      <c r="D1932">
        <v>1</v>
      </c>
      <c r="E1932">
        <v>25</v>
      </c>
      <c r="F1932">
        <v>1.17401764253428E-3</v>
      </c>
      <c r="G1932">
        <v>486</v>
      </c>
      <c r="H1932">
        <v>4.8611374797880497E-2</v>
      </c>
      <c r="I1932">
        <v>399</v>
      </c>
      <c r="L1932">
        <v>1.9573181590684802E-2</v>
      </c>
      <c r="M1932">
        <v>1.21396163711209E-2</v>
      </c>
      <c r="N1932">
        <v>2017</v>
      </c>
      <c r="O1932" t="s">
        <v>13</v>
      </c>
      <c r="P1932" t="s">
        <v>375</v>
      </c>
      <c r="Q1932" t="s">
        <v>94</v>
      </c>
      <c r="R1932" t="s">
        <v>44</v>
      </c>
    </row>
    <row r="1933" spans="1:18" x14ac:dyDescent="0.25">
      <c r="A1933" t="s">
        <v>373</v>
      </c>
      <c r="B1933" t="s">
        <v>376</v>
      </c>
      <c r="C1933" t="s">
        <v>12</v>
      </c>
      <c r="D1933">
        <v>1</v>
      </c>
      <c r="E1933">
        <v>35</v>
      </c>
      <c r="F1933">
        <v>0</v>
      </c>
      <c r="G1933">
        <v>405</v>
      </c>
      <c r="H1933">
        <v>7.0537702939143396E-2</v>
      </c>
      <c r="I1933">
        <v>331</v>
      </c>
      <c r="L1933">
        <v>2.4679188910239E-2</v>
      </c>
      <c r="M1933">
        <v>0</v>
      </c>
      <c r="N1933">
        <v>2017</v>
      </c>
      <c r="O1933" t="s">
        <v>13</v>
      </c>
      <c r="P1933" t="s">
        <v>375</v>
      </c>
      <c r="Q1933" t="s">
        <v>94</v>
      </c>
      <c r="R1933" t="s">
        <v>44</v>
      </c>
    </row>
    <row r="1934" spans="1:18" x14ac:dyDescent="0.25">
      <c r="A1934" t="s">
        <v>373</v>
      </c>
      <c r="B1934" t="s">
        <v>376</v>
      </c>
      <c r="C1934" t="s">
        <v>12</v>
      </c>
      <c r="D1934">
        <v>1</v>
      </c>
      <c r="E1934">
        <v>45</v>
      </c>
      <c r="F1934">
        <v>4.3567328311872504E-3</v>
      </c>
      <c r="G1934">
        <v>313</v>
      </c>
      <c r="H1934">
        <v>0.117162338059608</v>
      </c>
      <c r="I1934">
        <v>251</v>
      </c>
      <c r="L1934">
        <v>2.1157725534948001E-2</v>
      </c>
      <c r="M1934">
        <v>9.7331792912305308E-3</v>
      </c>
      <c r="N1934">
        <v>2017</v>
      </c>
      <c r="O1934" t="s">
        <v>13</v>
      </c>
      <c r="P1934" t="s">
        <v>375</v>
      </c>
      <c r="Q1934" t="s">
        <v>94</v>
      </c>
      <c r="R1934" t="s">
        <v>44</v>
      </c>
    </row>
    <row r="1935" spans="1:18" x14ac:dyDescent="0.25">
      <c r="A1935" t="s">
        <v>373</v>
      </c>
      <c r="B1935" t="s">
        <v>376</v>
      </c>
      <c r="C1935" t="s">
        <v>12</v>
      </c>
      <c r="D1935">
        <v>1</v>
      </c>
      <c r="E1935">
        <v>55</v>
      </c>
      <c r="F1935">
        <v>2.2191778303388501E-2</v>
      </c>
      <c r="G1935">
        <v>172</v>
      </c>
      <c r="H1935">
        <v>0.16901435799674799</v>
      </c>
      <c r="I1935">
        <v>134</v>
      </c>
      <c r="L1935">
        <v>2.6769824313762E-2</v>
      </c>
      <c r="M1935">
        <v>1.5314074342180699E-2</v>
      </c>
      <c r="N1935">
        <v>2017</v>
      </c>
      <c r="O1935" t="s">
        <v>13</v>
      </c>
      <c r="P1935" t="s">
        <v>375</v>
      </c>
      <c r="Q1935" t="s">
        <v>94</v>
      </c>
      <c r="R1935" t="s">
        <v>44</v>
      </c>
    </row>
    <row r="1936" spans="1:18" x14ac:dyDescent="0.25">
      <c r="A1936" t="s">
        <v>373</v>
      </c>
      <c r="B1936" t="s">
        <v>376</v>
      </c>
      <c r="C1936" t="s">
        <v>12</v>
      </c>
      <c r="D1936">
        <v>1</v>
      </c>
      <c r="E1936">
        <v>65</v>
      </c>
      <c r="F1936">
        <v>6.4929960883450405E-2</v>
      </c>
      <c r="G1936">
        <v>127</v>
      </c>
      <c r="H1936">
        <v>0.18631126817875701</v>
      </c>
      <c r="I1936">
        <v>101</v>
      </c>
      <c r="L1936">
        <v>1.71894980233991E-2</v>
      </c>
      <c r="M1936">
        <v>1.4983609186332699E-2</v>
      </c>
      <c r="N1936">
        <v>2017</v>
      </c>
      <c r="O1936" t="s">
        <v>13</v>
      </c>
      <c r="P1936" t="s">
        <v>375</v>
      </c>
      <c r="Q1936" t="s">
        <v>94</v>
      </c>
      <c r="R1936" t="s">
        <v>44</v>
      </c>
    </row>
  </sheetData>
  <autoFilter ref="A1:R1936" xr:uid="{1BEC7946-4C19-4C8C-B1E3-95BDC9265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Codebook</vt:lpstr>
      <vt:lpstr>Survey metadata</vt:lpstr>
      <vt:lpstr>Survey data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Rayner, Archie W</dc:creator>
  <cp:lastModifiedBy>Rayner, Archie W</cp:lastModifiedBy>
  <dcterms:created xsi:type="dcterms:W3CDTF">2024-10-07T13:48:28Z</dcterms:created>
  <dcterms:modified xsi:type="dcterms:W3CDTF">2024-10-23T16:31:47Z</dcterms:modified>
</cp:coreProperties>
</file>