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0" yWindow="0" windowWidth="38400" windowHeight="24000" tabRatio="500" activeTab="5"/>
    <workbookView xWindow="4540" yWindow="2980" windowWidth="32680" windowHeight="2026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</definedNames>
  <calcPr calcId="150000" concurrentCalc="0"/>
  <pivotCaches>
    <pivotCache cacheId="25" r:id="rId19"/>
    <pivotCache cacheId="26" r:id="rId20"/>
    <pivotCache cacheId="27" r:id="rId2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9" i="22" l="1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X53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X52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X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X22" i="22"/>
  <c r="B50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X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X21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X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X20" i="22"/>
  <c r="B48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X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X19" i="22"/>
  <c r="B47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X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X18" i="22"/>
  <c r="B46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X46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X45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X44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X43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X42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X41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X40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X39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X38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X37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X36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X35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X34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X33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X32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X31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W53" i="22"/>
  <c r="W31" i="22"/>
  <c r="T1" i="22"/>
  <c r="R1" i="22"/>
  <c r="U1" i="22"/>
  <c r="Y25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W52" i="22"/>
  <c r="Y24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W51" i="22"/>
  <c r="Y23" i="22"/>
  <c r="W22" i="22"/>
  <c r="W50" i="22"/>
  <c r="Y22" i="22"/>
  <c r="W21" i="22"/>
  <c r="W49" i="22"/>
  <c r="Y21" i="22"/>
  <c r="W20" i="22"/>
  <c r="W48" i="22"/>
  <c r="Y20" i="22"/>
  <c r="W19" i="22"/>
  <c r="W47" i="22"/>
  <c r="Y19" i="22"/>
  <c r="W18" i="22"/>
  <c r="W46" i="22"/>
  <c r="Y18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W45" i="22"/>
  <c r="Y17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W44" i="22"/>
  <c r="Y16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W43" i="22"/>
  <c r="Y15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W42" i="22"/>
  <c r="Y14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W41" i="22"/>
  <c r="Y13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W40" i="22"/>
  <c r="Y12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W39" i="22"/>
  <c r="Y11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W38" i="22"/>
  <c r="Y10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W37" i="22"/>
  <c r="Y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W36" i="22"/>
  <c r="Y8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W35" i="22"/>
  <c r="Y7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W34" i="22"/>
  <c r="Y6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W33" i="22"/>
  <c r="Y5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W32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<sst xmlns="http://schemas.openxmlformats.org/spreadsheetml/2006/main" count="37288" uniqueCount="3120">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</sst>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426848"/>
        <c:axId val="862410336"/>
      </c:barChart>
      <c:catAx>
        <c:axId val="8624268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0336"/>
        <c:crosses val="autoZero"/>
        <c:auto val="1"/>
        <c:lblAlgn val="ctr"/>
        <c:lblOffset val="100"/>
        <c:noMultiLvlLbl val="0"/>
      </c:catAx>
      <c:valAx>
        <c:axId val="86241033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6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150432"/>
        <c:axId val="862152480"/>
      </c:barChart>
      <c:catAx>
        <c:axId val="86215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2480"/>
        <c:crosses val="autoZero"/>
        <c:auto val="1"/>
        <c:lblAlgn val="ctr"/>
        <c:lblOffset val="100"/>
        <c:noMultiLvlLbl val="0"/>
      </c:catAx>
      <c:valAx>
        <c:axId val="8621524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229680"/>
        <c:axId val="862231728"/>
      </c:barChart>
      <c:catAx>
        <c:axId val="862229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31728"/>
        <c:crosses val="autoZero"/>
        <c:auto val="1"/>
        <c:lblAlgn val="ctr"/>
        <c:lblOffset val="100"/>
        <c:noMultiLvlLbl val="0"/>
      </c:catAx>
      <c:valAx>
        <c:axId val="86223172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962288"/>
        <c:axId val="861964064"/>
      </c:barChart>
      <c:catAx>
        <c:axId val="861962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4064"/>
        <c:crosses val="autoZero"/>
        <c:auto val="1"/>
        <c:lblAlgn val="ctr"/>
        <c:lblOffset val="100"/>
        <c:noMultiLvlLbl val="0"/>
      </c:catAx>
      <c:valAx>
        <c:axId val="86196406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153120"/>
        <c:axId val="931155600"/>
      </c:barChart>
      <c:catAx>
        <c:axId val="93115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600"/>
        <c:crosses val="autoZero"/>
        <c:auto val="1"/>
        <c:lblAlgn val="ctr"/>
        <c:lblOffset val="100"/>
        <c:noMultiLvlLbl val="0"/>
      </c:catAx>
      <c:valAx>
        <c:axId val="93115560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241680"/>
        <c:axId val="931244160"/>
      </c:barChart>
      <c:catAx>
        <c:axId val="931241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4160"/>
        <c:crosses val="autoZero"/>
        <c:auto val="1"/>
        <c:lblAlgn val="ctr"/>
        <c:lblOffset val="100"/>
        <c:noMultiLvlLbl val="0"/>
      </c:catAx>
      <c:valAx>
        <c:axId val="9312441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168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75840"/>
        <c:axId val="931678592"/>
      </c:barChart>
      <c:catAx>
        <c:axId val="9316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8592"/>
        <c:crosses val="autoZero"/>
        <c:auto val="1"/>
        <c:lblAlgn val="ctr"/>
        <c:lblOffset val="100"/>
        <c:noMultiLvlLbl val="0"/>
      </c:catAx>
      <c:valAx>
        <c:axId val="9316785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99008"/>
        <c:axId val="931701760"/>
      </c:barChart>
      <c:catAx>
        <c:axId val="9316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01760"/>
        <c:crosses val="autoZero"/>
        <c:auto val="1"/>
        <c:lblAlgn val="ctr"/>
        <c:lblOffset val="100"/>
        <c:noMultiLvlLbl val="0"/>
      </c:catAx>
      <c:valAx>
        <c:axId val="9317017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21664"/>
        <c:axId val="931724416"/>
      </c:barChart>
      <c:catAx>
        <c:axId val="9317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4416"/>
        <c:crosses val="autoZero"/>
        <c:auto val="1"/>
        <c:lblAlgn val="ctr"/>
        <c:lblOffset val="100"/>
        <c:noMultiLvlLbl val="0"/>
      </c:catAx>
      <c:valAx>
        <c:axId val="9317244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44496"/>
        <c:axId val="931747248"/>
      </c:barChart>
      <c:catAx>
        <c:axId val="931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7248"/>
        <c:crosses val="autoZero"/>
        <c:auto val="1"/>
        <c:lblAlgn val="ctr"/>
        <c:lblOffset val="100"/>
        <c:noMultiLvlLbl val="0"/>
      </c:catAx>
      <c:valAx>
        <c:axId val="931747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67152"/>
        <c:axId val="931769904"/>
      </c:barChart>
      <c:catAx>
        <c:axId val="9317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9904"/>
        <c:crosses val="autoZero"/>
        <c:auto val="1"/>
        <c:lblAlgn val="ctr"/>
        <c:lblOffset val="100"/>
        <c:noMultiLvlLbl val="0"/>
      </c:catAx>
      <c:valAx>
        <c:axId val="931769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90880"/>
        <c:axId val="931793632"/>
      </c:barChart>
      <c:catAx>
        <c:axId val="93179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3632"/>
        <c:crosses val="autoZero"/>
        <c:auto val="1"/>
        <c:lblAlgn val="ctr"/>
        <c:lblOffset val="100"/>
        <c:noMultiLvlLbl val="0"/>
      </c:catAx>
      <c:valAx>
        <c:axId val="931793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13696"/>
        <c:axId val="931816448"/>
      </c:barChart>
      <c:catAx>
        <c:axId val="9318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6448"/>
        <c:crosses val="autoZero"/>
        <c:auto val="1"/>
        <c:lblAlgn val="ctr"/>
        <c:lblOffset val="100"/>
        <c:noMultiLvlLbl val="0"/>
      </c:catAx>
      <c:valAx>
        <c:axId val="931816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352"/>
        <c:axId val="931839104"/>
      </c:barChart>
      <c:catAx>
        <c:axId val="9318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9104"/>
        <c:crosses val="autoZero"/>
        <c:auto val="1"/>
        <c:lblAlgn val="ctr"/>
        <c:lblOffset val="100"/>
        <c:noMultiLvlLbl val="0"/>
      </c:catAx>
      <c:valAx>
        <c:axId val="931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59168"/>
        <c:axId val="876371648"/>
      </c:barChart>
      <c:catAx>
        <c:axId val="93185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71648"/>
        <c:crosses val="autoZero"/>
        <c:auto val="1"/>
        <c:lblAlgn val="ctr"/>
        <c:lblOffset val="100"/>
        <c:noMultiLvlLbl val="0"/>
      </c:catAx>
      <c:valAx>
        <c:axId val="8763716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53600"/>
        <c:axId val="863341584"/>
      </c:barChart>
      <c:catAx>
        <c:axId val="863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41584"/>
        <c:crosses val="autoZero"/>
        <c:auto val="1"/>
        <c:lblAlgn val="ctr"/>
        <c:lblOffset val="100"/>
        <c:noMultiLvlLbl val="0"/>
      </c:catAx>
      <c:valAx>
        <c:axId val="8633415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396112"/>
        <c:axId val="863397888"/>
      </c:barChart>
      <c:catAx>
        <c:axId val="8633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7888"/>
        <c:crosses val="autoZero"/>
        <c:auto val="1"/>
        <c:lblAlgn val="ctr"/>
        <c:lblOffset val="100"/>
        <c:noMultiLvlLbl val="0"/>
      </c:catAx>
      <c:valAx>
        <c:axId val="8633978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303456"/>
        <c:axId val="863443072"/>
      </c:barChart>
      <c:catAx>
        <c:axId val="8633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43072"/>
        <c:crosses val="autoZero"/>
        <c:auto val="1"/>
        <c:lblAlgn val="ctr"/>
        <c:lblOffset val="100"/>
        <c:noMultiLvlLbl val="0"/>
      </c:catAx>
      <c:valAx>
        <c:axId val="8634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63257568"/>
        <c:axId val="863306208"/>
      </c:barChart>
      <c:catAx>
        <c:axId val="863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6208"/>
        <c:crosses val="autoZero"/>
        <c:auto val="1"/>
        <c:lblAlgn val="ctr"/>
        <c:lblOffset val="100"/>
        <c:noMultiLvlLbl val="0"/>
      </c:catAx>
      <c:valAx>
        <c:axId val="863306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20848"/>
        <c:axId val="863423168"/>
      </c:barChart>
      <c:catAx>
        <c:axId val="8634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3168"/>
        <c:crosses val="autoZero"/>
        <c:auto val="1"/>
        <c:lblAlgn val="ctr"/>
        <c:lblOffset val="100"/>
        <c:noMultiLvlLbl val="0"/>
      </c:catAx>
      <c:valAx>
        <c:axId val="8634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99488"/>
        <c:axId val="863501808"/>
      </c:barChart>
      <c:catAx>
        <c:axId val="86349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01808"/>
        <c:crosses val="autoZero"/>
        <c:auto val="1"/>
        <c:lblAlgn val="ctr"/>
        <c:lblOffset val="100"/>
        <c:noMultiLvlLbl val="0"/>
      </c:catAx>
      <c:valAx>
        <c:axId val="863501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9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524384"/>
        <c:axId val="863588512"/>
      </c:barChart>
      <c:catAx>
        <c:axId val="8635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88512"/>
        <c:crosses val="autoZero"/>
        <c:auto val="1"/>
        <c:lblAlgn val="ctr"/>
        <c:lblOffset val="100"/>
        <c:noMultiLvlLbl val="0"/>
      </c:catAx>
      <c:valAx>
        <c:axId val="863588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9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7"/>
  <sheetViews>
    <sheetView zoomScale="200" zoomScaleNormal="200" zoomScalePageLayoutView="200" workbookViewId="0">
      <selection activeCell="C9" sqref="C9"/>
    </sheetView>
    <sheetView tabSelected="1" zoomScale="120" zoomScaleNormal="120" zoomScalePageLayoutView="120" workbookViewId="1">
      <selection activeCell="Q10" sqref="Q10"/>
    </sheetView>
  </sheetViews>
  <sheetFormatPr baseColWidth="10" defaultRowHeight="16" x14ac:dyDescent="0.2"/>
  <cols>
    <col min="1" max="1" width="15.83203125" customWidth="1"/>
    <col min="2" max="2" width="15.5" customWidth="1"/>
    <col min="3" max="3" width="3.1640625" customWidth="1"/>
    <col min="4" max="4" width="4.1640625" bestFit="1" customWidth="1"/>
    <col min="5" max="5" width="3.1640625" customWidth="1"/>
    <col min="6" max="6" width="4.1640625" bestFit="1" customWidth="1"/>
    <col min="7" max="7" width="3.1640625" customWidth="1"/>
    <col min="8" max="8" width="4.1640625" bestFit="1" customWidth="1"/>
    <col min="9" max="9" width="3.1640625" customWidth="1"/>
    <col min="10" max="11" width="4.1640625" bestFit="1" customWidth="1"/>
    <col min="12" max="12" width="4.1640625" customWidth="1"/>
    <col min="13" max="14" width="4.1640625" bestFit="1" customWidth="1"/>
    <col min="15" max="18" width="3.1640625" customWidth="1"/>
    <col min="19" max="19" width="4.1640625" bestFit="1" customWidth="1"/>
    <col min="20" max="21" width="3.1640625" customWidth="1"/>
    <col min="22" max="22" width="10.6640625" bestFit="1" customWidth="1"/>
    <col min="23" max="23" width="4.1640625" bestFit="1" customWidth="1"/>
    <col min="24" max="24" width="6.6640625" bestFit="1" customWidth="1"/>
    <col min="25" max="25" width="4.83203125" bestFit="1" customWidth="1"/>
    <col min="26" max="26" width="4.1640625" bestFit="1" customWidth="1"/>
    <col min="27" max="27" width="7.6640625" bestFit="1" customWidth="1"/>
    <col min="28" max="28" width="4.83203125" bestFit="1" customWidth="1"/>
    <col min="29" max="29" width="4.1640625" bestFit="1" customWidth="1"/>
    <col min="30" max="30" width="7.6640625" bestFit="1" customWidth="1"/>
    <col min="31" max="31" width="4.83203125" bestFit="1" customWidth="1"/>
    <col min="32" max="32" width="4.1640625" bestFit="1" customWidth="1"/>
    <col min="33" max="33" width="7.6640625" bestFit="1" customWidth="1"/>
    <col min="34" max="34" width="4.83203125" bestFit="1" customWidth="1"/>
    <col min="35" max="35" width="7.6640625" bestFit="1" customWidth="1"/>
    <col min="36" max="36" width="4.83203125" bestFit="1" customWidth="1"/>
    <col min="37" max="37" width="3.1640625" bestFit="1" customWidth="1"/>
    <col min="38" max="38" width="7.6640625" bestFit="1" customWidth="1"/>
    <col min="39" max="39" width="4.83203125" bestFit="1" customWidth="1"/>
    <col min="40" max="40" width="7.6640625" bestFit="1" customWidth="1"/>
    <col min="41" max="41" width="4.83203125" bestFit="1" customWidth="1"/>
    <col min="42" max="42" width="7.6640625" bestFit="1" customWidth="1"/>
    <col min="43" max="43" width="4.83203125" bestFit="1" customWidth="1"/>
    <col min="44" max="44" width="7.6640625" bestFit="1" customWidth="1"/>
    <col min="45" max="45" width="4.83203125" bestFit="1" customWidth="1"/>
    <col min="46" max="46" width="7.6640625" bestFit="1" customWidth="1"/>
    <col min="47" max="47" width="4.83203125" bestFit="1" customWidth="1"/>
    <col min="48" max="48" width="7.6640625" bestFit="1" customWidth="1"/>
    <col min="49" max="49" width="4.83203125" bestFit="1" customWidth="1"/>
    <col min="50" max="50" width="7.6640625" bestFit="1" customWidth="1"/>
    <col min="51" max="51" width="10.6640625" bestFit="1" customWidth="1"/>
    <col min="52" max="52" width="2.1640625" bestFit="1" customWidth="1"/>
    <col min="53" max="53" width="7.6640625" bestFit="1" customWidth="1"/>
    <col min="54" max="54" width="4.83203125" bestFit="1" customWidth="1"/>
    <col min="55" max="55" width="4.1640625" bestFit="1" customWidth="1"/>
    <col min="56" max="56" width="7.6640625" bestFit="1" customWidth="1"/>
    <col min="57" max="57" width="4.83203125" bestFit="1" customWidth="1"/>
    <col min="58" max="58" width="7.6640625" bestFit="1" customWidth="1"/>
    <col min="59" max="59" width="4.83203125" bestFit="1" customWidth="1"/>
    <col min="60" max="60" width="7.6640625" bestFit="1" customWidth="1"/>
    <col min="61" max="61" width="10.6640625" bestFit="1" customWidth="1"/>
    <col min="62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22" x14ac:dyDescent="0.2">
      <c r="A3" s="2" t="s">
        <v>3089</v>
      </c>
      <c r="B3" s="2" t="s">
        <v>2780</v>
      </c>
    </row>
    <row r="4" spans="1:22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</row>
    <row r="5" spans="1:22" x14ac:dyDescent="0.2">
      <c r="A5" s="10" t="s">
        <v>5</v>
      </c>
      <c r="B5" s="11">
        <v>11</v>
      </c>
      <c r="C5" s="11">
        <v>81</v>
      </c>
      <c r="D5" s="11">
        <v>240</v>
      </c>
      <c r="E5" s="11">
        <v>68</v>
      </c>
      <c r="F5" s="11">
        <v>291</v>
      </c>
      <c r="G5" s="11">
        <v>36</v>
      </c>
      <c r="H5" s="11">
        <v>31</v>
      </c>
      <c r="I5" s="11">
        <v>1</v>
      </c>
      <c r="J5" s="11"/>
      <c r="K5" s="11">
        <v>6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765</v>
      </c>
    </row>
    <row r="6" spans="1:22" x14ac:dyDescent="0.2">
      <c r="A6" s="59" t="s">
        <v>4</v>
      </c>
      <c r="B6" s="11"/>
      <c r="C6" s="11"/>
      <c r="D6" s="11"/>
      <c r="E6" s="11"/>
      <c r="F6" s="11">
        <v>250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250</v>
      </c>
    </row>
    <row r="7" spans="1:22" x14ac:dyDescent="0.2">
      <c r="A7" s="59" t="s">
        <v>2809</v>
      </c>
      <c r="B7" s="11"/>
      <c r="C7" s="11"/>
      <c r="D7" s="11">
        <v>188</v>
      </c>
      <c r="E7" s="11">
        <v>14</v>
      </c>
      <c r="F7" s="11">
        <v>2</v>
      </c>
      <c r="G7" s="11">
        <v>19</v>
      </c>
      <c r="H7" s="11">
        <v>27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</row>
    <row r="8" spans="1:22" x14ac:dyDescent="0.2">
      <c r="A8" s="59" t="s">
        <v>533</v>
      </c>
      <c r="B8" s="11"/>
      <c r="C8" s="11">
        <v>4</v>
      </c>
      <c r="D8" s="11">
        <v>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7</v>
      </c>
    </row>
    <row r="9" spans="1:22" x14ac:dyDescent="0.2">
      <c r="A9" s="59" t="s">
        <v>257</v>
      </c>
      <c r="B9" s="11"/>
      <c r="C9" s="11"/>
      <c r="D9" s="11"/>
      <c r="E9" s="11"/>
      <c r="F9" s="11">
        <v>1</v>
      </c>
      <c r="G9" s="11">
        <v>7</v>
      </c>
      <c r="H9" s="11">
        <v>4</v>
      </c>
      <c r="I9" s="11"/>
      <c r="J9" s="11"/>
      <c r="K9" s="11">
        <v>6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>
        <v>18</v>
      </c>
    </row>
    <row r="10" spans="1:22" x14ac:dyDescent="0.2">
      <c r="A10" s="59" t="s">
        <v>282</v>
      </c>
      <c r="B10" s="11">
        <v>11</v>
      </c>
      <c r="C10" s="11">
        <v>77</v>
      </c>
      <c r="D10" s="11">
        <v>49</v>
      </c>
      <c r="E10" s="11">
        <v>54</v>
      </c>
      <c r="F10" s="11">
        <v>38</v>
      </c>
      <c r="G10" s="11">
        <v>10</v>
      </c>
      <c r="H10" s="11"/>
      <c r="I10" s="11">
        <v>1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>
        <v>240</v>
      </c>
    </row>
    <row r="11" spans="1:22" x14ac:dyDescent="0.2">
      <c r="A11" s="10" t="s">
        <v>542</v>
      </c>
      <c r="B11" s="11">
        <v>2</v>
      </c>
      <c r="C11" s="11">
        <v>4</v>
      </c>
      <c r="D11" s="11">
        <v>22</v>
      </c>
      <c r="E11" s="11">
        <v>10</v>
      </c>
      <c r="F11" s="11">
        <v>8</v>
      </c>
      <c r="G11" s="11">
        <v>14</v>
      </c>
      <c r="H11" s="11">
        <v>120</v>
      </c>
      <c r="I11" s="11">
        <v>46</v>
      </c>
      <c r="J11" s="11">
        <v>422</v>
      </c>
      <c r="K11" s="11">
        <v>253</v>
      </c>
      <c r="L11" s="11">
        <v>446</v>
      </c>
      <c r="M11" s="11">
        <v>162</v>
      </c>
      <c r="N11" s="11">
        <v>152</v>
      </c>
      <c r="O11" s="11">
        <v>97</v>
      </c>
      <c r="P11" s="11">
        <v>80</v>
      </c>
      <c r="Q11" s="11">
        <v>24</v>
      </c>
      <c r="R11" s="11">
        <v>11</v>
      </c>
      <c r="S11" s="11">
        <v>178</v>
      </c>
      <c r="T11" s="11">
        <v>1</v>
      </c>
      <c r="U11" s="11">
        <v>1</v>
      </c>
      <c r="V11" s="11">
        <v>2053</v>
      </c>
    </row>
    <row r="12" spans="1:22" x14ac:dyDescent="0.2">
      <c r="A12" s="59" t="s">
        <v>541</v>
      </c>
      <c r="B12" s="11"/>
      <c r="C12" s="11"/>
      <c r="D12" s="11"/>
      <c r="E12" s="11"/>
      <c r="F12" s="11"/>
      <c r="G12" s="11">
        <v>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>
        <v>1</v>
      </c>
    </row>
    <row r="13" spans="1:22" x14ac:dyDescent="0.2">
      <c r="A13" s="59" t="s">
        <v>545</v>
      </c>
      <c r="B13" s="11"/>
      <c r="C13" s="11"/>
      <c r="D13" s="11"/>
      <c r="E13" s="11"/>
      <c r="F13" s="11"/>
      <c r="G13" s="11"/>
      <c r="H13" s="11"/>
      <c r="I13" s="11"/>
      <c r="J13" s="11">
        <v>19</v>
      </c>
      <c r="K13" s="11">
        <v>22</v>
      </c>
      <c r="L13" s="11">
        <v>8</v>
      </c>
      <c r="M13" s="11">
        <v>4</v>
      </c>
      <c r="N13" s="11"/>
      <c r="O13" s="11"/>
      <c r="P13" s="11"/>
      <c r="Q13" s="11"/>
      <c r="R13" s="11"/>
      <c r="S13" s="11"/>
      <c r="T13" s="11"/>
      <c r="U13" s="11"/>
      <c r="V13" s="11">
        <v>53</v>
      </c>
    </row>
    <row r="14" spans="1:22" x14ac:dyDescent="0.2">
      <c r="A14" s="59" t="s">
        <v>610</v>
      </c>
      <c r="B14" s="11"/>
      <c r="C14" s="11"/>
      <c r="D14" s="11"/>
      <c r="E14" s="11">
        <v>1</v>
      </c>
      <c r="F14" s="11">
        <v>2</v>
      </c>
      <c r="G14" s="11">
        <v>1</v>
      </c>
      <c r="H14" s="11"/>
      <c r="I14" s="11">
        <v>1</v>
      </c>
      <c r="J14" s="11">
        <v>4</v>
      </c>
      <c r="K14" s="11">
        <v>1</v>
      </c>
      <c r="L14" s="11">
        <v>1</v>
      </c>
      <c r="M14" s="11">
        <v>1</v>
      </c>
      <c r="N14" s="11"/>
      <c r="O14" s="11"/>
      <c r="P14" s="11"/>
      <c r="Q14" s="11"/>
      <c r="R14" s="11">
        <v>1</v>
      </c>
      <c r="S14" s="11"/>
      <c r="T14" s="11"/>
      <c r="U14" s="11"/>
      <c r="V14" s="11">
        <v>13</v>
      </c>
    </row>
    <row r="15" spans="1:22" x14ac:dyDescent="0.2">
      <c r="A15" s="59" t="s">
        <v>633</v>
      </c>
      <c r="B15" s="11"/>
      <c r="C15" s="11"/>
      <c r="D15" s="11"/>
      <c r="E15" s="11"/>
      <c r="F15" s="11"/>
      <c r="G15" s="11"/>
      <c r="H15" s="11">
        <v>48</v>
      </c>
      <c r="I15" s="11">
        <v>28</v>
      </c>
      <c r="J15" s="11">
        <v>6</v>
      </c>
      <c r="K15" s="11"/>
      <c r="L15" s="11">
        <v>6</v>
      </c>
      <c r="M15" s="11">
        <v>6</v>
      </c>
      <c r="N15" s="11">
        <v>3</v>
      </c>
      <c r="O15" s="11"/>
      <c r="P15" s="11">
        <v>1</v>
      </c>
      <c r="Q15" s="11"/>
      <c r="R15" s="11"/>
      <c r="S15" s="11"/>
      <c r="T15" s="11"/>
      <c r="U15" s="11"/>
      <c r="V15" s="11">
        <v>98</v>
      </c>
    </row>
    <row r="16" spans="1:22" x14ac:dyDescent="0.2">
      <c r="A16" s="59" t="s">
        <v>743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4</v>
      </c>
      <c r="N16" s="11">
        <v>3</v>
      </c>
      <c r="O16" s="11"/>
      <c r="P16" s="11">
        <v>3</v>
      </c>
      <c r="Q16" s="11">
        <v>13</v>
      </c>
      <c r="R16" s="11">
        <v>1</v>
      </c>
      <c r="S16" s="11"/>
      <c r="T16" s="11"/>
      <c r="U16" s="11"/>
      <c r="V16" s="11">
        <v>24</v>
      </c>
    </row>
    <row r="17" spans="1:22" x14ac:dyDescent="0.2">
      <c r="A17" s="59" t="s">
        <v>949</v>
      </c>
      <c r="B17" s="11"/>
      <c r="C17" s="11"/>
      <c r="D17" s="11"/>
      <c r="E17" s="11"/>
      <c r="F17" s="11"/>
      <c r="G17" s="11">
        <v>3</v>
      </c>
      <c r="H17" s="11">
        <v>2</v>
      </c>
      <c r="I17" s="11">
        <v>8</v>
      </c>
      <c r="J17" s="11">
        <v>14</v>
      </c>
      <c r="K17" s="11">
        <v>13</v>
      </c>
      <c r="L17" s="11">
        <v>7</v>
      </c>
      <c r="M17" s="11">
        <v>18</v>
      </c>
      <c r="N17" s="11">
        <v>30</v>
      </c>
      <c r="O17" s="11">
        <v>51</v>
      </c>
      <c r="P17" s="11">
        <v>7</v>
      </c>
      <c r="Q17" s="11">
        <v>7</v>
      </c>
      <c r="R17" s="11">
        <v>5</v>
      </c>
      <c r="S17" s="11">
        <v>2</v>
      </c>
      <c r="T17" s="11"/>
      <c r="U17" s="11"/>
      <c r="V17" s="11">
        <v>167</v>
      </c>
    </row>
    <row r="18" spans="1:22" x14ac:dyDescent="0.2">
      <c r="A18" s="59" t="s">
        <v>775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>
        <v>172</v>
      </c>
      <c r="T18" s="11"/>
      <c r="U18" s="11"/>
      <c r="V18" s="11">
        <v>172</v>
      </c>
    </row>
    <row r="19" spans="1:22" x14ac:dyDescent="0.2">
      <c r="A19" s="59" t="s">
        <v>1322</v>
      </c>
      <c r="B19" s="11">
        <v>2</v>
      </c>
      <c r="C19" s="11">
        <v>4</v>
      </c>
      <c r="D19" s="11">
        <v>22</v>
      </c>
      <c r="E19" s="11">
        <v>9</v>
      </c>
      <c r="F19" s="11">
        <v>6</v>
      </c>
      <c r="G19" s="11">
        <v>9</v>
      </c>
      <c r="H19" s="11">
        <v>70</v>
      </c>
      <c r="I19" s="11">
        <v>7</v>
      </c>
      <c r="J19" s="11">
        <v>4</v>
      </c>
      <c r="K19" s="11">
        <v>93</v>
      </c>
      <c r="L19" s="11">
        <v>12</v>
      </c>
      <c r="M19" s="11">
        <v>2</v>
      </c>
      <c r="N19" s="11">
        <v>8</v>
      </c>
      <c r="O19" s="11">
        <v>1</v>
      </c>
      <c r="P19" s="11">
        <v>1</v>
      </c>
      <c r="Q19" s="11"/>
      <c r="R19" s="11"/>
      <c r="S19" s="11"/>
      <c r="T19" s="11"/>
      <c r="U19" s="11"/>
      <c r="V19" s="11">
        <v>250</v>
      </c>
    </row>
    <row r="20" spans="1:22" x14ac:dyDescent="0.2">
      <c r="A20" s="59" t="s">
        <v>1148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16</v>
      </c>
      <c r="L20" s="11">
        <v>44</v>
      </c>
      <c r="M20" s="11">
        <v>38</v>
      </c>
      <c r="N20" s="11">
        <v>55</v>
      </c>
      <c r="O20" s="11">
        <v>11</v>
      </c>
      <c r="P20" s="11">
        <v>1</v>
      </c>
      <c r="Q20" s="11"/>
      <c r="R20" s="11"/>
      <c r="S20" s="11"/>
      <c r="T20" s="11"/>
      <c r="U20" s="11"/>
      <c r="V20" s="11">
        <v>165</v>
      </c>
    </row>
    <row r="21" spans="1:22" x14ac:dyDescent="0.2">
      <c r="A21" s="59" t="s">
        <v>1607</v>
      </c>
      <c r="B21" s="11"/>
      <c r="C21" s="11"/>
      <c r="D21" s="11"/>
      <c r="E21" s="11"/>
      <c r="F21" s="11"/>
      <c r="G21" s="11"/>
      <c r="H21" s="11"/>
      <c r="I21" s="11"/>
      <c r="J21" s="11">
        <v>102</v>
      </c>
      <c r="K21" s="11"/>
      <c r="L21" s="11"/>
      <c r="M21" s="11"/>
      <c r="N21" s="11"/>
      <c r="O21" s="11"/>
      <c r="P21" s="11">
        <v>2</v>
      </c>
      <c r="Q21" s="11"/>
      <c r="R21" s="11">
        <v>2</v>
      </c>
      <c r="S21" s="11">
        <v>3</v>
      </c>
      <c r="T21" s="11"/>
      <c r="U21" s="11"/>
      <c r="V21" s="11">
        <v>109</v>
      </c>
    </row>
    <row r="22" spans="1:22" x14ac:dyDescent="0.2">
      <c r="A22" s="59" t="s">
        <v>1721</v>
      </c>
      <c r="B22" s="11"/>
      <c r="C22" s="11"/>
      <c r="D22" s="11"/>
      <c r="E22" s="11"/>
      <c r="F22" s="11"/>
      <c r="G22" s="11"/>
      <c r="H22" s="11"/>
      <c r="I22" s="11"/>
      <c r="J22" s="11">
        <v>224</v>
      </c>
      <c r="K22" s="11">
        <v>23</v>
      </c>
      <c r="L22" s="11">
        <v>1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248</v>
      </c>
    </row>
    <row r="23" spans="1:22" x14ac:dyDescent="0.2">
      <c r="A23" s="59" t="s">
        <v>1973</v>
      </c>
      <c r="B23" s="11"/>
      <c r="C23" s="11"/>
      <c r="D23" s="11"/>
      <c r="E23" s="11"/>
      <c r="F23" s="11"/>
      <c r="G23" s="11"/>
      <c r="H23" s="11"/>
      <c r="I23" s="11">
        <v>1</v>
      </c>
      <c r="J23" s="11">
        <v>20</v>
      </c>
      <c r="K23" s="11">
        <v>26</v>
      </c>
      <c r="L23" s="11">
        <v>34</v>
      </c>
      <c r="M23" s="11">
        <v>40</v>
      </c>
      <c r="N23" s="11">
        <v>38</v>
      </c>
      <c r="O23" s="11">
        <v>23</v>
      </c>
      <c r="P23" s="11">
        <v>57</v>
      </c>
      <c r="Q23" s="11">
        <v>4</v>
      </c>
      <c r="R23" s="11">
        <v>2</v>
      </c>
      <c r="S23" s="11"/>
      <c r="T23" s="11">
        <v>1</v>
      </c>
      <c r="U23" s="11">
        <v>1</v>
      </c>
      <c r="V23" s="11">
        <v>247</v>
      </c>
    </row>
    <row r="24" spans="1:22" x14ac:dyDescent="0.2">
      <c r="A24" s="59" t="s">
        <v>2523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>
        <v>250</v>
      </c>
      <c r="M24" s="11"/>
      <c r="N24" s="11"/>
      <c r="O24" s="11"/>
      <c r="P24" s="11"/>
      <c r="Q24" s="11"/>
      <c r="R24" s="11"/>
      <c r="S24" s="11"/>
      <c r="T24" s="11"/>
      <c r="U24" s="11"/>
      <c r="V24" s="11">
        <v>250</v>
      </c>
    </row>
    <row r="25" spans="1:22" x14ac:dyDescent="0.2">
      <c r="A25" s="59" t="s">
        <v>2246</v>
      </c>
      <c r="B25" s="11"/>
      <c r="C25" s="11"/>
      <c r="D25" s="11"/>
      <c r="E25" s="11"/>
      <c r="F25" s="11"/>
      <c r="G25" s="11"/>
      <c r="H25" s="11"/>
      <c r="I25" s="11">
        <v>1</v>
      </c>
      <c r="J25" s="11">
        <v>23</v>
      </c>
      <c r="K25" s="11">
        <v>59</v>
      </c>
      <c r="L25" s="11">
        <v>83</v>
      </c>
      <c r="M25" s="11">
        <v>49</v>
      </c>
      <c r="N25" s="11">
        <v>15</v>
      </c>
      <c r="O25" s="11">
        <v>11</v>
      </c>
      <c r="P25" s="11">
        <v>8</v>
      </c>
      <c r="Q25" s="11"/>
      <c r="R25" s="11"/>
      <c r="S25" s="11">
        <v>1</v>
      </c>
      <c r="T25" s="11"/>
      <c r="U25" s="11"/>
      <c r="V25" s="11">
        <v>250</v>
      </c>
    </row>
    <row r="26" spans="1:22" x14ac:dyDescent="0.2">
      <c r="A26" s="59" t="s">
        <v>2516</v>
      </c>
      <c r="B26" s="11"/>
      <c r="C26" s="11"/>
      <c r="D26" s="11"/>
      <c r="E26" s="11"/>
      <c r="F26" s="11"/>
      <c r="G26" s="11"/>
      <c r="H26" s="11"/>
      <c r="I26" s="11"/>
      <c r="J26" s="11">
        <v>6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>
        <v>6</v>
      </c>
    </row>
    <row r="27" spans="1:22" x14ac:dyDescent="0.2">
      <c r="A27" s="10" t="s">
        <v>2781</v>
      </c>
      <c r="B27" s="11">
        <v>13</v>
      </c>
      <c r="C27" s="11">
        <v>85</v>
      </c>
      <c r="D27" s="11">
        <v>262</v>
      </c>
      <c r="E27" s="11">
        <v>78</v>
      </c>
      <c r="F27" s="11">
        <v>299</v>
      </c>
      <c r="G27" s="11">
        <v>50</v>
      </c>
      <c r="H27" s="11">
        <v>151</v>
      </c>
      <c r="I27" s="11">
        <v>47</v>
      </c>
      <c r="J27" s="11">
        <v>422</v>
      </c>
      <c r="K27" s="11">
        <v>259</v>
      </c>
      <c r="L27" s="11">
        <v>446</v>
      </c>
      <c r="M27" s="11">
        <v>162</v>
      </c>
      <c r="N27" s="11">
        <v>152</v>
      </c>
      <c r="O27" s="11">
        <v>97</v>
      </c>
      <c r="P27" s="11">
        <v>80</v>
      </c>
      <c r="Q27" s="11">
        <v>24</v>
      </c>
      <c r="R27" s="11">
        <v>11</v>
      </c>
      <c r="S27" s="11">
        <v>178</v>
      </c>
      <c r="T27" s="11">
        <v>1</v>
      </c>
      <c r="U27" s="11">
        <v>1</v>
      </c>
      <c r="V27" s="11">
        <v>2818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zoomScale="110" zoomScaleNormal="110" zoomScalePageLayoutView="110" workbookViewId="0">
      <selection activeCell="W9" sqref="W9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1" t="s">
        <v>3108</v>
      </c>
      <c r="B1" s="101"/>
      <c r="C1" s="101"/>
      <c r="D1" s="101"/>
      <c r="E1" s="101"/>
      <c r="F1" s="101"/>
      <c r="G1" s="65" t="s">
        <v>3110</v>
      </c>
      <c r="H1" s="76" t="s">
        <v>3090</v>
      </c>
      <c r="I1" s="66"/>
      <c r="J1" s="66"/>
      <c r="K1" s="66" t="s">
        <v>3118</v>
      </c>
      <c r="L1" s="66">
        <v>0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7.9880000000000004</v>
      </c>
      <c r="T1" s="81">
        <f>VLOOKUP("LTER",$A$31:$X$53,24,FALSE)</f>
        <v>2.7546063239599228</v>
      </c>
      <c r="U1" s="66">
        <f>LTER_STD*LTER_STD/LTER_Count</f>
        <v>3.0351423999999995E-2</v>
      </c>
      <c r="V1" s="66"/>
      <c r="W1" s="66"/>
      <c r="X1" s="66"/>
      <c r="AC1" s="102" t="s">
        <v>3112</v>
      </c>
      <c r="AD1" s="102"/>
      <c r="AE1" s="102"/>
      <c r="AF1" s="102"/>
      <c r="AG1" s="102"/>
      <c r="AH1" s="102"/>
      <c r="AI1" s="102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3">
        <f>IF(ISERR(GETPIVOTDATA("Record",MissingElementsPivot!$A$3,"Organization",$A3,$H$1,B$2)*B$2),0,GETPIVOTDATA("Record",MissingElementsPivot!$A$3,"Organization",$A3,$H$1,B$2)*B$2)</f>
        <v>0</v>
      </c>
      <c r="C3" s="93">
        <f>IF(ISERR(GETPIVOTDATA("Record",MissingElementsPivot!$A$3,"Organization",$A3,$H$1,C$2)*C$2),0,GETPIVOTDATA("Record",MissingElementsPivot!$A$3,"Organization",$A3,$H$1,C$2)*C$2)</f>
        <v>2</v>
      </c>
      <c r="D3" s="93">
        <f>IF(ISERR(GETPIVOTDATA("Record",MissingElementsPivot!$A$3,"Organization",$A3,$H$1,D$2)*D$2),0,GETPIVOTDATA("Record",MissingElementsPivot!$A$3,"Organization",$A3,$H$1,D$2)*D$2)</f>
        <v>8</v>
      </c>
      <c r="E3" s="93">
        <f>IF(ISERR(GETPIVOTDATA("Record",MissingElementsPivot!$A$3,"Organization",$A3,$H$1,E$2)*E$2),0,GETPIVOTDATA("Record",MissingElementsPivot!$A$3,"Organization",$A3,$H$1,E$2)*E$2)</f>
        <v>66</v>
      </c>
      <c r="F3" s="93">
        <f>IF(ISERR(GETPIVOTDATA("Record",MissingElementsPivot!$A$3,"Organization",$A3,$H$1,F$2)*F$2),0,GETPIVOTDATA("Record",MissingElementsPivot!$A$3,"Organization",$A3,$H$1,F$2)*F$2)</f>
        <v>36</v>
      </c>
      <c r="G3" s="93">
        <f>IF(ISERR(GETPIVOTDATA("Record",MissingElementsPivot!$A$3,"Organization",$A3,$H$1,G$2)*G$2),0,GETPIVOTDATA("Record",MissingElementsPivot!$A$3,"Organization",$A3,$H$1,G$2)*G$2)</f>
        <v>30</v>
      </c>
      <c r="H3" s="93">
        <f>IF(ISERR(GETPIVOTDATA("Record",MissingElementsPivot!$A$3,"Organization",$A3,$H$1,H$2)*H$2),0,GETPIVOTDATA("Record",MissingElementsPivot!$A$3,"Organization",$A3,$H$1,H$2)*H$2)</f>
        <v>54</v>
      </c>
      <c r="I3" s="93">
        <f>IF(ISERR(GETPIVOTDATA("Record",MissingElementsPivot!$A$3,"Organization",$A3,$H$1,I$2)*I$2),0,GETPIVOTDATA("Record",MissingElementsPivot!$A$3,"Organization",$A3,$H$1,I$2)*I$2)</f>
        <v>490</v>
      </c>
      <c r="J3" s="93">
        <f>IF(ISERR(GETPIVOTDATA("Record",MissingElementsPivot!$A$3,"Organization",$A3,$H$1,J$2)*J$2),0,GETPIVOTDATA("Record",MissingElementsPivot!$A$3,"Organization",$A3,$H$1,J$2)*J$2)</f>
        <v>56</v>
      </c>
      <c r="K3" s="93">
        <f>IF(ISERR(GETPIVOTDATA("Record",MissingElementsPivot!$A$3,"Organization",$A3,$H$1,K$2)*K$2),0,GETPIVOTDATA("Record",MissingElementsPivot!$A$3,"Organization",$A3,$H$1,K$2)*K$2)</f>
        <v>36</v>
      </c>
      <c r="L3" s="93">
        <f>IF(ISERR(GETPIVOTDATA("Record",MissingElementsPivot!$A$3,"Organization",$A3,$H$1,L$2)*L$2),0,GETPIVOTDATA("Record",MissingElementsPivot!$A$3,"Organization",$A3,$H$1,L$2)*L$2)</f>
        <v>930</v>
      </c>
      <c r="M3" s="93">
        <f>IF(ISERR(GETPIVOTDATA("Record",MissingElementsPivot!$A$3,"Organization",$A3,$H$1,M$2)*M$2),0,GETPIVOTDATA("Record",MissingElementsPivot!$A$3,"Organization",$A3,$H$1,M$2)*M$2)</f>
        <v>132</v>
      </c>
      <c r="N3" s="93">
        <f>IF(ISERR(GETPIVOTDATA("Record",MissingElementsPivot!$A$3,"Organization",$A3,$H$1,N$2)*N$2),0,GETPIVOTDATA("Record",MissingElementsPivot!$A$3,"Organization",$A3,$H$1,N$2)*N$2)</f>
        <v>24</v>
      </c>
      <c r="O3" s="93">
        <f>IF(ISERR(GETPIVOTDATA("Record",MissingElementsPivot!$A$3,"Organization",$A3,$H$1,O$2)*O$2),0,GETPIVOTDATA("Record",MissingElementsPivot!$A$3,"Organization",$A3,$H$1,O$2)*O$2)</f>
        <v>104</v>
      </c>
      <c r="P3" s="93">
        <f>IF(ISERR(GETPIVOTDATA("Record",MissingElementsPivot!$A$3,"Organization",$A3,$H$1,P$2)*P$2),0,GETPIVOTDATA("Record",MissingElementsPivot!$A$3,"Organization",$A3,$H$1,P$2)*P$2)</f>
        <v>14</v>
      </c>
      <c r="Q3" s="93">
        <f>IF(ISERR(GETPIVOTDATA("Record",MissingElementsPivot!$A$3,"Organization",$A3,$H$1,Q$2)*Q$2),0,GETPIVOTDATA("Record",MissingElementsPivot!$A$3,"Organization",$A3,$H$1,Q$2)*Q$2)</f>
        <v>15</v>
      </c>
      <c r="R3" s="93">
        <f>IF(ISERR(GETPIVOTDATA("Record",MissingElementsPivot!$A$3,"Organization",$A3,$H$1,R$2)*R$2),0,GETPIVOTDATA("Record",MissingElementsPivot!$A$3,"Organization",$A3,$H$1,R$2)*R$2)</f>
        <v>0</v>
      </c>
      <c r="S3" s="93">
        <f>IF(ISERR(GETPIVOTDATA("Record",MissingElementsPivot!$A$3,"Organization",$A3,$H$1,S$2)*S$2),0,GETPIVOTDATA("Record",MissingElementsPivot!$A$3,"Organization",$A3,$H$1,S$2)*S$2)</f>
        <v>0</v>
      </c>
      <c r="T3" s="93">
        <f>IF(ISERR(GETPIVOTDATA("Record",MissingElementsPivot!$A$3,"Organization",$A3,$H$1,T$2)*T$2),0,GETPIVOTDATA("Record",MissingElementsPivot!$A$3,"Organization",$A3,$H$1,T$2)*T$2)</f>
        <v>0</v>
      </c>
      <c r="U3" s="93">
        <f>IF(ISERR(GETPIVOTDATA("Record",MissingElementsPivot!$A$3,"Organization",$A3,$H$1,U$2)*U$2),0,GETPIVOTDATA("Record",MissingElementsPivot!$A$3,"Organization",$A3,$H$1,U$2)*U$2)</f>
        <v>0</v>
      </c>
      <c r="V3" s="93">
        <f>IF(ISERR(GETPIVOTDATA("Record",MissingElementsPivot!$A$3,"Organization",$A3,$H$1,V$2)*V$2),0,GETPIVOTDATA("Record",MissingElementsPivot!$A$3,"Organization",$A3,$H$1,V$2)*V$2)</f>
        <v>0</v>
      </c>
      <c r="W3" s="93">
        <f>GETPIVOTDATA("Record",MissingElementsPivot!$A$3,"Organization",A3)</f>
        <v>250</v>
      </c>
      <c r="X3" s="70">
        <f>SUM(B3:V3)/W3</f>
        <v>7.9880000000000004</v>
      </c>
      <c r="Y3" s="70">
        <f>(X3-LTER_Mean)/(SQRT(((VLOOKUP(A3,$A$31:$X$53,24,FALSE)^2)/W3)+LTER_STD_Count))</f>
        <v>0</v>
      </c>
      <c r="AA3" s="88" t="s">
        <v>1322</v>
      </c>
      <c r="AB3" s="88">
        <v>250</v>
      </c>
      <c r="AC3" s="89">
        <v>0</v>
      </c>
      <c r="AD3" s="89">
        <v>0</v>
      </c>
      <c r="AE3" s="89">
        <v>0</v>
      </c>
      <c r="AF3" s="89">
        <v>0</v>
      </c>
      <c r="AG3" s="89">
        <v>0</v>
      </c>
      <c r="AH3" s="89">
        <v>0</v>
      </c>
      <c r="AI3" s="89"/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2750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0">SUM(B4:V4)/W4</f>
        <v>11</v>
      </c>
      <c r="Y4" s="77">
        <f>(X4-LTER_Mean)/(SQRT(((VLOOKUP(A4,$A$31:$X$53,24,FALSE)^2)/W4)+LTER_STD_Count))</f>
        <v>17.288823142492966</v>
      </c>
      <c r="AA4" s="86" t="s">
        <v>2523</v>
      </c>
      <c r="AB4" s="86">
        <v>250</v>
      </c>
      <c r="AC4" s="87">
        <v>23.94954375710099</v>
      </c>
      <c r="AD4" s="87">
        <v>-17.329048091601059</v>
      </c>
      <c r="AE4" s="87">
        <v>72.267268675347879</v>
      </c>
      <c r="AF4" s="87">
        <v>1.5174706818022998</v>
      </c>
      <c r="AG4" s="87">
        <v>26.552651203095184</v>
      </c>
      <c r="AH4" s="87">
        <v>6.2763317546004807</v>
      </c>
      <c r="AI4" s="87"/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0</v>
      </c>
      <c r="G5" s="68">
        <f>IF(ISERR(GETPIVOTDATA("Record",MissingElementsPivot!$A$3,"Organization",$A5,$H$1,G$2)*G$2),0,GETPIVOTDATA("Record",MissingElementsPivot!$A$3,"Organization",$A5,$H$1,G$2)*G$2)</f>
        <v>0</v>
      </c>
      <c r="H5" s="68">
        <f>IF(ISERR(GETPIVOTDATA("Record",MissingElementsPivot!$A$3,"Organization",$A5,$H$1,H$2)*H$2),0,GETPIVOTDATA("Record",MissingElementsPivot!$A$3,"Organization",$A5,$H$1,H$2)*H$2)</f>
        <v>0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8</v>
      </c>
      <c r="K5" s="68">
        <f>IF(ISERR(GETPIVOTDATA("Record",MissingElementsPivot!$A$3,"Organization",$A5,$H$1,K$2)*K$2),0,GETPIVOTDATA("Record",MissingElementsPivot!$A$3,"Organization",$A5,$H$1,K$2)*K$2)</f>
        <v>207</v>
      </c>
      <c r="L5" s="68">
        <f>IF(ISERR(GETPIVOTDATA("Record",MissingElementsPivot!$A$3,"Organization",$A5,$H$1,L$2)*L$2),0,GETPIVOTDATA("Record",MissingElementsPivot!$A$3,"Organization",$A5,$H$1,L$2)*L$2)</f>
        <v>590</v>
      </c>
      <c r="M5" s="68">
        <f>IF(ISERR(GETPIVOTDATA("Record",MissingElementsPivot!$A$3,"Organization",$A5,$H$1,M$2)*M$2),0,GETPIVOTDATA("Record",MissingElementsPivot!$A$3,"Organization",$A5,$H$1,M$2)*M$2)</f>
        <v>913</v>
      </c>
      <c r="N5" s="68">
        <f>IF(ISERR(GETPIVOTDATA("Record",MissingElementsPivot!$A$3,"Organization",$A5,$H$1,N$2)*N$2),0,GETPIVOTDATA("Record",MissingElementsPivot!$A$3,"Organization",$A5,$H$1,N$2)*N$2)</f>
        <v>588</v>
      </c>
      <c r="O5" s="68">
        <f>IF(ISERR(GETPIVOTDATA("Record",MissingElementsPivot!$A$3,"Organization",$A5,$H$1,O$2)*O$2),0,GETPIVOTDATA("Record",MissingElementsPivot!$A$3,"Organization",$A5,$H$1,O$2)*O$2)</f>
        <v>195</v>
      </c>
      <c r="P5" s="68">
        <f>IF(ISERR(GETPIVOTDATA("Record",MissingElementsPivot!$A$3,"Organization",$A5,$H$1,P$2)*P$2),0,GETPIVOTDATA("Record",MissingElementsPivot!$A$3,"Organization",$A5,$H$1,P$2)*P$2)</f>
        <v>154</v>
      </c>
      <c r="Q5" s="68">
        <f>IF(ISERR(GETPIVOTDATA("Record",MissingElementsPivot!$A$3,"Organization",$A5,$H$1,Q$2)*Q$2),0,GETPIVOTDATA("Record",MissingElementsPivot!$A$3,"Organization",$A5,$H$1,Q$2)*Q$2)</f>
        <v>120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18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0"/>
        <v>11.172000000000001</v>
      </c>
      <c r="Y5" s="77">
        <f>(X5-LTER_Mean)/(SQRT(((VLOOKUP(A5,$A$31:$X$53,24,FALSE)^2)/W5)+LTER_STD_Count))</f>
        <v>16.132516317926068</v>
      </c>
      <c r="AA5" s="86" t="s">
        <v>2246</v>
      </c>
      <c r="AB5" s="86">
        <v>250</v>
      </c>
      <c r="AC5" s="87">
        <v>57.162947186487216</v>
      </c>
      <c r="AD5" s="87">
        <v>7.0263789421614922</v>
      </c>
      <c r="AE5" s="87">
        <v>16.166927187019489</v>
      </c>
      <c r="AF5" s="87">
        <v>-1.1353088165957212</v>
      </c>
      <c r="AG5" s="87">
        <v>-9.5072922699508613</v>
      </c>
      <c r="AH5" s="87">
        <v>6.3833462580885225</v>
      </c>
      <c r="AI5" s="87"/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0</v>
      </c>
      <c r="F6" s="68">
        <f>IF(ISERR(GETPIVOTDATA("Record",MissingElementsPivot!$A$3,"Organization",$A6,$H$1,F$2)*F$2),0,GETPIVOTDATA("Record",MissingElementsPivot!$A$3,"Organization",$A6,$H$1,F$2)*F$2)</f>
        <v>0</v>
      </c>
      <c r="G6" s="68">
        <f>IF(ISERR(GETPIVOTDATA("Record",MissingElementsPivot!$A$3,"Organization",$A6,$H$1,G$2)*G$2),0,GETPIVOTDATA("Record",MissingElementsPivot!$A$3,"Organization",$A6,$H$1,G$2)*G$2)</f>
        <v>0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2016</v>
      </c>
      <c r="L6" s="68">
        <f>IF(ISERR(GETPIVOTDATA("Record",MissingElementsPivot!$A$3,"Organization",$A6,$H$1,L$2)*L$2),0,GETPIVOTDATA("Record",MissingElementsPivot!$A$3,"Organization",$A6,$H$1,L$2)*L$2)</f>
        <v>230</v>
      </c>
      <c r="M6" s="68">
        <f>IF(ISERR(GETPIVOTDATA("Record",MissingElementsPivot!$A$3,"Organization",$A6,$H$1,M$2)*M$2),0,GETPIVOTDATA("Record",MissingElementsPivot!$A$3,"Organization",$A6,$H$1,M$2)*M$2)</f>
        <v>11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0"/>
        <v>9.1008064516129039</v>
      </c>
      <c r="Y6" s="77">
        <f>(X6-LTER_Mean)/(SQRT(((VLOOKUP(A6,$A$31:$X$53,24,FALSE)^2)/W6)+LTER_STD_Count))</f>
        <v>6.3460136108447749</v>
      </c>
      <c r="AA6" s="86" t="s">
        <v>1721</v>
      </c>
      <c r="AB6" s="86">
        <v>248</v>
      </c>
      <c r="AC6" s="87">
        <v>25.907653703188998</v>
      </c>
      <c r="AD6" s="87">
        <v>20.673250354892495</v>
      </c>
      <c r="AE6" s="87">
        <v>24.34467671556812</v>
      </c>
      <c r="AF6" s="87">
        <v>-8.77702306621498</v>
      </c>
      <c r="AG6" s="87">
        <v>-13.196826645849693</v>
      </c>
      <c r="AH6" s="87">
        <v>2.3186410363609609</v>
      </c>
      <c r="AI6" s="87"/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0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0</v>
      </c>
      <c r="G7" s="68">
        <f>IF(ISERR(GETPIVOTDATA("Record",MissingElementsPivot!$A$3,"Organization",$A7,$H$1,G$2)*G$2),0,GETPIVOTDATA("Record",MissingElementsPivot!$A$3,"Organization",$A7,$H$1,G$2)*G$2)</f>
        <v>0</v>
      </c>
      <c r="H7" s="68">
        <f>IF(ISERR(GETPIVOTDATA("Record",MissingElementsPivot!$A$3,"Organization",$A7,$H$1,H$2)*H$2),0,GETPIVOTDATA("Record",MissingElementsPivot!$A$3,"Organization",$A7,$H$1,H$2)*H$2)</f>
        <v>0</v>
      </c>
      <c r="I7" s="68">
        <f>IF(ISERR(GETPIVOTDATA("Record",MissingElementsPivot!$A$3,"Organization",$A7,$H$1,I$2)*I$2),0,GETPIVOTDATA("Record",MissingElementsPivot!$A$3,"Organization",$A7,$H$1,I$2)*I$2)</f>
        <v>0</v>
      </c>
      <c r="J7" s="68">
        <f>IF(ISERR(GETPIVOTDATA("Record",MissingElementsPivot!$A$3,"Organization",$A7,$H$1,J$2)*J$2),0,GETPIVOTDATA("Record",MissingElementsPivot!$A$3,"Organization",$A7,$H$1,J$2)*J$2)</f>
        <v>8</v>
      </c>
      <c r="K7" s="68">
        <f>IF(ISERR(GETPIVOTDATA("Record",MissingElementsPivot!$A$3,"Organization",$A7,$H$1,K$2)*K$2),0,GETPIVOTDATA("Record",MissingElementsPivot!$A$3,"Organization",$A7,$H$1,K$2)*K$2)</f>
        <v>180</v>
      </c>
      <c r="L7" s="68">
        <f>IF(ISERR(GETPIVOTDATA("Record",MissingElementsPivot!$A$3,"Organization",$A7,$H$1,L$2)*L$2),0,GETPIVOTDATA("Record",MissingElementsPivot!$A$3,"Organization",$A7,$H$1,L$2)*L$2)</f>
        <v>260</v>
      </c>
      <c r="M7" s="68">
        <f>IF(ISERR(GETPIVOTDATA("Record",MissingElementsPivot!$A$3,"Organization",$A7,$H$1,M$2)*M$2),0,GETPIVOTDATA("Record",MissingElementsPivot!$A$3,"Organization",$A7,$H$1,M$2)*M$2)</f>
        <v>374</v>
      </c>
      <c r="N7" s="68">
        <f>IF(ISERR(GETPIVOTDATA("Record",MissingElementsPivot!$A$3,"Organization",$A7,$H$1,N$2)*N$2),0,GETPIVOTDATA("Record",MissingElementsPivot!$A$3,"Organization",$A7,$H$1,N$2)*N$2)</f>
        <v>480</v>
      </c>
      <c r="O7" s="68">
        <f>IF(ISERR(GETPIVOTDATA("Record",MissingElementsPivot!$A$3,"Organization",$A7,$H$1,O$2)*O$2),0,GETPIVOTDATA("Record",MissingElementsPivot!$A$3,"Organization",$A7,$H$1,O$2)*O$2)</f>
        <v>494</v>
      </c>
      <c r="P7" s="68">
        <f>IF(ISERR(GETPIVOTDATA("Record",MissingElementsPivot!$A$3,"Organization",$A7,$H$1,P$2)*P$2),0,GETPIVOTDATA("Record",MissingElementsPivot!$A$3,"Organization",$A7,$H$1,P$2)*P$2)</f>
        <v>322</v>
      </c>
      <c r="Q7" s="68">
        <f>IF(ISERR(GETPIVOTDATA("Record",MissingElementsPivot!$A$3,"Organization",$A7,$H$1,Q$2)*Q$2),0,GETPIVOTDATA("Record",MissingElementsPivot!$A$3,"Organization",$A7,$H$1,Q$2)*Q$2)</f>
        <v>855</v>
      </c>
      <c r="R7" s="68">
        <f>IF(ISERR(GETPIVOTDATA("Record",MissingElementsPivot!$A$3,"Organization",$A7,$H$1,R$2)*R$2),0,GETPIVOTDATA("Record",MissingElementsPivot!$A$3,"Organization",$A7,$H$1,R$2)*R$2)</f>
        <v>64</v>
      </c>
      <c r="S7" s="68">
        <f>IF(ISERR(GETPIVOTDATA("Record",MissingElementsPivot!$A$3,"Organization",$A7,$H$1,S$2)*S$2),0,GETPIVOTDATA("Record",MissingElementsPivot!$A$3,"Organization",$A7,$H$1,S$2)*S$2)</f>
        <v>34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19</v>
      </c>
      <c r="V7" s="68">
        <f>IF(ISERR(GETPIVOTDATA("Record",MissingElementsPivot!$A$3,"Organization",$A7,$H$1,V$2)*V$2),0,GETPIVOTDATA("Record",MissingElementsPivot!$A$3,"Organization",$A7,$H$1,V$2)*V$2)</f>
        <v>20</v>
      </c>
      <c r="W7" s="68">
        <f>GETPIVOTDATA("Record",MissingElementsPivot!$A$3,"Organization",A7)</f>
        <v>247</v>
      </c>
      <c r="X7" s="77">
        <f t="shared" si="0"/>
        <v>12.591093117408906</v>
      </c>
      <c r="Y7" s="77">
        <f>(X7-LTER_Mean)/(SQRT(((VLOOKUP(A7,$A$31:$X$53,24,FALSE)^2)/W7)+LTER_STD_Count))</f>
        <v>20.864673774473477</v>
      </c>
      <c r="AA7" s="86" t="s">
        <v>1973</v>
      </c>
      <c r="AB7" s="86">
        <v>247</v>
      </c>
      <c r="AC7" s="87">
        <v>49.2337251041955</v>
      </c>
      <c r="AD7" s="87">
        <v>15.277115843254666</v>
      </c>
      <c r="AE7" s="87">
        <v>-2.9817424159594377</v>
      </c>
      <c r="AF7" s="87">
        <v>10.470512221046189</v>
      </c>
      <c r="AG7" s="87">
        <v>-0.850619594129016</v>
      </c>
      <c r="AH7" s="87">
        <v>8.225013440362293</v>
      </c>
      <c r="AI7" s="87"/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0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3096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0"/>
        <v>18</v>
      </c>
      <c r="Y8" s="77">
        <f>(X8-LTER_Mean)/(SQRT(((VLOOKUP(A8,$A$31:$X$53,24,FALSE)^2)/W8)+LTER_STD_Count))</f>
        <v>57.468691003532399</v>
      </c>
      <c r="AA8" s="86" t="s">
        <v>775</v>
      </c>
      <c r="AB8" s="86">
        <v>172</v>
      </c>
      <c r="AC8" s="87">
        <v>86.754291371876334</v>
      </c>
      <c r="AD8" s="87">
        <v>20.673250354892495</v>
      </c>
      <c r="AE8" s="87">
        <v>72.267268675347879</v>
      </c>
      <c r="AF8" s="87">
        <v>32.277011529146229</v>
      </c>
      <c r="AG8" s="87">
        <v>26.552651203095184</v>
      </c>
      <c r="AH8" s="87">
        <v>20.862760135146093</v>
      </c>
      <c r="AI8" s="87"/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0</v>
      </c>
      <c r="D9" s="68">
        <f>IF(ISERR(GETPIVOTDATA("Record",MissingElementsPivot!$A$3,"Organization",$A9,$H$1,D$2)*D$2),0,GETPIVOTDATA("Record",MissingElementsPivot!$A$3,"Organization",$A9,$H$1,D$2)*D$2)</f>
        <v>0</v>
      </c>
      <c r="E9" s="68">
        <f>IF(ISERR(GETPIVOTDATA("Record",MissingElementsPivot!$A$3,"Organization",$A9,$H$1,E$2)*E$2),0,GETPIVOTDATA("Record",MissingElementsPivot!$A$3,"Organization",$A9,$H$1,E$2)*E$2)</f>
        <v>0</v>
      </c>
      <c r="F9" s="68">
        <f>IF(ISERR(GETPIVOTDATA("Record",MissingElementsPivot!$A$3,"Organization",$A9,$H$1,F$2)*F$2),0,GETPIVOTDATA("Record",MissingElementsPivot!$A$3,"Organization",$A9,$H$1,F$2)*F$2)</f>
        <v>0</v>
      </c>
      <c r="G9" s="68">
        <f>IF(ISERR(GETPIVOTDATA("Record",MissingElementsPivot!$A$3,"Organization",$A9,$H$1,G$2)*G$2),0,GETPIVOTDATA("Record",MissingElementsPivot!$A$3,"Organization",$A9,$H$1,G$2)*G$2)</f>
        <v>0</v>
      </c>
      <c r="H9" s="68">
        <f>IF(ISERR(GETPIVOTDATA("Record",MissingElementsPivot!$A$3,"Organization",$A9,$H$1,H$2)*H$2),0,GETPIVOTDATA("Record",MissingElementsPivot!$A$3,"Organization",$A9,$H$1,H$2)*H$2)</f>
        <v>18</v>
      </c>
      <c r="I9" s="68">
        <f>IF(ISERR(GETPIVOTDATA("Record",MissingElementsPivot!$A$3,"Organization",$A9,$H$1,I$2)*I$2),0,GETPIVOTDATA("Record",MissingElementsPivot!$A$3,"Organization",$A9,$H$1,I$2)*I$2)</f>
        <v>14</v>
      </c>
      <c r="J9" s="68">
        <f>IF(ISERR(GETPIVOTDATA("Record",MissingElementsPivot!$A$3,"Organization",$A9,$H$1,J$2)*J$2),0,GETPIVOTDATA("Record",MissingElementsPivot!$A$3,"Organization",$A9,$H$1,J$2)*J$2)</f>
        <v>64</v>
      </c>
      <c r="K9" s="68">
        <f>IF(ISERR(GETPIVOTDATA("Record",MissingElementsPivot!$A$3,"Organization",$A9,$H$1,K$2)*K$2),0,GETPIVOTDATA("Record",MissingElementsPivot!$A$3,"Organization",$A9,$H$1,K$2)*K$2)</f>
        <v>126</v>
      </c>
      <c r="L9" s="68">
        <f>IF(ISERR(GETPIVOTDATA("Record",MissingElementsPivot!$A$3,"Organization",$A9,$H$1,L$2)*L$2),0,GETPIVOTDATA("Record",MissingElementsPivot!$A$3,"Organization",$A9,$H$1,L$2)*L$2)</f>
        <v>130</v>
      </c>
      <c r="M9" s="68">
        <f>IF(ISERR(GETPIVOTDATA("Record",MissingElementsPivot!$A$3,"Organization",$A9,$H$1,M$2)*M$2),0,GETPIVOTDATA("Record",MissingElementsPivot!$A$3,"Organization",$A9,$H$1,M$2)*M$2)</f>
        <v>77</v>
      </c>
      <c r="N9" s="68">
        <f>IF(ISERR(GETPIVOTDATA("Record",MissingElementsPivot!$A$3,"Organization",$A9,$H$1,N$2)*N$2),0,GETPIVOTDATA("Record",MissingElementsPivot!$A$3,"Organization",$A9,$H$1,N$2)*N$2)</f>
        <v>216</v>
      </c>
      <c r="O9" s="68">
        <f>IF(ISERR(GETPIVOTDATA("Record",MissingElementsPivot!$A$3,"Organization",$A9,$H$1,O$2)*O$2),0,GETPIVOTDATA("Record",MissingElementsPivot!$A$3,"Organization",$A9,$H$1,O$2)*O$2)</f>
        <v>390</v>
      </c>
      <c r="P9" s="68">
        <f>IF(ISERR(GETPIVOTDATA("Record",MissingElementsPivot!$A$3,"Organization",$A9,$H$1,P$2)*P$2),0,GETPIVOTDATA("Record",MissingElementsPivot!$A$3,"Organization",$A9,$H$1,P$2)*P$2)</f>
        <v>714</v>
      </c>
      <c r="Q9" s="68">
        <f>IF(ISERR(GETPIVOTDATA("Record",MissingElementsPivot!$A$3,"Organization",$A9,$H$1,Q$2)*Q$2),0,GETPIVOTDATA("Record",MissingElementsPivot!$A$3,"Organization",$A9,$H$1,Q$2)*Q$2)</f>
        <v>105</v>
      </c>
      <c r="R9" s="68">
        <f>IF(ISERR(GETPIVOTDATA("Record",MissingElementsPivot!$A$3,"Organization",$A9,$H$1,R$2)*R$2),0,GETPIVOTDATA("Record",MissingElementsPivot!$A$3,"Organization",$A9,$H$1,R$2)*R$2)</f>
        <v>112</v>
      </c>
      <c r="S9" s="68">
        <f>IF(ISERR(GETPIVOTDATA("Record",MissingElementsPivot!$A$3,"Organization",$A9,$H$1,S$2)*S$2),0,GETPIVOTDATA("Record",MissingElementsPivot!$A$3,"Organization",$A9,$H$1,S$2)*S$2)</f>
        <v>85</v>
      </c>
      <c r="T9" s="68">
        <f>IF(ISERR(GETPIVOTDATA("Record",MissingElementsPivot!$A$3,"Organization",$A9,$H$1,T$2)*T$2),0,GETPIVOTDATA("Record",MissingElementsPivot!$A$3,"Organization",$A9,$H$1,T$2)*T$2)</f>
        <v>36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0"/>
        <v>12.497005988023952</v>
      </c>
      <c r="Y9" s="77">
        <f>(X9-LTER_Mean)/(SQRT(((VLOOKUP(A9,$A$31:$X$53,24,FALSE)^2)/W9)+LTER_STD_Count))</f>
        <v>17.356500467301924</v>
      </c>
      <c r="AA9" s="86" t="s">
        <v>949</v>
      </c>
      <c r="AB9" s="86">
        <v>167</v>
      </c>
      <c r="AC9" s="87">
        <v>8.7679144542273111</v>
      </c>
      <c r="AD9" s="87">
        <v>12.962502622567039</v>
      </c>
      <c r="AE9" s="87">
        <v>19.229594834515407</v>
      </c>
      <c r="AF9" s="87">
        <v>8.8944106732837547</v>
      </c>
      <c r="AG9" s="87">
        <v>15.188923460707912</v>
      </c>
      <c r="AH9" s="87">
        <v>6.6435693357594001</v>
      </c>
      <c r="AI9" s="87"/>
    </row>
    <row r="10" spans="1:35" x14ac:dyDescent="0.2">
      <c r="A10" s="63" t="s">
        <v>1148</v>
      </c>
      <c r="B10" s="94">
        <f>IF(ISERR(GETPIVOTDATA("Record",MissingElementsPivot!$A$3,"Organization",$A10,$H$1,B$2)*B$2),0,GETPIVOTDATA("Record",MissingElementsPivot!$A$3,"Organization",$A10,$H$1,B$2)*B$2)</f>
        <v>0</v>
      </c>
      <c r="C10" s="94">
        <f>IF(ISERR(GETPIVOTDATA("Record",MissingElementsPivot!$A$3,"Organization",$A10,$H$1,C$2)*C$2),0,GETPIVOTDATA("Record",MissingElementsPivot!$A$3,"Organization",$A10,$H$1,C$2)*C$2)</f>
        <v>0</v>
      </c>
      <c r="D10" s="94">
        <f>IF(ISERR(GETPIVOTDATA("Record",MissingElementsPivot!$A$3,"Organization",$A10,$H$1,D$2)*D$2),0,GETPIVOTDATA("Record",MissingElementsPivot!$A$3,"Organization",$A10,$H$1,D$2)*D$2)</f>
        <v>0</v>
      </c>
      <c r="E10" s="94">
        <f>IF(ISERR(GETPIVOTDATA("Record",MissingElementsPivot!$A$3,"Organization",$A10,$H$1,E$2)*E$2),0,GETPIVOTDATA("Record",MissingElementsPivot!$A$3,"Organization",$A10,$H$1,E$2)*E$2)</f>
        <v>0</v>
      </c>
      <c r="F10" s="94">
        <f>IF(ISERR(GETPIVOTDATA("Record",MissingElementsPivot!$A$3,"Organization",$A10,$H$1,F$2)*F$2),0,GETPIVOTDATA("Record",MissingElementsPivot!$A$3,"Organization",$A10,$H$1,F$2)*F$2)</f>
        <v>0</v>
      </c>
      <c r="G10" s="94">
        <f>IF(ISERR(GETPIVOTDATA("Record",MissingElementsPivot!$A$3,"Organization",$A10,$H$1,G$2)*G$2),0,GETPIVOTDATA("Record",MissingElementsPivot!$A$3,"Organization",$A10,$H$1,G$2)*G$2)</f>
        <v>0</v>
      </c>
      <c r="H10" s="94">
        <f>IF(ISERR(GETPIVOTDATA("Record",MissingElementsPivot!$A$3,"Organization",$A10,$H$1,H$2)*H$2),0,GETPIVOTDATA("Record",MissingElementsPivot!$A$3,"Organization",$A10,$H$1,H$2)*H$2)</f>
        <v>0</v>
      </c>
      <c r="I10" s="94">
        <f>IF(ISERR(GETPIVOTDATA("Record",MissingElementsPivot!$A$3,"Organization",$A10,$H$1,I$2)*I$2),0,GETPIVOTDATA("Record",MissingElementsPivot!$A$3,"Organization",$A10,$H$1,I$2)*I$2)</f>
        <v>0</v>
      </c>
      <c r="J10" s="94">
        <f>IF(ISERR(GETPIVOTDATA("Record",MissingElementsPivot!$A$3,"Organization",$A10,$H$1,J$2)*J$2),0,GETPIVOTDATA("Record",MissingElementsPivot!$A$3,"Organization",$A10,$H$1,J$2)*J$2)</f>
        <v>0</v>
      </c>
      <c r="K10" s="94">
        <f>IF(ISERR(GETPIVOTDATA("Record",MissingElementsPivot!$A$3,"Organization",$A10,$H$1,K$2)*K$2),0,GETPIVOTDATA("Record",MissingElementsPivot!$A$3,"Organization",$A10,$H$1,K$2)*K$2)</f>
        <v>0</v>
      </c>
      <c r="L10" s="94">
        <f>IF(ISERR(GETPIVOTDATA("Record",MissingElementsPivot!$A$3,"Organization",$A10,$H$1,L$2)*L$2),0,GETPIVOTDATA("Record",MissingElementsPivot!$A$3,"Organization",$A10,$H$1,L$2)*L$2)</f>
        <v>160</v>
      </c>
      <c r="M10" s="94">
        <f>IF(ISERR(GETPIVOTDATA("Record",MissingElementsPivot!$A$3,"Organization",$A10,$H$1,M$2)*M$2),0,GETPIVOTDATA("Record",MissingElementsPivot!$A$3,"Organization",$A10,$H$1,M$2)*M$2)</f>
        <v>484</v>
      </c>
      <c r="N10" s="94">
        <f>IF(ISERR(GETPIVOTDATA("Record",MissingElementsPivot!$A$3,"Organization",$A10,$H$1,N$2)*N$2),0,GETPIVOTDATA("Record",MissingElementsPivot!$A$3,"Organization",$A10,$H$1,N$2)*N$2)</f>
        <v>456</v>
      </c>
      <c r="O10" s="94">
        <f>IF(ISERR(GETPIVOTDATA("Record",MissingElementsPivot!$A$3,"Organization",$A10,$H$1,O$2)*O$2),0,GETPIVOTDATA("Record",MissingElementsPivot!$A$3,"Organization",$A10,$H$1,O$2)*O$2)</f>
        <v>715</v>
      </c>
      <c r="P10" s="94">
        <f>IF(ISERR(GETPIVOTDATA("Record",MissingElementsPivot!$A$3,"Organization",$A10,$H$1,P$2)*P$2),0,GETPIVOTDATA("Record",MissingElementsPivot!$A$3,"Organization",$A10,$H$1,P$2)*P$2)</f>
        <v>154</v>
      </c>
      <c r="Q10" s="94">
        <f>IF(ISERR(GETPIVOTDATA("Record",MissingElementsPivot!$A$3,"Organization",$A10,$H$1,Q$2)*Q$2),0,GETPIVOTDATA("Record",MissingElementsPivot!$A$3,"Organization",$A10,$H$1,Q$2)*Q$2)</f>
        <v>15</v>
      </c>
      <c r="R10" s="94">
        <f>IF(ISERR(GETPIVOTDATA("Record",MissingElementsPivot!$A$3,"Organization",$A10,$H$1,R$2)*R$2),0,GETPIVOTDATA("Record",MissingElementsPivot!$A$3,"Organization",$A10,$H$1,R$2)*R$2)</f>
        <v>0</v>
      </c>
      <c r="S10" s="94">
        <f>IF(ISERR(GETPIVOTDATA("Record",MissingElementsPivot!$A$3,"Organization",$A10,$H$1,S$2)*S$2),0,GETPIVOTDATA("Record",MissingElementsPivot!$A$3,"Organization",$A10,$H$1,S$2)*S$2)</f>
        <v>0</v>
      </c>
      <c r="T10" s="94">
        <f>IF(ISERR(GETPIVOTDATA("Record",MissingElementsPivot!$A$3,"Organization",$A10,$H$1,T$2)*T$2),0,GETPIVOTDATA("Record",MissingElementsPivot!$A$3,"Organization",$A10,$H$1,T$2)*T$2)</f>
        <v>0</v>
      </c>
      <c r="U10" s="94">
        <f>IF(ISERR(GETPIVOTDATA("Record",MissingElementsPivot!$A$3,"Organization",$A10,$H$1,U$2)*U$2),0,GETPIVOTDATA("Record",MissingElementsPivot!$A$3,"Organization",$A10,$H$1,U$2)*U$2)</f>
        <v>0</v>
      </c>
      <c r="V10" s="94">
        <f>IF(ISERR(GETPIVOTDATA("Record",MissingElementsPivot!$A$3,"Organization",$A10,$H$1,V$2)*V$2),0,GETPIVOTDATA("Record",MissingElementsPivot!$A$3,"Organization",$A10,$H$1,V$2)*V$2)</f>
        <v>0</v>
      </c>
      <c r="W10" s="94">
        <f>GETPIVOTDATA("Record",MissingElementsPivot!$A$3,"Organization",A10)</f>
        <v>165</v>
      </c>
      <c r="X10" s="77">
        <f t="shared" si="0"/>
        <v>12.024242424242424</v>
      </c>
      <c r="Y10" s="77">
        <f>(X10-LTER_Mean)/(SQRT(((VLOOKUP(A10,$A$31:$X$53,24,FALSE)^2)/W10)+LTER_STD_Count))</f>
        <v>20.629151784165217</v>
      </c>
      <c r="AA10" s="86" t="s">
        <v>1148</v>
      </c>
      <c r="AB10" s="86">
        <v>165</v>
      </c>
      <c r="AC10" s="87">
        <v>12.952446274808899</v>
      </c>
      <c r="AD10" s="87">
        <v>19.204841124504355</v>
      </c>
      <c r="AE10" s="87">
        <v>24.34467671556812</v>
      </c>
      <c r="AF10" s="87">
        <v>12.850568147483008</v>
      </c>
      <c r="AG10" s="87">
        <v>26.552651203095184</v>
      </c>
      <c r="AH10" s="87">
        <v>8.2273138544343141</v>
      </c>
      <c r="AI10" s="87"/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0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0</v>
      </c>
      <c r="G11" s="68">
        <f>IF(ISERR(GETPIVOTDATA("Record",MissingElementsPivot!$A$3,"Organization",$A11,$H$1,G$2)*G$2),0,GETPIVOTDATA("Record",MissingElementsPivot!$A$3,"Organization",$A11,$H$1,G$2)*G$2)</f>
        <v>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918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30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34</v>
      </c>
      <c r="T11" s="68">
        <f>IF(ISERR(GETPIVOTDATA("Record",MissingElementsPivot!$A$3,"Organization",$A11,$H$1,T$2)*T$2),0,GETPIVOTDATA("Record",MissingElementsPivot!$A$3,"Organization",$A11,$H$1,T$2)*T$2)</f>
        <v>54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0"/>
        <v>9.5045871559633035</v>
      </c>
      <c r="Y11" s="77">
        <f>(X11-LTER_Mean)/(SQRT(((VLOOKUP(A11,$A$31:$X$53,24,FALSE)^2)/W11)+LTER_STD_Count))</f>
        <v>5.9347736075542628</v>
      </c>
      <c r="AA11" s="86" t="s">
        <v>1607</v>
      </c>
      <c r="AB11" s="86">
        <v>109</v>
      </c>
      <c r="AC11" s="87">
        <v>5.0904836206264941</v>
      </c>
      <c r="AD11" s="87">
        <v>21.57733055810365</v>
      </c>
      <c r="AE11" s="87">
        <v>72.267268675347879</v>
      </c>
      <c r="AF11" s="87">
        <v>-5.194303669858888</v>
      </c>
      <c r="AG11" s="87">
        <v>-11.218763990904559</v>
      </c>
      <c r="AH11" s="87">
        <v>2.5156188125783219</v>
      </c>
      <c r="AI11" s="87"/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0</v>
      </c>
      <c r="G12" s="68">
        <f>IF(ISERR(GETPIVOTDATA("Record",MissingElementsPivot!$A$3,"Organization",$A12,$H$1,G$2)*G$2),0,GETPIVOTDATA("Record",MissingElementsPivot!$A$3,"Organization",$A12,$H$1,G$2)*G$2)</f>
        <v>0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336</v>
      </c>
      <c r="J12" s="68">
        <f>IF(ISERR(GETPIVOTDATA("Record",MissingElementsPivot!$A$3,"Organization",$A12,$H$1,J$2)*J$2),0,GETPIVOTDATA("Record",MissingElementsPivot!$A$3,"Organization",$A12,$H$1,J$2)*J$2)</f>
        <v>224</v>
      </c>
      <c r="K12" s="68">
        <f>IF(ISERR(GETPIVOTDATA("Record",MissingElementsPivot!$A$3,"Organization",$A12,$H$1,K$2)*K$2),0,GETPIVOTDATA("Record",MissingElementsPivot!$A$3,"Organization",$A12,$H$1,K$2)*K$2)</f>
        <v>54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66</v>
      </c>
      <c r="N12" s="68">
        <f>IF(ISERR(GETPIVOTDATA("Record",MissingElementsPivot!$A$3,"Organization",$A12,$H$1,N$2)*N$2),0,GETPIVOTDATA("Record",MissingElementsPivot!$A$3,"Organization",$A12,$H$1,N$2)*N$2)</f>
        <v>72</v>
      </c>
      <c r="O12" s="68">
        <f>IF(ISERR(GETPIVOTDATA("Record",MissingElementsPivot!$A$3,"Organization",$A12,$H$1,O$2)*O$2),0,GETPIVOTDATA("Record",MissingElementsPivot!$A$3,"Organization",$A12,$H$1,O$2)*O$2)</f>
        <v>39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15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0"/>
        <v>8.2244897959183678</v>
      </c>
      <c r="Y12" s="77">
        <f>(X12-LTER_Mean)/(SQRT(((VLOOKUP(A12,$A$31:$X$53,24,FALSE)^2)/W12)+LTER_STD_Count))</f>
        <v>0.93488382194730402</v>
      </c>
      <c r="AA12" s="86" t="s">
        <v>633</v>
      </c>
      <c r="AB12" s="86">
        <v>98</v>
      </c>
      <c r="AC12" s="87">
        <v>45.713566829392803</v>
      </c>
      <c r="AD12" s="87">
        <v>-2.4112851504393218</v>
      </c>
      <c r="AE12" s="87">
        <v>-13.140330354867977</v>
      </c>
      <c r="AF12" s="87">
        <v>-11.313976282067241</v>
      </c>
      <c r="AG12" s="87">
        <v>-5.8805291628631355</v>
      </c>
      <c r="AH12" s="87">
        <v>0.40486756921246858</v>
      </c>
      <c r="AI12" s="87"/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0</v>
      </c>
      <c r="D13" s="68">
        <f>IF(ISERR(GETPIVOTDATA("Record",MissingElementsPivot!$A$3,"Organization",$A13,$H$1,D$2)*D$2),0,GETPIVOTDATA("Record",MissingElementsPivot!$A$3,"Organization",$A13,$H$1,D$2)*D$2)</f>
        <v>0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171</v>
      </c>
      <c r="L13" s="68">
        <f>IF(ISERR(GETPIVOTDATA("Record",MissingElementsPivot!$A$3,"Organization",$A13,$H$1,L$2)*L$2),0,GETPIVOTDATA("Record",MissingElementsPivot!$A$3,"Organization",$A13,$H$1,L$2)*L$2)</f>
        <v>220</v>
      </c>
      <c r="M13" s="68">
        <f>IF(ISERR(GETPIVOTDATA("Record",MissingElementsPivot!$A$3,"Organization",$A13,$H$1,M$2)*M$2),0,GETPIVOTDATA("Record",MissingElementsPivot!$A$3,"Organization",$A13,$H$1,M$2)*M$2)</f>
        <v>88</v>
      </c>
      <c r="N13" s="68">
        <f>IF(ISERR(GETPIVOTDATA("Record",MissingElementsPivot!$A$3,"Organization",$A13,$H$1,N$2)*N$2),0,GETPIVOTDATA("Record",MissingElementsPivot!$A$3,"Organization",$A13,$H$1,N$2)*N$2)</f>
        <v>48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0"/>
        <v>9.9433962264150946</v>
      </c>
      <c r="Y13" s="77">
        <f>(X13-LTER_Mean)/(SQRT(((VLOOKUP(A13,$A$31:$X$53,24,FALSE)^2)/W13)+LTER_STD_Count))</f>
        <v>9.1570912343031363</v>
      </c>
      <c r="AA13" s="86" t="s">
        <v>545</v>
      </c>
      <c r="AB13" s="86">
        <v>53</v>
      </c>
      <c r="AC13" s="87">
        <v>-14.940186280969289</v>
      </c>
      <c r="AD13" s="87">
        <v>-1.5694791252001019</v>
      </c>
      <c r="AE13" s="87">
        <v>22.715837464763503</v>
      </c>
      <c r="AF13" s="87">
        <v>12.957070929370227</v>
      </c>
      <c r="AG13" s="87">
        <v>26.552651203095184</v>
      </c>
      <c r="AH13" s="87">
        <v>3.9697934231595355</v>
      </c>
      <c r="AI13" s="87"/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0</v>
      </c>
      <c r="H14" s="68">
        <f>IF(ISERR(GETPIVOTDATA("Record",MissingElementsPivot!$A$3,"Organization",$A14,$H$1,H$2)*H$2),0,GETPIVOTDATA("Record",MissingElementsPivot!$A$3,"Organization",$A14,$H$1,H$2)*H$2)</f>
        <v>0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48</v>
      </c>
      <c r="O14" s="68">
        <f>IF(ISERR(GETPIVOTDATA("Record",MissingElementsPivot!$A$3,"Organization",$A14,$H$1,O$2)*O$2),0,GETPIVOTDATA("Record",MissingElementsPivot!$A$3,"Organization",$A14,$H$1,O$2)*O$2)</f>
        <v>39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45</v>
      </c>
      <c r="R14" s="68">
        <f>IF(ISERR(GETPIVOTDATA("Record",MissingElementsPivot!$A$3,"Organization",$A14,$H$1,R$2)*R$2),0,GETPIVOTDATA("Record",MissingElementsPivot!$A$3,"Organization",$A14,$H$1,R$2)*R$2)</f>
        <v>208</v>
      </c>
      <c r="S14" s="68">
        <f>IF(ISERR(GETPIVOTDATA("Record",MissingElementsPivot!$A$3,"Organization",$A14,$H$1,S$2)*S$2),0,GETPIVOTDATA("Record",MissingElementsPivot!$A$3,"Organization",$A14,$H$1,S$2)*S$2)</f>
        <v>17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0"/>
        <v>14.875</v>
      </c>
      <c r="Y14" s="77">
        <f>(X14-LTER_Mean)/(SQRT(((VLOOKUP(A14,$A$31:$X$53,24,FALSE)^2)/W14)+LTER_STD_Count))</f>
        <v>18.241062071678918</v>
      </c>
      <c r="AA14" s="86" t="s">
        <v>743</v>
      </c>
      <c r="AB14" s="86">
        <v>24</v>
      </c>
      <c r="AC14" s="87">
        <v>65.74144443075086</v>
      </c>
      <c r="AD14" s="87">
        <v>41.119367735719486</v>
      </c>
      <c r="AE14" s="87">
        <v>4.597776802581838</v>
      </c>
      <c r="AF14" s="87">
        <v>11.990783414233549</v>
      </c>
      <c r="AG14" s="87">
        <v>7.6637926788594877</v>
      </c>
      <c r="AH14" s="87">
        <v>9.4385530447322115</v>
      </c>
      <c r="AI14" s="87"/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0</v>
      </c>
      <c r="D15" s="68">
        <f>IF(ISERR(GETPIVOTDATA("Record",MissingElementsPivot!$A$3,"Organization",$A15,$H$1,D$2)*D$2),0,GETPIVOTDATA("Record",MissingElementsPivot!$A$3,"Organization",$A15,$H$1,D$2)*D$2)</f>
        <v>0</v>
      </c>
      <c r="E15" s="68">
        <f>IF(ISERR(GETPIVOTDATA("Record",MissingElementsPivot!$A$3,"Organization",$A15,$H$1,E$2)*E$2),0,GETPIVOTDATA("Record",MissingElementsPivot!$A$3,"Organization",$A15,$H$1,E$2)*E$2)</f>
        <v>0</v>
      </c>
      <c r="F15" s="68">
        <f>IF(ISERR(GETPIVOTDATA("Record",MissingElementsPivot!$A$3,"Organization",$A15,$H$1,F$2)*F$2),0,GETPIVOTDATA("Record",MissingElementsPivot!$A$3,"Organization",$A15,$H$1,F$2)*F$2)</f>
        <v>4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6</v>
      </c>
      <c r="I15" s="68">
        <f>IF(ISERR(GETPIVOTDATA("Record",MissingElementsPivot!$A$3,"Organization",$A15,$H$1,I$2)*I$2),0,GETPIVOTDATA("Record",MissingElementsPivot!$A$3,"Organization",$A15,$H$1,I$2)*I$2)</f>
        <v>0</v>
      </c>
      <c r="J15" s="68">
        <f>IF(ISERR(GETPIVOTDATA("Record",MissingElementsPivot!$A$3,"Organization",$A15,$H$1,J$2)*J$2),0,GETPIVOTDATA("Record",MissingElementsPivot!$A$3,"Organization",$A15,$H$1,J$2)*J$2)</f>
        <v>8</v>
      </c>
      <c r="K15" s="68">
        <f>IF(ISERR(GETPIVOTDATA("Record",MissingElementsPivot!$A$3,"Organization",$A15,$H$1,K$2)*K$2),0,GETPIVOTDATA("Record",MissingElementsPivot!$A$3,"Organization",$A15,$H$1,K$2)*K$2)</f>
        <v>36</v>
      </c>
      <c r="L15" s="68">
        <f>IF(ISERR(GETPIVOTDATA("Record",MissingElementsPivot!$A$3,"Organization",$A15,$H$1,L$2)*L$2),0,GETPIVOTDATA("Record",MissingElementsPivot!$A$3,"Organization",$A15,$H$1,L$2)*L$2)</f>
        <v>10</v>
      </c>
      <c r="M15" s="68">
        <f>IF(ISERR(GETPIVOTDATA("Record",MissingElementsPivot!$A$3,"Organization",$A15,$H$1,M$2)*M$2),0,GETPIVOTDATA("Record",MissingElementsPivot!$A$3,"Organization",$A15,$H$1,M$2)*M$2)</f>
        <v>11</v>
      </c>
      <c r="N15" s="68">
        <f>IF(ISERR(GETPIVOTDATA("Record",MissingElementsPivot!$A$3,"Organization",$A15,$H$1,N$2)*N$2),0,GETPIVOTDATA("Record",MissingElementsPivot!$A$3,"Organization",$A15,$H$1,N$2)*N$2)</f>
        <v>12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17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0"/>
        <v>8.7692307692307701</v>
      </c>
      <c r="Y15" s="77">
        <f>(X15-LTER_Mean)/(SQRT(((VLOOKUP(A15,$A$31:$X$53,24,FALSE)^2)/W15)+LTER_STD_Count))</f>
        <v>0.83079428708067549</v>
      </c>
      <c r="AA15" s="86" t="s">
        <v>610</v>
      </c>
      <c r="AB15" s="86">
        <v>13</v>
      </c>
      <c r="AC15" s="87">
        <v>1.2748983380925003</v>
      </c>
      <c r="AD15" s="87">
        <v>3.1132863640142099</v>
      </c>
      <c r="AE15" s="87">
        <v>-4.8852571078176714</v>
      </c>
      <c r="AF15" s="87">
        <v>-0.61859417991578214</v>
      </c>
      <c r="AG15" s="87">
        <v>-4.0484746027636929</v>
      </c>
      <c r="AH15" s="87">
        <v>0.25072173050136082</v>
      </c>
      <c r="AI15" s="87"/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0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54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0"/>
        <v>9</v>
      </c>
      <c r="Y16" s="77">
        <f>(X16-LTER_Mean)/(SQRT(((VLOOKUP(A16,$A$31:$X$53,24,FALSE)^2)/W16)+LTER_STD_Count))</f>
        <v>5.8088608964816979</v>
      </c>
      <c r="AA16" s="86" t="s">
        <v>2516</v>
      </c>
      <c r="AB16" s="86">
        <v>6</v>
      </c>
      <c r="AC16" s="87">
        <v>44.884459628692774</v>
      </c>
      <c r="AD16" s="87">
        <v>20.673250354892495</v>
      </c>
      <c r="AE16" s="87">
        <v>-23.577915244211642</v>
      </c>
      <c r="AF16" s="87">
        <v>-8.7357096006456789</v>
      </c>
      <c r="AG16" s="87">
        <v>-13.196826645849693</v>
      </c>
      <c r="AH16" s="87">
        <v>2.1087807887303072</v>
      </c>
      <c r="AI16" s="87"/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0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6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0"/>
        <v>6</v>
      </c>
      <c r="Y17" s="77">
        <f>(X17-LTER_Mean)/(SQRT(((VLOOKUP(A17,$A$31:$X$53,24,FALSE)^2)/W17)+LTER_STD_Count))</f>
        <v>-11.411082472535201</v>
      </c>
      <c r="AA17" s="86" t="s">
        <v>541</v>
      </c>
      <c r="AB17" s="86">
        <v>1</v>
      </c>
      <c r="AC17" s="87">
        <v>3.0146278855092139</v>
      </c>
      <c r="AD17" s="87">
        <v>-55.331346538094614</v>
      </c>
      <c r="AE17" s="87">
        <v>-23.577915244211642</v>
      </c>
      <c r="AF17" s="87">
        <v>1.5174706818022998</v>
      </c>
      <c r="AG17" s="87">
        <v>-13.196826645849693</v>
      </c>
      <c r="AH17" s="87">
        <v>-4.142545660074954</v>
      </c>
      <c r="AI17" s="87"/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1250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0"/>
        <v>5</v>
      </c>
      <c r="Y18" s="71">
        <f>(X18-LTER_Mean)/(SQRT(((VLOOKUP(A18,$A$31:$X$53,24,FALSE)^2)/W18)+LTER_STD_Count))</f>
        <v>-17.151063595540833</v>
      </c>
      <c r="AA18" s="84" t="s">
        <v>4</v>
      </c>
      <c r="AB18" s="84">
        <v>250</v>
      </c>
      <c r="AC18" s="85">
        <v>3.0146278855092139</v>
      </c>
      <c r="AD18" s="85">
        <v>20.673250354892495</v>
      </c>
      <c r="AE18" s="85">
        <v>24.34467671556812</v>
      </c>
      <c r="AF18" s="85">
        <v>1.5174706818022998</v>
      </c>
      <c r="AG18" s="85">
        <v>-52.946304494794575</v>
      </c>
      <c r="AH18" s="85">
        <v>2.1087807887303072</v>
      </c>
      <c r="AI18" s="85"/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564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56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10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114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189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0"/>
        <v>3.7320000000000002</v>
      </c>
      <c r="Y19" s="71">
        <f>(X19-LTER_Mean)/(SQRT(((VLOOKUP(A19,$A$31:$X$53,24,FALSE)^2)/W19)+LTER_STD_Count))</f>
        <v>-21.773274070148247</v>
      </c>
      <c r="AA19" s="84" t="s">
        <v>2809</v>
      </c>
      <c r="AB19" s="84">
        <v>250</v>
      </c>
      <c r="AC19" s="85">
        <v>1.3335177816741848</v>
      </c>
      <c r="AD19" s="85">
        <v>-15.352604351808857</v>
      </c>
      <c r="AE19" s="85">
        <v>-23.577915244211642</v>
      </c>
      <c r="AF19" s="85">
        <v>3.7602204965781412</v>
      </c>
      <c r="AG19" s="85">
        <v>-34.488279986104281</v>
      </c>
      <c r="AH19" s="85">
        <v>-0.20756500213696089</v>
      </c>
      <c r="AI19" s="85"/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11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154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147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216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190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60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8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0"/>
        <v>3.2749999999999999</v>
      </c>
      <c r="Y20" s="71">
        <f>(X20-LTER_Mean)/(SQRT(((VLOOKUP(A20,$A$31:$X$53,24,FALSE)^2)/W20)+LTER_STD_Count))</f>
        <v>-24.269988536630404</v>
      </c>
      <c r="AA20" s="84" t="s">
        <v>282</v>
      </c>
      <c r="AB20" s="84">
        <v>240</v>
      </c>
      <c r="AC20" s="85">
        <v>-3.952431642565061</v>
      </c>
      <c r="AD20" s="85">
        <v>5.3405402240292981</v>
      </c>
      <c r="AE20" s="85">
        <v>-23.577915244211642</v>
      </c>
      <c r="AF20" s="85">
        <v>1.3299130852382861</v>
      </c>
      <c r="AG20" s="85">
        <v>-50.619225524569295</v>
      </c>
      <c r="AH20" s="85">
        <v>-0.57354030079519114</v>
      </c>
      <c r="AI20" s="85"/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0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5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42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28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60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0"/>
        <v>7.5</v>
      </c>
      <c r="Y21" s="71">
        <f>(X21-LTER_Mean)/(SQRT(((VLOOKUP(A21,$A$31:$X$53,24,FALSE)^2)/W21)+LTER_STD_Count))</f>
        <v>-1.0473940357613045</v>
      </c>
      <c r="AA21" s="84" t="s">
        <v>257</v>
      </c>
      <c r="AB21" s="84">
        <v>18</v>
      </c>
      <c r="AC21" s="85">
        <v>-0.4638314432887583</v>
      </c>
      <c r="AD21" s="85">
        <v>-13.027160468222215</v>
      </c>
      <c r="AE21" s="85">
        <v>18.652530551991045</v>
      </c>
      <c r="AF21" s="85">
        <v>8.4207588293465818</v>
      </c>
      <c r="AG21" s="85">
        <v>2.4562450861216614</v>
      </c>
      <c r="AH21" s="85">
        <v>0.76537146082245866</v>
      </c>
      <c r="AI21" s="85"/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0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8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9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0"/>
        <v>2.4285714285714284</v>
      </c>
      <c r="Y22" s="71">
        <f>(X22-LTER_Mean)/(SQRT(((VLOOKUP(A22,$A$31:$X$53,24,FALSE)^2)/W22)+LTER_STD_Count))</f>
        <v>-21.749589736569831</v>
      </c>
      <c r="AA22" s="84" t="s">
        <v>533</v>
      </c>
      <c r="AB22" s="84">
        <v>7</v>
      </c>
      <c r="AC22" s="85">
        <v>-17.920287986082563</v>
      </c>
      <c r="AD22" s="85">
        <v>-0.36944874755785589</v>
      </c>
      <c r="AE22" s="85">
        <v>-23.577915244211642</v>
      </c>
      <c r="AF22" s="85">
        <v>0.37915157179090353</v>
      </c>
      <c r="AG22" s="85">
        <v>-52.946304494794575</v>
      </c>
      <c r="AH22" s="85">
        <v>-0.25320660271315193</v>
      </c>
      <c r="AI22" s="85"/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2</v>
      </c>
      <c r="D23" s="72">
        <f>IF(ISERR(GETPIVOTDATA("Record",MissingElementsPivot!$A$3,"Dialect",$A23,$H$1,D$2)*D$2),0,GETPIVOTDATA("Record",MissingElementsPivot!$A$3,"Dialect",$A23,$H$1,D$2)*D$2)</f>
        <v>8</v>
      </c>
      <c r="E23" s="72">
        <f>IF(ISERR(GETPIVOTDATA("Record",MissingElementsPivot!$A$3,"Dialect",$A23,$H$1,E$2)*E$2),0,GETPIVOTDATA("Record",MissingElementsPivot!$A$3,"Dialect",$A23,$H$1,E$2)*E$2)</f>
        <v>66</v>
      </c>
      <c r="F23" s="72">
        <f>IF(ISERR(GETPIVOTDATA("Record",MissingElementsPivot!$A$3,"Dialect",$A23,$H$1,F$2)*F$2),0,GETPIVOTDATA("Record",MissingElementsPivot!$A$3,"Dialect",$A23,$H$1,F$2)*F$2)</f>
        <v>40</v>
      </c>
      <c r="G23" s="72">
        <f>IF(ISERR(GETPIVOTDATA("Record",MissingElementsPivot!$A$3,"Dialect",$A23,$H$1,G$2)*G$2),0,GETPIVOTDATA("Record",MissingElementsPivot!$A$3,"Dialect",$A23,$H$1,G$2)*G$2)</f>
        <v>40</v>
      </c>
      <c r="H23" s="72">
        <f>IF(ISERR(GETPIVOTDATA("Record",MissingElementsPivot!$A$3,"Dialect",$A23,$H$1,H$2)*H$2),0,GETPIVOTDATA("Record",MissingElementsPivot!$A$3,"Dialect",$A23,$H$1,H$2)*H$2)</f>
        <v>84</v>
      </c>
      <c r="I23" s="72">
        <f>IF(ISERR(GETPIVOTDATA("Record",MissingElementsPivot!$A$3,"Dialect",$A23,$H$1,I$2)*I$2),0,GETPIVOTDATA("Record",MissingElementsPivot!$A$3,"Dialect",$A23,$H$1,I$2)*I$2)</f>
        <v>840</v>
      </c>
      <c r="J23" s="72">
        <f>IF(ISERR(GETPIVOTDATA("Record",MissingElementsPivot!$A$3,"Dialect",$A23,$H$1,J$2)*J$2),0,GETPIVOTDATA("Record",MissingElementsPivot!$A$3,"Dialect",$A23,$H$1,J$2)*J$2)</f>
        <v>368</v>
      </c>
      <c r="K23" s="72">
        <f>IF(ISERR(GETPIVOTDATA("Record",MissingElementsPivot!$A$3,"Dialect",$A23,$H$1,K$2)*K$2),0,GETPIVOTDATA("Record",MissingElementsPivot!$A$3,"Dialect",$A23,$H$1,K$2)*K$2)</f>
        <v>3798</v>
      </c>
      <c r="L23" s="72">
        <f>IF(ISERR(GETPIVOTDATA("Record",MissingElementsPivot!$A$3,"Dialect",$A23,$H$1,L$2)*L$2),0,GETPIVOTDATA("Record",MissingElementsPivot!$A$3,"Dialect",$A23,$H$1,L$2)*L$2)</f>
        <v>2530</v>
      </c>
      <c r="M23" s="72">
        <f>IF(ISERR(GETPIVOTDATA("Record",MissingElementsPivot!$A$3,"Dialect",$A23,$H$1,M$2)*M$2),0,GETPIVOTDATA("Record",MissingElementsPivot!$A$3,"Dialect",$A23,$H$1,M$2)*M$2)</f>
        <v>4906</v>
      </c>
      <c r="N23" s="72">
        <f>IF(ISERR(GETPIVOTDATA("Record",MissingElementsPivot!$A$3,"Dialect",$A23,$H$1,N$2)*N$2),0,GETPIVOTDATA("Record",MissingElementsPivot!$A$3,"Dialect",$A23,$H$1,N$2)*N$2)</f>
        <v>1944</v>
      </c>
      <c r="O23" s="72">
        <f>IF(ISERR(GETPIVOTDATA("Record",MissingElementsPivot!$A$3,"Dialect",$A23,$H$1,O$2)*O$2),0,GETPIVOTDATA("Record",MissingElementsPivot!$A$3,"Dialect",$A23,$H$1,O$2)*O$2)</f>
        <v>1976</v>
      </c>
      <c r="P23" s="72">
        <f>IF(ISERR(GETPIVOTDATA("Record",MissingElementsPivot!$A$3,"Dialect",$A23,$H$1,P$2)*P$2),0,GETPIVOTDATA("Record",MissingElementsPivot!$A$3,"Dialect",$A23,$H$1,P$2)*P$2)</f>
        <v>1358</v>
      </c>
      <c r="Q23" s="72">
        <f>IF(ISERR(GETPIVOTDATA("Record",MissingElementsPivot!$A$3,"Dialect",$A23,$H$1,Q$2)*Q$2),0,GETPIVOTDATA("Record",MissingElementsPivot!$A$3,"Dialect",$A23,$H$1,Q$2)*Q$2)</f>
        <v>1200</v>
      </c>
      <c r="R23" s="72">
        <f>IF(ISERR(GETPIVOTDATA("Record",MissingElementsPivot!$A$3,"Dialect",$A23,$H$1,R$2)*R$2),0,GETPIVOTDATA("Record",MissingElementsPivot!$A$3,"Dialect",$A23,$H$1,R$2)*R$2)</f>
        <v>384</v>
      </c>
      <c r="S23" s="72">
        <f>IF(ISERR(GETPIVOTDATA("Record",MissingElementsPivot!$A$3,"Dialect",$A23,$H$1,S$2)*S$2),0,GETPIVOTDATA("Record",MissingElementsPivot!$A$3,"Dialect",$A23,$H$1,S$2)*S$2)</f>
        <v>187</v>
      </c>
      <c r="T23" s="72">
        <f>IF(ISERR(GETPIVOTDATA("Record",MissingElementsPivot!$A$3,"Dialect",$A23,$H$1,T$2)*T$2),0,GETPIVOTDATA("Record",MissingElementsPivot!$A$3,"Dialect",$A23,$H$1,T$2)*T$2)</f>
        <v>3204</v>
      </c>
      <c r="U23" s="72">
        <f>IF(ISERR(GETPIVOTDATA("Record",MissingElementsPivot!$A$3,"Dialect",$A23,$H$1,U$2)*U$2),0,GETPIVOTDATA("Record",MissingElementsPivot!$A$3,"Dialect",$A23,$H$1,U$2)*U$2)</f>
        <v>19</v>
      </c>
      <c r="V23" s="72">
        <f>IF(ISERR(GETPIVOTDATA("Record",MissingElementsPivot!$A$3,"Dialect",$A23,$H$1,V$2)*V$2),0,GETPIVOTDATA("Record",MissingElementsPivot!$A$3,"Dialect",$A23,$H$1,V$2)*V$2)</f>
        <v>20</v>
      </c>
      <c r="W23" s="72">
        <f>GETPIVOTDATA("Record",MissingElementsPivot!$A$3,"Dialect",$A23)</f>
        <v>2053</v>
      </c>
      <c r="X23" s="73">
        <f t="shared" si="0"/>
        <v>11.190452995616171</v>
      </c>
      <c r="Y23" s="73">
        <f>(X23-LTER_Mean)/(SQRT(((VLOOKUP(A23,$A$31:$X$53,24,FALSE)^2)/W23)+LTER_STD_Count))</f>
        <v>17.091570047863126</v>
      </c>
      <c r="AA23" s="90" t="s">
        <v>542</v>
      </c>
      <c r="AB23" s="90">
        <v>2053</v>
      </c>
      <c r="AC23" s="91">
        <v>26.27498403290631</v>
      </c>
      <c r="AD23" s="91">
        <v>10.996244413520426</v>
      </c>
      <c r="AE23" s="91">
        <v>28.277705587327322</v>
      </c>
      <c r="AF23" s="91">
        <v>4.4485828665502609</v>
      </c>
      <c r="AG23" s="91">
        <v>5.8291885154989682</v>
      </c>
      <c r="AH23" s="91">
        <v>6.0875621429242983</v>
      </c>
      <c r="AI23" s="91"/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</v>
      </c>
      <c r="D24" s="72">
        <f>IF(ISERR(GETPIVOTDATA("Record",MissingElementsPivot!$A$3,"Dialect",$A24,$H$1,D$2)*D$2),0,GETPIVOTDATA("Record",MissingElementsPivot!$A$3,"Dialect",$A24,$H$1,D$2)*D$2)</f>
        <v>162</v>
      </c>
      <c r="E24" s="72">
        <f>IF(ISERR(GETPIVOTDATA("Record",MissingElementsPivot!$A$3,"Dialect",$A24,$H$1,E$2)*E$2),0,GETPIVOTDATA("Record",MissingElementsPivot!$A$3,"Dialect",$A24,$H$1,E$2)*E$2)</f>
        <v>720</v>
      </c>
      <c r="F24" s="72">
        <f>IF(ISERR(GETPIVOTDATA("Record",MissingElementsPivot!$A$3,"Dialect",$A24,$H$1,F$2)*F$2),0,GETPIVOTDATA("Record",MissingElementsPivot!$A$3,"Dialect",$A24,$H$1,F$2)*F$2)</f>
        <v>272</v>
      </c>
      <c r="G24" s="72">
        <f>IF(ISERR(GETPIVOTDATA("Record",MissingElementsPivot!$A$3,"Dialect",$A24,$H$1,G$2)*G$2),0,GETPIVOTDATA("Record",MissingElementsPivot!$A$3,"Dialect",$A24,$H$1,G$2)*G$2)</f>
        <v>1455</v>
      </c>
      <c r="H24" s="72">
        <f>IF(ISERR(GETPIVOTDATA("Record",MissingElementsPivot!$A$3,"Dialect",$A24,$H$1,H$2)*H$2),0,GETPIVOTDATA("Record",MissingElementsPivot!$A$3,"Dialect",$A24,$H$1,H$2)*H$2)</f>
        <v>216</v>
      </c>
      <c r="I24" s="72">
        <f>IF(ISERR(GETPIVOTDATA("Record",MissingElementsPivot!$A$3,"Dialect",$A24,$H$1,I$2)*I$2),0,GETPIVOTDATA("Record",MissingElementsPivot!$A$3,"Dialect",$A24,$H$1,I$2)*I$2)</f>
        <v>217</v>
      </c>
      <c r="J24" s="72">
        <f>IF(ISERR(GETPIVOTDATA("Record",MissingElementsPivot!$A$3,"Dialect",$A24,$H$1,J$2)*J$2),0,GETPIVOTDATA("Record",MissingElementsPivot!$A$3,"Dialect",$A24,$H$1,J$2)*J$2)</f>
        <v>8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60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0"/>
        <v>4.079738562091503</v>
      </c>
      <c r="Y24" s="73">
        <f>(X24-LTER_Mean)/(SQRT(((VLOOKUP(A24,$A$31:$X$53,24,FALSE)^2)/W24)+LTER_STD_Count))</f>
        <v>-21.484187490975092</v>
      </c>
      <c r="AA24" s="90" t="s">
        <v>5</v>
      </c>
      <c r="AB24" s="90">
        <v>765</v>
      </c>
      <c r="AC24" s="91">
        <v>-0.93710529491289529</v>
      </c>
      <c r="AD24" s="91">
        <v>-33.743543965005692</v>
      </c>
      <c r="AE24" s="91">
        <v>-6.6375024039472104</v>
      </c>
      <c r="AF24" s="91">
        <v>-6.8915153025025555</v>
      </c>
      <c r="AG24" s="91">
        <v>-79.090873967428934</v>
      </c>
      <c r="AH24" s="91">
        <v>-8.0441769850563904</v>
      </c>
      <c r="AI24" s="91"/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13</v>
      </c>
      <c r="D25" s="72">
        <f>IF(ISERR(GETPIVOTDATA("Record",MissingElementsPivot!$A$3,$H$1,D$2)*D$2),0,GETPIVOTDATA("Record",MissingElementsPivot!$A$3,$H$1,D$2)*D$2)</f>
        <v>170</v>
      </c>
      <c r="E25" s="72">
        <f>IF(ISERR(GETPIVOTDATA("Record",MissingElementsPivot!$A$3,$H$1,E$2)*E$2),0,GETPIVOTDATA("Record",MissingElementsPivot!$A$3,$H$1,E$2)*E$2)</f>
        <v>786</v>
      </c>
      <c r="F25" s="72">
        <f>IF(ISERR(GETPIVOTDATA("Record",MissingElementsPivot!$A$3,$H$1,F$2)*F$2),0,GETPIVOTDATA("Record",MissingElementsPivot!$A$3,$H$1,F$2)*F$2)</f>
        <v>312</v>
      </c>
      <c r="G25" s="72">
        <f>IF(ISERR(GETPIVOTDATA("Record",MissingElementsPivot!$A$3,$H$1,G$2)*G$2),0,GETPIVOTDATA("Record",MissingElementsPivot!$A$3,$H$1,G$2)*G$2)</f>
        <v>1495</v>
      </c>
      <c r="H25" s="72">
        <f>IF(ISERR(GETPIVOTDATA("Record",MissingElementsPivot!$A$3,$H$1,H$2)*H$2),0,GETPIVOTDATA("Record",MissingElementsPivot!$A$3,$H$1,H$2)*H$2)</f>
        <v>300</v>
      </c>
      <c r="I25" s="72">
        <f>IF(ISERR(GETPIVOTDATA("Record",MissingElementsPivot!$A$3,$H$1,I$2)*I$2),0,GETPIVOTDATA("Record",MissingElementsPivot!$A$3,$H$1,I$2)*I$2)</f>
        <v>1057</v>
      </c>
      <c r="J25" s="72">
        <f>IF(ISERR(GETPIVOTDATA("Record",MissingElementsPivot!$A$3,$H$1,J$2)*J$2),0,GETPIVOTDATA("Record",MissingElementsPivot!$A$3,$H$1,J$2)*J$2)</f>
        <v>376</v>
      </c>
      <c r="K25" s="72">
        <f>IF(ISERR(GETPIVOTDATA("Record",MissingElementsPivot!$A$3,$H$1,K$2)*K$2),0,GETPIVOTDATA("Record",MissingElementsPivot!$A$3,$H$1,K$2)*K$2)</f>
        <v>3798</v>
      </c>
      <c r="L25" s="72">
        <f>IF(ISERR(GETPIVOTDATA("Record",MissingElementsPivot!$A$3,$H$1,L$2)*L$2),0,GETPIVOTDATA("Record",MissingElementsPivot!$A$3,$H$1,L$2)*L$2)</f>
        <v>2590</v>
      </c>
      <c r="M25" s="72">
        <f>IF(ISERR(GETPIVOTDATA("Record",MissingElementsPivot!$A$3,$H$1,M$2)*M$2),0,GETPIVOTDATA("Record",MissingElementsPivot!$A$3,$H$1,M$2)*M$2)</f>
        <v>4906</v>
      </c>
      <c r="N25" s="72">
        <f>IF(ISERR(GETPIVOTDATA("Record",MissingElementsPivot!$A$3,$H$1,N$2)*N$2),0,GETPIVOTDATA("Record",MissingElementsPivot!$A$3,$H$1,N$2)*N$2)</f>
        <v>1944</v>
      </c>
      <c r="O25" s="72">
        <f>IF(ISERR(GETPIVOTDATA("Record",MissingElementsPivot!$A$3,$H$1,O$2)*O$2),0,GETPIVOTDATA("Record",MissingElementsPivot!$A$3,$H$1,O$2)*O$2)</f>
        <v>1976</v>
      </c>
      <c r="P25" s="72">
        <f>IF(ISERR(GETPIVOTDATA("Record",MissingElementsPivot!$A$3,$H$1,P$2)*P$2),0,GETPIVOTDATA("Record",MissingElementsPivot!$A$3,$H$1,P$2)*P$2)</f>
        <v>1358</v>
      </c>
      <c r="Q25" s="72">
        <f>IF(ISERR(GETPIVOTDATA("Record",MissingElementsPivot!$A$3,$H$1,Q$2)*Q$2),0,GETPIVOTDATA("Record",MissingElementsPivot!$A$3,$H$1,Q$2)*Q$2)</f>
        <v>1200</v>
      </c>
      <c r="R25" s="72">
        <f>IF(ISERR(GETPIVOTDATA("Record",MissingElementsPivot!$A$3,$H$1,R$2)*R$2),0,GETPIVOTDATA("Record",MissingElementsPivot!$A$3,$H$1,R$2)*R$2)</f>
        <v>384</v>
      </c>
      <c r="S25" s="72">
        <f>IF(ISERR(GETPIVOTDATA("Record",MissingElementsPivot!$A$3,$H$1,S$2)*S$2),0,GETPIVOTDATA("Record",MissingElementsPivot!$A$3,$H$1,S$2)*S$2)</f>
        <v>187</v>
      </c>
      <c r="T25" s="72">
        <f>IF(ISERR(GETPIVOTDATA("Record",MissingElementsPivot!$A$3,$H$1,T$2)*T$2),0,GETPIVOTDATA("Record",MissingElementsPivot!$A$3,$H$1,T$2)*T$2)</f>
        <v>3204</v>
      </c>
      <c r="U25" s="72">
        <f>IF(ISERR(GETPIVOTDATA("Record",MissingElementsPivot!$A$3,$H$1,U$2)*U$2),0,GETPIVOTDATA("Record",MissingElementsPivot!$A$3,$H$1,U$2)*U$2)</f>
        <v>19</v>
      </c>
      <c r="V25" s="72">
        <f>IF(ISERR(GETPIVOTDATA("Record",MissingElementsPivot!$A$3,$H$1,V$2)*V$2),0,GETPIVOTDATA("Record",MissingElementsPivot!$A$3,$H$1,V$2)*V$2)</f>
        <v>20</v>
      </c>
      <c r="W25" s="72">
        <f>GETPIVOTDATA("Record",MissingElementsPivot!$A$3)</f>
        <v>2818</v>
      </c>
      <c r="X25" s="73">
        <f t="shared" si="0"/>
        <v>9.2601135557132714</v>
      </c>
      <c r="Y25" s="73">
        <f>(X25-LTER_Mean)/(SQRT(((VLOOKUP(A25,$A$31:$X$53,24,FALSE)^2)/W25)+LTER_STD_Count))</f>
        <v>6.647047506664804</v>
      </c>
      <c r="AA25" s="90" t="s">
        <v>3106</v>
      </c>
      <c r="AB25" s="90">
        <v>2818</v>
      </c>
      <c r="AC25" s="91">
        <v>19.932113527208688</v>
      </c>
      <c r="AD25" s="91">
        <v>-0.81872910348135997</v>
      </c>
      <c r="AE25" s="91">
        <v>18.901066492841302</v>
      </c>
      <c r="AF25" s="91">
        <v>1.4971968838814005</v>
      </c>
      <c r="AG25" s="91">
        <v>-17.6475505241755</v>
      </c>
      <c r="AH25" s="91">
        <v>2.1776197817949603</v>
      </c>
      <c r="AI25" s="91"/>
    </row>
    <row r="26" spans="1:35" x14ac:dyDescent="0.2">
      <c r="AA26" t="s">
        <v>542</v>
      </c>
      <c r="AB26" t="s">
        <v>3113</v>
      </c>
      <c r="AC26" s="92">
        <f>COUNTIF(AC3:AC17,"&lt;-2.0")</f>
        <v>1</v>
      </c>
      <c r="AD26" s="92">
        <f t="shared" ref="AD26:AI26" si="1">COUNTIF(AD3:AD17,"&lt;-2.0")</f>
        <v>3</v>
      </c>
      <c r="AE26" s="92">
        <f t="shared" si="1"/>
        <v>5</v>
      </c>
      <c r="AF26" s="92">
        <f t="shared" si="1"/>
        <v>4</v>
      </c>
      <c r="AG26" s="92">
        <f t="shared" si="1"/>
        <v>7</v>
      </c>
      <c r="AH26" s="92">
        <f t="shared" si="1"/>
        <v>1</v>
      </c>
      <c r="AI26" s="92">
        <f t="shared" si="1"/>
        <v>0</v>
      </c>
    </row>
    <row r="27" spans="1:35" x14ac:dyDescent="0.2">
      <c r="AB27" t="s">
        <v>3115</v>
      </c>
      <c r="AC27" s="92">
        <f>COUNTIF(AC3:AC17,"&gt;=-2.0")-COUNTIF(AC3:AC17,"&gt;2.0")-1</f>
        <v>1</v>
      </c>
      <c r="AD27" s="92">
        <f t="shared" ref="AD27:AI27" si="2">COUNTIF(AD3:AD17,"&gt;=-2.0")-COUNTIF(AD3:AD17,"&gt;2.0")-1</f>
        <v>1</v>
      </c>
      <c r="AE27" s="92">
        <f t="shared" si="2"/>
        <v>0</v>
      </c>
      <c r="AF27" s="92">
        <f t="shared" si="2"/>
        <v>4</v>
      </c>
      <c r="AG27" s="92">
        <f t="shared" si="2"/>
        <v>1</v>
      </c>
      <c r="AH27" s="92">
        <f t="shared" si="2"/>
        <v>2</v>
      </c>
      <c r="AI27" s="92">
        <f t="shared" si="2"/>
        <v>-1</v>
      </c>
    </row>
    <row r="28" spans="1:35" x14ac:dyDescent="0.2">
      <c r="AB28" t="s">
        <v>3114</v>
      </c>
      <c r="AC28" s="92">
        <f t="shared" ref="AC28:AI28" si="3">COUNTIF(AC3:AC17,"&gt;2.0")</f>
        <v>12</v>
      </c>
      <c r="AD28" s="92">
        <f t="shared" si="3"/>
        <v>10</v>
      </c>
      <c r="AE28" s="92">
        <f t="shared" si="3"/>
        <v>9</v>
      </c>
      <c r="AF28" s="92">
        <f t="shared" si="3"/>
        <v>6</v>
      </c>
      <c r="AG28" s="92">
        <f t="shared" si="3"/>
        <v>6</v>
      </c>
      <c r="AH28" s="92">
        <f t="shared" si="3"/>
        <v>11</v>
      </c>
      <c r="AI28" s="92">
        <f t="shared" si="3"/>
        <v>0</v>
      </c>
    </row>
    <row r="29" spans="1:35" ht="24" x14ac:dyDescent="0.3">
      <c r="A29" s="101" t="s">
        <v>3109</v>
      </c>
      <c r="B29" s="101"/>
      <c r="C29" s="101"/>
      <c r="D29" s="101"/>
      <c r="E29" s="101"/>
      <c r="F29" s="101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2">
        <f t="shared" ref="AC29:AI29" si="4">COUNTIF(AC18:AC22,"&lt;-2.0")</f>
        <v>2</v>
      </c>
      <c r="AD29" s="92">
        <f t="shared" si="4"/>
        <v>2</v>
      </c>
      <c r="AE29" s="92">
        <f t="shared" si="4"/>
        <v>3</v>
      </c>
      <c r="AF29" s="92">
        <f t="shared" si="4"/>
        <v>0</v>
      </c>
      <c r="AG29" s="92">
        <f t="shared" si="4"/>
        <v>4</v>
      </c>
      <c r="AH29" s="92">
        <f t="shared" si="4"/>
        <v>0</v>
      </c>
      <c r="AI29" s="92">
        <f t="shared" si="4"/>
        <v>0</v>
      </c>
    </row>
    <row r="30" spans="1:35" x14ac:dyDescent="0.2">
      <c r="B30" s="67">
        <f>B2</f>
        <v>0</v>
      </c>
      <c r="C30" s="67">
        <f t="shared" ref="C30:V30" si="5">C2</f>
        <v>1</v>
      </c>
      <c r="D30" s="67">
        <f t="shared" si="5"/>
        <v>2</v>
      </c>
      <c r="E30" s="67">
        <f t="shared" si="5"/>
        <v>3</v>
      </c>
      <c r="F30" s="67">
        <f t="shared" si="5"/>
        <v>4</v>
      </c>
      <c r="G30" s="67">
        <f t="shared" si="5"/>
        <v>5</v>
      </c>
      <c r="H30" s="67">
        <f t="shared" si="5"/>
        <v>6</v>
      </c>
      <c r="I30" s="67">
        <f t="shared" si="5"/>
        <v>7</v>
      </c>
      <c r="J30" s="67">
        <f t="shared" si="5"/>
        <v>8</v>
      </c>
      <c r="K30" s="67">
        <f t="shared" si="5"/>
        <v>9</v>
      </c>
      <c r="L30" s="67">
        <f t="shared" si="5"/>
        <v>10</v>
      </c>
      <c r="M30" s="67">
        <f t="shared" si="5"/>
        <v>11</v>
      </c>
      <c r="N30" s="67">
        <f t="shared" si="5"/>
        <v>12</v>
      </c>
      <c r="O30" s="67">
        <f t="shared" si="5"/>
        <v>13</v>
      </c>
      <c r="P30" s="67">
        <f t="shared" si="5"/>
        <v>14</v>
      </c>
      <c r="Q30" s="67">
        <f t="shared" si="5"/>
        <v>15</v>
      </c>
      <c r="R30" s="67">
        <f t="shared" si="5"/>
        <v>16</v>
      </c>
      <c r="S30" s="67">
        <f t="shared" si="5"/>
        <v>17</v>
      </c>
      <c r="T30" s="67">
        <f t="shared" si="5"/>
        <v>18</v>
      </c>
      <c r="U30" s="67">
        <f t="shared" si="5"/>
        <v>19</v>
      </c>
      <c r="V30" s="67">
        <f t="shared" si="5"/>
        <v>20</v>
      </c>
      <c r="W30" s="60" t="s">
        <v>3105</v>
      </c>
      <c r="X30" s="60" t="s">
        <v>3103</v>
      </c>
      <c r="AB30" t="s">
        <v>3115</v>
      </c>
      <c r="AC30" s="92">
        <f>COUNTIF(AC18:AC22,"&gt;=-2.0")-COUNTIF(AC18:AC22,"&gt;2.0")</f>
        <v>2</v>
      </c>
      <c r="AD30" s="92">
        <f t="shared" ref="AD30:AI30" si="6">COUNTIF(AD18:AD22,"&gt;=-2.0")-COUNTIF(AD18:AD22,"&gt;2.0")</f>
        <v>1</v>
      </c>
      <c r="AE30" s="92">
        <f t="shared" si="6"/>
        <v>0</v>
      </c>
      <c r="AF30" s="92">
        <f t="shared" si="6"/>
        <v>3</v>
      </c>
      <c r="AG30" s="92">
        <f t="shared" si="6"/>
        <v>0</v>
      </c>
      <c r="AH30" s="92">
        <f t="shared" si="6"/>
        <v>4</v>
      </c>
      <c r="AI30" s="92">
        <f t="shared" si="6"/>
        <v>0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0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97.664288000000013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143.42457600000003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547.36316800000009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143.13729600000005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53.568864000000019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35.569296000000016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68.330080000000066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1.0079999999999271E-3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4.0965759999999962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376.47739199999984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108.86572799999998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32.192287999999991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200.96115199999997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36.144143999999997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49.168143999999991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7">
        <f>GETPIVOTDATA("Record",MissingElementsPivot!$A$3,"Organization",A31)</f>
        <v>250</v>
      </c>
      <c r="X31" s="70">
        <f>SQRT(SUM(B31:V31)/W31)</f>
        <v>2.7546063239599228</v>
      </c>
      <c r="AB31" t="s">
        <v>3114</v>
      </c>
      <c r="AC31" s="92">
        <f t="shared" ref="AC31:AI31" si="7">COUNTIF(AC18:AC22,"&gt;2.0")</f>
        <v>1</v>
      </c>
      <c r="AD31" s="92">
        <f t="shared" si="7"/>
        <v>2</v>
      </c>
      <c r="AE31" s="92">
        <f t="shared" si="7"/>
        <v>2</v>
      </c>
      <c r="AF31" s="92">
        <f t="shared" si="7"/>
        <v>2</v>
      </c>
      <c r="AG31" s="92">
        <f t="shared" si="7"/>
        <v>1</v>
      </c>
      <c r="AH31" s="92">
        <f t="shared" si="7"/>
        <v>1</v>
      </c>
      <c r="AI31" s="92">
        <f t="shared" si="7"/>
        <v>0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8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3" si="9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0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0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0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10.061584000000003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108.50443200000005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81.041456000000082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2.4554720000000168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33.593615999999948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50.123759999999969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87.973423999999966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117.22867199999996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46.621583999999991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8"/>
        <v>1.4664296778229771</v>
      </c>
    </row>
    <row r="34" spans="1:28" x14ac:dyDescent="0.2">
      <c r="A34" s="63" t="str">
        <f t="shared" si="9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0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0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0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2.2762747138397814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18.596627861602471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3.6069361342351689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8"/>
        <v>0.31417992783618576</v>
      </c>
      <c r="AA34" s="83" t="s">
        <v>3104</v>
      </c>
      <c r="AB34" s="83" t="s">
        <v>3117</v>
      </c>
    </row>
    <row r="35" spans="1:28" x14ac:dyDescent="0.2">
      <c r="A35" s="63" t="str">
        <f t="shared" si="9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0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0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0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0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0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21.07813601271943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257.91899555803235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174.55785212017892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86.073628481043741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13.975642937927171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6.353783867953922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45.655427887688731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330.76144503270018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46.482584536707712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38.876919798718227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41.074087429723491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54.891901194905678</v>
      </c>
      <c r="W35" s="68">
        <f>GETPIVOTDATA("Record",MissingElementsPivot!$A$3,"Organization",A35)</f>
        <v>247</v>
      </c>
      <c r="X35" s="69">
        <f t="shared" si="8"/>
        <v>2.1272289142631844</v>
      </c>
      <c r="AA35" s="83" t="s">
        <v>2775</v>
      </c>
      <c r="AB35" s="95">
        <v>1</v>
      </c>
    </row>
    <row r="36" spans="1:28" x14ac:dyDescent="0.2">
      <c r="A36" s="63" t="str">
        <f t="shared" si="9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8"/>
        <v>0</v>
      </c>
      <c r="AA36" s="83" t="s">
        <v>2776</v>
      </c>
      <c r="AB36" s="95">
        <v>1</v>
      </c>
    </row>
    <row r="37" spans="1:28" x14ac:dyDescent="0.2">
      <c r="A37" s="63" t="str">
        <f t="shared" si="9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0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0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0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0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0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126.63326042525728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60.434149664742371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161.78450285058625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171.20671232385527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81.055505754957153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15.687188497256983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4.4462691383699671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7.5900892825128183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115.20854100182866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43.854853167915664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85.896769335580331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101.38477535946072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60.565886191688477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8"/>
        <v>2.490398932756662</v>
      </c>
      <c r="AA37" s="83" t="s">
        <v>2778</v>
      </c>
      <c r="AB37" s="95">
        <v>0</v>
      </c>
    </row>
    <row r="38" spans="1:28" x14ac:dyDescent="0.2">
      <c r="A38" s="98" t="str">
        <f t="shared" si="9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0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0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0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0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65.560918273645498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46.159191919191855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2.2332415059686438E-2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52.365656565656643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42.939797979798008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8.8551331496786094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9">
        <f>GETPIVOTDATA("Record",MissingElementsPivot!$A$3,"Organization",A38)</f>
        <v>165</v>
      </c>
      <c r="X38" s="69">
        <f t="shared" si="8"/>
        <v>1.1438982533240269</v>
      </c>
      <c r="AA38" s="83" t="s">
        <v>2777</v>
      </c>
      <c r="AB38" s="95">
        <v>1</v>
      </c>
    </row>
    <row r="39" spans="1:28" x14ac:dyDescent="0.2">
      <c r="A39" s="63" t="str">
        <f t="shared" si="9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0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0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0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25.970036192239785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60.399124652806989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112.36242740510056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216.516118171871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8"/>
        <v>1.951822734144447</v>
      </c>
      <c r="AA39" s="83" t="s">
        <v>2779</v>
      </c>
      <c r="AB39" s="95">
        <v>1</v>
      </c>
    </row>
    <row r="40" spans="1:28" x14ac:dyDescent="0.2">
      <c r="A40" s="63" t="str">
        <f t="shared" si="9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0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71.970012494793892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1.4110787172011721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3.6084964598084088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46.220741357767579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85.526863806747173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68.416493127863376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45.907538525614321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8"/>
        <v>1.8156384846765983</v>
      </c>
      <c r="AA40" s="83" t="s">
        <v>3090</v>
      </c>
      <c r="AB40" s="95">
        <v>4</v>
      </c>
    </row>
    <row r="41" spans="1:28" x14ac:dyDescent="0.2">
      <c r="A41" s="63" t="str">
        <f t="shared" si="9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0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16.909932360270567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7.0487718049127221E-2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8.9312922748308967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16.918476326094691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8"/>
        <v>0.89895315091106376</v>
      </c>
      <c r="AA41" s="83" t="s">
        <v>3091</v>
      </c>
      <c r="AB41" s="95">
        <v>0</v>
      </c>
    </row>
    <row r="42" spans="1:28" x14ac:dyDescent="0.2">
      <c r="A42" s="63" t="str">
        <f t="shared" si="9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0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33.0625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10.546875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4.6875E-2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16.453125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4.515625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8"/>
        <v>1.6409473889596013</v>
      </c>
    </row>
    <row r="43" spans="1:28" x14ac:dyDescent="0.2">
      <c r="A43" s="63" t="str">
        <f t="shared" si="9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0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0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22.745562130177522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28.414201183431967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7.6686390532544424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0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0.59171597633136219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0.21301775147928842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1.514792899408282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4.9763313609467419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10.437869822485203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67.745562130177504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8"/>
        <v>3.3317550504165716</v>
      </c>
    </row>
    <row r="44" spans="1:28" x14ac:dyDescent="0.2">
      <c r="A44" s="63" t="str">
        <f t="shared" si="9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8"/>
        <v>0</v>
      </c>
    </row>
    <row r="45" spans="1:28" x14ac:dyDescent="0.2">
      <c r="A45" s="63" t="str">
        <f t="shared" si="9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8"/>
        <v>0</v>
      </c>
    </row>
    <row r="46" spans="1:28" x14ac:dyDescent="0.2">
      <c r="A46" s="96" t="str">
        <f t="shared" si="9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8"/>
        <v>0</v>
      </c>
    </row>
    <row r="47" spans="1:28" x14ac:dyDescent="0.2">
      <c r="A47" s="96" t="str">
        <f t="shared" si="9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IF(ISERR(((C$30-VLOOKUP($A47,$A$3:$X$25,24,FALSE))^2)*GETPIVOTDATA("Record",MissingElementsPivot!$A$3,"Organization",$A47,$H$1,C$30)),0,((C$30-VLOOKUP($A47,$A$3:$X$25,24,FALSE))^2)*GETPIVOTDATA("Record",MissingElementsPivot!$A$3,"Organization",$A47,$H$1,C$30))</f>
        <v>0</v>
      </c>
      <c r="D47" s="78">
        <f>IF(ISERR(((D$30-VLOOKUP($A47,$A$3:$X$25,24,FALSE))^2)*GETPIVOTDATA("Record",MissingElementsPivot!$A$3,"Organization",$A47,$H$1,D$30)),0,((D$30-VLOOKUP($A47,$A$3:$X$25,24,FALSE))^2)*GETPIVOTDATA("Record",MissingElementsPivot!$A$3,"Organization",$A47,$H$1,D$30))</f>
        <v>0</v>
      </c>
      <c r="E47" s="78">
        <f>IF(ISERR(((E$30-VLOOKUP($A47,$A$3:$X$25,24,FALSE))^2)*GETPIVOTDATA("Record",MissingElementsPivot!$A$3,"Organization",$A47,$H$1,E$30)),0,((E$30-VLOOKUP($A47,$A$3:$X$25,24,FALSE))^2)*GETPIVOTDATA("Record",MissingElementsPivot!$A$3,"Organization",$A47,$H$1,E$30))</f>
        <v>100.73491200000005</v>
      </c>
      <c r="F47" s="78">
        <f>IF(ISERR(((F$30-VLOOKUP($A47,$A$3:$X$25,24,FALSE))^2)*GETPIVOTDATA("Record",MissingElementsPivot!$A$3,"Organization",$A47,$H$1,F$30)),0,((F$30-VLOOKUP($A47,$A$3:$X$25,24,FALSE))^2)*GETPIVOTDATA("Record",MissingElementsPivot!$A$3,"Organization",$A47,$H$1,F$30))</f>
        <v>1.0055359999999984</v>
      </c>
      <c r="G47" s="78">
        <f>IF(ISERR(((G$30-VLOOKUP($A47,$A$3:$X$25,24,FALSE))^2)*GETPIVOTDATA("Record",MissingElementsPivot!$A$3,"Organization",$A47,$H$1,G$30)),0,((G$30-VLOOKUP($A47,$A$3:$X$25,24,FALSE))^2)*GETPIVOTDATA("Record",MissingElementsPivot!$A$3,"Organization",$A47,$H$1,G$30))</f>
        <v>3.215647999999999</v>
      </c>
      <c r="H47" s="78">
        <f>IF(ISERR(((H$30-VLOOKUP($A47,$A$3:$X$25,24,FALSE))^2)*GETPIVOTDATA("Record",MissingElementsPivot!$A$3,"Organization",$A47,$H$1,H$30)),0,((H$30-VLOOKUP($A47,$A$3:$X$25,24,FALSE))^2)*GETPIVOTDATA("Record",MissingElementsPivot!$A$3,"Organization",$A47,$H$1,H$30))</f>
        <v>97.732655999999992</v>
      </c>
      <c r="I47" s="78">
        <f>IF(ISERR(((I$30-VLOOKUP($A47,$A$3:$X$25,24,FALSE))^2)*GETPIVOTDATA("Record",MissingElementsPivot!$A$3,"Organization",$A47,$H$1,I$30)),0,((I$30-VLOOKUP($A47,$A$3:$X$25,24,FALSE))^2)*GETPIVOTDATA("Record",MissingElementsPivot!$A$3,"Organization",$A47,$H$1,I$30))</f>
        <v>288.35524799999996</v>
      </c>
      <c r="J47" s="78">
        <f>IF(ISERR(((J$30-VLOOKUP($A47,$A$3:$X$25,24,FALSE))^2)*GETPIVOTDATA("Record",MissingElementsPivot!$A$3,"Organization",$A47,$H$1,J$30)),0,((J$30-VLOOKUP($A47,$A$3:$X$25,24,FALSE))^2)*GETPIVOTDATA("Record",MissingElementsPivot!$A$3,"Organization",$A47,$H$1,J$30))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IF(ISERR(((K$30-VLOOKUP($A47,$A$3:$X$25,24,FALSE))^2)*GETPIVOTDATA("Record",MissingElementsPivot!$A$3,"Organization",$A47,$H$1,K$30)),0,((K$30-VLOOKUP($A47,$A$3:$X$25,24,FALSE))^2)*GETPIVOTDATA("Record",MissingElementsPivot!$A$3,"Organization",$A47,$H$1,K$30))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IF(ISERR(((L$30-VLOOKUP($A47,$A$3:$X$25,24,FALSE))^2)*GETPIVOTDATA("Record",MissingElementsPivot!$A$3,"Organization",$A47,$H$1,L$30)),0,((L$30-VLOOKUP($A47,$A$3:$X$25,24,FALSE))^2)*GETPIVOTDATA("Record",MissingElementsPivot!$A$3,"Organization",$A47,$H$1,L$30))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IF(ISERR(((M$30-VLOOKUP($A47,$A$3:$X$25,24,FALSE))^2)*GETPIVOTDATA("Record",MissingElementsPivot!$A$3,"Organization",$A47,$H$1,M$30)),0,((M$30-VLOOKUP($A47,$A$3:$X$25,24,FALSE))^2)*GETPIVOTDATA("Record",MissingElementsPivot!$A$3,"Organization",$A47,$H$1,M$30))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IF(ISERR(((N$30-VLOOKUP($A47,$A$3:$X$25,24,FALSE))^2)*GETPIVOTDATA("Record",MissingElementsPivot!$A$3,"Organization",$A47,$H$1,N$30)),0,((N$30-VLOOKUP($A47,$A$3:$X$25,24,FALSE))^2)*GETPIVOTDATA("Record",MissingElementsPivot!$A$3,"Organization",$A47,$H$1,N$30))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IF(ISERR(((O$30-VLOOKUP($A47,$A$3:$X$25,24,FALSE))^2)*GETPIVOTDATA("Record",MissingElementsPivot!$A$3,"Organization",$A47,$H$1,O$30)),0,((O$30-VLOOKUP($A47,$A$3:$X$25,24,FALSE))^2)*GETPIVOTDATA("Record",MissingElementsPivot!$A$3,"Organization",$A47,$H$1,O$30))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IF(ISERR(((P$30-VLOOKUP($A47,$A$3:$X$25,24,FALSE))^2)*GETPIVOTDATA("Record",MissingElementsPivot!$A$3,"Organization",$A47,$H$1,P$30)),0,((P$30-VLOOKUP($A47,$A$3:$X$25,24,FALSE))^2)*GETPIVOTDATA("Record",MissingElementsPivot!$A$3,"Organization",$A47,$H$1,P$30))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IF(ISERR(((Q$30-VLOOKUP($A47,$A$3:$X$25,24,FALSE))^2)*GETPIVOTDATA("Record",MissingElementsPivot!$A$3,"Organization",$A47,$H$1,Q$30)),0,((Q$30-VLOOKUP($A47,$A$3:$X$25,24,FALSE))^2)*GETPIVOTDATA("Record",MissingElementsPivot!$A$3,"Organization",$A47,$H$1,Q$30))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IF(ISERR(((R$30-VLOOKUP($A47,$A$3:$X$25,24,FALSE))^2)*GETPIVOTDATA("Record",MissingElementsPivot!$A$3,"Organization",$A47,$H$1,R$30)),0,((R$30-VLOOKUP($A47,$A$3:$X$25,24,FALSE))^2)*GETPIVOTDATA("Record",MissingElementsPivot!$A$3,"Organization",$A47,$H$1,R$30))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IF(ISERR(((S$30-VLOOKUP($A47,$A$3:$X$25,24,FALSE))^2)*GETPIVOTDATA("Record",MissingElementsPivot!$A$3,"Organization",$A47,$H$1,S$30)),0,((S$30-VLOOKUP($A47,$A$3:$X$25,24,FALSE))^2)*GETPIVOTDATA("Record",MissingElementsPivot!$A$3,"Organization",$A47,$H$1,S$30))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IF(ISERR(((T$30-VLOOKUP($A47,$A$3:$X$25,24,FALSE))^2)*GETPIVOTDATA("Record",MissingElementsPivot!$A$3,"Organization",$A47,$H$1,T$30)),0,((T$30-VLOOKUP($A47,$A$3:$X$25,24,FALSE))^2)*GETPIVOTDATA("Record",MissingElementsPivot!$A$3,"Organization",$A47,$H$1,T$30))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IF(ISERR(((U$30-VLOOKUP($A47,$A$3:$X$25,24,FALSE))^2)*GETPIVOTDATA("Record",MissingElementsPivot!$A$3,"Organization",$A47,$H$1,U$30)),0,((U$30-VLOOKUP($A47,$A$3:$X$25,24,FALSE))^2)*GETPIVOTDATA("Record",MissingElementsPivot!$A$3,"Organization",$A47,$H$1,U$30))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IF(ISERR(((V$30-VLOOKUP($A47,$A$3:$X$25,24,FALSE))^2)*GETPIVOTDATA("Record",MissingElementsPivot!$A$3,"Organization",$A47,$H$1,V$30)),0,((V$30-VLOOKUP($A47,$A$3:$X$25,24,FALSE))^2)*GETPIVOTDATA("Record",MissingElementsPivot!$A$3,"Organization",$A47,$H$1,V$30))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8"/>
        <v>1.4014906350026033</v>
      </c>
    </row>
    <row r="48" spans="1:28" x14ac:dyDescent="0.2">
      <c r="A48" s="96" t="str">
        <f t="shared" si="9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0</v>
      </c>
      <c r="C48" s="78">
        <f>IF(ISERR(((C$30-VLOOKUP($A48,$A$3:$X$25,24,FALSE))^2)*GETPIVOTDATA("Record",MissingElementsPivot!$A$3,"Organization",$A48,$H$1,C$30)),0,((C$30-VLOOKUP($A48,$A$3:$X$25,24,FALSE))^2)*GETPIVOTDATA("Record",MissingElementsPivot!$A$3,"Organization",$A48,$H$1,C$30))</f>
        <v>56.931874999999991</v>
      </c>
      <c r="D48" s="78">
        <f>IF(ISERR(((D$30-VLOOKUP($A48,$A$3:$X$25,24,FALSE))^2)*GETPIVOTDATA("Record",MissingElementsPivot!$A$3,"Organization",$A48,$H$1,D$30)),0,((D$30-VLOOKUP($A48,$A$3:$X$25,24,FALSE))^2)*GETPIVOTDATA("Record",MissingElementsPivot!$A$3,"Organization",$A48,$H$1,D$30))</f>
        <v>125.17312499999998</v>
      </c>
      <c r="E48" s="78">
        <f>IF(ISERR(((E$30-VLOOKUP($A48,$A$3:$X$25,24,FALSE))^2)*GETPIVOTDATA("Record",MissingElementsPivot!$A$3,"Organization",$A48,$H$1,E$30)),0,((E$30-VLOOKUP($A48,$A$3:$X$25,24,FALSE))^2)*GETPIVOTDATA("Record",MissingElementsPivot!$A$3,"Organization",$A48,$H$1,E$30))</f>
        <v>3.7056249999999977</v>
      </c>
      <c r="F48" s="78">
        <f>IF(ISERR(((F$30-VLOOKUP($A48,$A$3:$X$25,24,FALSE))^2)*GETPIVOTDATA("Record",MissingElementsPivot!$A$3,"Organization",$A48,$H$1,F$30)),0,((F$30-VLOOKUP($A48,$A$3:$X$25,24,FALSE))^2)*GETPIVOTDATA("Record",MissingElementsPivot!$A$3,"Organization",$A48,$H$1,F$30))</f>
        <v>28.383750000000006</v>
      </c>
      <c r="G48" s="78">
        <f>IF(ISERR(((G$30-VLOOKUP($A48,$A$3:$X$25,24,FALSE))^2)*GETPIVOTDATA("Record",MissingElementsPivot!$A$3,"Organization",$A48,$H$1,G$30)),0,((G$30-VLOOKUP($A48,$A$3:$X$25,24,FALSE))^2)*GETPIVOTDATA("Record",MissingElementsPivot!$A$3,"Organization",$A48,$H$1,G$30))</f>
        <v>113.07375000000002</v>
      </c>
      <c r="H48" s="78">
        <f>IF(ISERR(((H$30-VLOOKUP($A48,$A$3:$X$25,24,FALSE))^2)*GETPIVOTDATA("Record",MissingElementsPivot!$A$3,"Organization",$A48,$H$1,H$30)),0,((H$30-VLOOKUP($A48,$A$3:$X$25,24,FALSE))^2)*GETPIVOTDATA("Record",MissingElementsPivot!$A$3,"Organization",$A48,$H$1,H$30))</f>
        <v>74.256249999999994</v>
      </c>
      <c r="I48" s="78">
        <f>IF(ISERR(((I$30-VLOOKUP($A48,$A$3:$X$25,24,FALSE))^2)*GETPIVOTDATA("Record",MissingElementsPivot!$A$3,"Organization",$A48,$H$1,I$30)),0,((I$30-VLOOKUP($A48,$A$3:$X$25,24,FALSE))^2)*GETPIVOTDATA("Record",MissingElementsPivot!$A$3,"Organization",$A48,$H$1,I$30))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IF(ISERR(((J$30-VLOOKUP($A48,$A$3:$X$25,24,FALSE))^2)*GETPIVOTDATA("Record",MissingElementsPivot!$A$3,"Organization",$A48,$H$1,J$30)),0,((J$30-VLOOKUP($A48,$A$3:$X$25,24,FALSE))^2)*GETPIVOTDATA("Record",MissingElementsPivot!$A$3,"Organization",$A48,$H$1,J$30))</f>
        <v>22.325624999999995</v>
      </c>
      <c r="K48" s="78">
        <f>IF(ISERR(((K$30-VLOOKUP($A48,$A$3:$X$25,24,FALSE))^2)*GETPIVOTDATA("Record",MissingElementsPivot!$A$3,"Organization",$A48,$H$1,K$30)),0,((K$30-VLOOKUP($A48,$A$3:$X$25,24,FALSE))^2)*GETPIVOTDATA("Record",MissingElementsPivot!$A$3,"Organization",$A48,$H$1,K$30))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IF(ISERR(((L$30-VLOOKUP($A48,$A$3:$X$25,24,FALSE))^2)*GETPIVOTDATA("Record",MissingElementsPivot!$A$3,"Organization",$A48,$H$1,L$30)),0,((L$30-VLOOKUP($A48,$A$3:$X$25,24,FALSE))^2)*GETPIVOTDATA("Record",MissingElementsPivot!$A$3,"Organization",$A48,$H$1,L$30))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IF(ISERR(((M$30-VLOOKUP($A48,$A$3:$X$25,24,FALSE))^2)*GETPIVOTDATA("Record",MissingElementsPivot!$A$3,"Organization",$A48,$H$1,M$30)),0,((M$30-VLOOKUP($A48,$A$3:$X$25,24,FALSE))^2)*GETPIVOTDATA("Record",MissingElementsPivot!$A$3,"Organization",$A48,$H$1,M$30))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IF(ISERR(((N$30-VLOOKUP($A48,$A$3:$X$25,24,FALSE))^2)*GETPIVOTDATA("Record",MissingElementsPivot!$A$3,"Organization",$A48,$H$1,N$30)),0,((N$30-VLOOKUP($A48,$A$3:$X$25,24,FALSE))^2)*GETPIVOTDATA("Record",MissingElementsPivot!$A$3,"Organization",$A48,$H$1,N$30))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IF(ISERR(((O$30-VLOOKUP($A48,$A$3:$X$25,24,FALSE))^2)*GETPIVOTDATA("Record",MissingElementsPivot!$A$3,"Organization",$A48,$H$1,O$30)),0,((O$30-VLOOKUP($A48,$A$3:$X$25,24,FALSE))^2)*GETPIVOTDATA("Record",MissingElementsPivot!$A$3,"Organization",$A48,$H$1,O$30))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IF(ISERR(((P$30-VLOOKUP($A48,$A$3:$X$25,24,FALSE))^2)*GETPIVOTDATA("Record",MissingElementsPivot!$A$3,"Organization",$A48,$H$1,P$30)),0,((P$30-VLOOKUP($A48,$A$3:$X$25,24,FALSE))^2)*GETPIVOTDATA("Record",MissingElementsPivot!$A$3,"Organization",$A48,$H$1,P$30))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IF(ISERR(((Q$30-VLOOKUP($A48,$A$3:$X$25,24,FALSE))^2)*GETPIVOTDATA("Record",MissingElementsPivot!$A$3,"Organization",$A48,$H$1,Q$30)),0,((Q$30-VLOOKUP($A48,$A$3:$X$25,24,FALSE))^2)*GETPIVOTDATA("Record",MissingElementsPivot!$A$3,"Organization",$A48,$H$1,Q$30))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IF(ISERR(((R$30-VLOOKUP($A48,$A$3:$X$25,24,FALSE))^2)*GETPIVOTDATA("Record",MissingElementsPivot!$A$3,"Organization",$A48,$H$1,R$30)),0,((R$30-VLOOKUP($A48,$A$3:$X$25,24,FALSE))^2)*GETPIVOTDATA("Record",MissingElementsPivot!$A$3,"Organization",$A48,$H$1,R$30))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IF(ISERR(((S$30-VLOOKUP($A48,$A$3:$X$25,24,FALSE))^2)*GETPIVOTDATA("Record",MissingElementsPivot!$A$3,"Organization",$A48,$H$1,S$30)),0,((S$30-VLOOKUP($A48,$A$3:$X$25,24,FALSE))^2)*GETPIVOTDATA("Record",MissingElementsPivot!$A$3,"Organization",$A48,$H$1,S$30))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IF(ISERR(((T$30-VLOOKUP($A48,$A$3:$X$25,24,FALSE))^2)*GETPIVOTDATA("Record",MissingElementsPivot!$A$3,"Organization",$A48,$H$1,T$30)),0,((T$30-VLOOKUP($A48,$A$3:$X$25,24,FALSE))^2)*GETPIVOTDATA("Record",MissingElementsPivot!$A$3,"Organization",$A48,$H$1,T$30))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IF(ISERR(((U$30-VLOOKUP($A48,$A$3:$X$25,24,FALSE))^2)*GETPIVOTDATA("Record",MissingElementsPivot!$A$3,"Organization",$A48,$H$1,U$30)),0,((U$30-VLOOKUP($A48,$A$3:$X$25,24,FALSE))^2)*GETPIVOTDATA("Record",MissingElementsPivot!$A$3,"Organization",$A48,$H$1,U$30))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IF(ISERR(((V$30-VLOOKUP($A48,$A$3:$X$25,24,FALSE))^2)*GETPIVOTDATA("Record",MissingElementsPivot!$A$3,"Organization",$A48,$H$1,V$30)),0,((V$30-VLOOKUP($A48,$A$3:$X$25,24,FALSE))^2)*GETPIVOTDATA("Record",MissingElementsPivot!$A$3,"Organization",$A48,$H$1,V$30))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8"/>
        <v>1.3289250041543603</v>
      </c>
    </row>
    <row r="49" spans="1:24" x14ac:dyDescent="0.2">
      <c r="A49" s="96" t="str">
        <f t="shared" si="9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0</v>
      </c>
      <c r="C49" s="78">
        <f>IF(ISERR(((C$30-VLOOKUP($A49,$A$3:$X$25,24,FALSE))^2)*GETPIVOTDATA("Record",MissingElementsPivot!$A$3,"Organization",$A49,$H$1,C$30)),0,((C$30-VLOOKUP($A49,$A$3:$X$25,24,FALSE))^2)*GETPIVOTDATA("Record",MissingElementsPivot!$A$3,"Organization",$A49,$H$1,C$30))</f>
        <v>0</v>
      </c>
      <c r="D49" s="78">
        <f>IF(ISERR(((D$30-VLOOKUP($A49,$A$3:$X$25,24,FALSE))^2)*GETPIVOTDATA("Record",MissingElementsPivot!$A$3,"Organization",$A49,$H$1,D$30)),0,((D$30-VLOOKUP($A49,$A$3:$X$25,24,FALSE))^2)*GETPIVOTDATA("Record",MissingElementsPivot!$A$3,"Organization",$A49,$H$1,D$30))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IF(ISERR(((E$30-VLOOKUP($A49,$A$3:$X$25,24,FALSE))^2)*GETPIVOTDATA("Record",MissingElementsPivot!$A$3,"Organization",$A49,$H$1,E$30)),0,((E$30-VLOOKUP($A49,$A$3:$X$25,24,FALSE))^2)*GETPIVOTDATA("Record",MissingElementsPivot!$A$3,"Organization",$A49,$H$1,E$30))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IF(ISERR(((F$30-VLOOKUP($A49,$A$3:$X$25,24,FALSE))^2)*GETPIVOTDATA("Record",MissingElementsPivot!$A$3,"Organization",$A49,$H$1,F$30)),0,((F$30-VLOOKUP($A49,$A$3:$X$25,24,FALSE))^2)*GETPIVOTDATA("Record",MissingElementsPivot!$A$3,"Organization",$A49,$H$1,F$30))</f>
        <v>0</v>
      </c>
      <c r="G49" s="78">
        <f>IF(ISERR(((G$30-VLOOKUP($A49,$A$3:$X$25,24,FALSE))^2)*GETPIVOTDATA("Record",MissingElementsPivot!$A$3,"Organization",$A49,$H$1,G$30)),0,((G$30-VLOOKUP($A49,$A$3:$X$25,24,FALSE))^2)*GETPIVOTDATA("Record",MissingElementsPivot!$A$3,"Organization",$A49,$H$1,G$30))</f>
        <v>6.25</v>
      </c>
      <c r="H49" s="78">
        <f>IF(ISERR(((H$30-VLOOKUP($A49,$A$3:$X$25,24,FALSE))^2)*GETPIVOTDATA("Record",MissingElementsPivot!$A$3,"Organization",$A49,$H$1,H$30)),0,((H$30-VLOOKUP($A49,$A$3:$X$25,24,FALSE))^2)*GETPIVOTDATA("Record",MissingElementsPivot!$A$3,"Organization",$A49,$H$1,H$30))</f>
        <v>15.75</v>
      </c>
      <c r="I49" s="78">
        <f>IF(ISERR(((I$30-VLOOKUP($A49,$A$3:$X$25,24,FALSE))^2)*GETPIVOTDATA("Record",MissingElementsPivot!$A$3,"Organization",$A49,$H$1,I$30)),0,((I$30-VLOOKUP($A49,$A$3:$X$25,24,FALSE))^2)*GETPIVOTDATA("Record",MissingElementsPivot!$A$3,"Organization",$A49,$H$1,I$30))</f>
        <v>1</v>
      </c>
      <c r="J49" s="78">
        <f>IF(ISERR(((J$30-VLOOKUP($A49,$A$3:$X$25,24,FALSE))^2)*GETPIVOTDATA("Record",MissingElementsPivot!$A$3,"Organization",$A49,$H$1,J$30)),0,((J$30-VLOOKUP($A49,$A$3:$X$25,24,FALSE))^2)*GETPIVOTDATA("Record",MissingElementsPivot!$A$3,"Organization",$A49,$H$1,J$30))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IF(ISERR(((K$30-VLOOKUP($A49,$A$3:$X$25,24,FALSE))^2)*GETPIVOTDATA("Record",MissingElementsPivot!$A$3,"Organization",$A49,$H$1,K$30)),0,((K$30-VLOOKUP($A49,$A$3:$X$25,24,FALSE))^2)*GETPIVOTDATA("Record",MissingElementsPivot!$A$3,"Organization",$A49,$H$1,K$30))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IF(ISERR(((L$30-VLOOKUP($A49,$A$3:$X$25,24,FALSE))^2)*GETPIVOTDATA("Record",MissingElementsPivot!$A$3,"Organization",$A49,$H$1,L$30)),0,((L$30-VLOOKUP($A49,$A$3:$X$25,24,FALSE))^2)*GETPIVOTDATA("Record",MissingElementsPivot!$A$3,"Organization",$A49,$H$1,L$30))</f>
        <v>37.5</v>
      </c>
      <c r="M49" s="78">
        <f>IF(ISERR(((M$30-VLOOKUP($A49,$A$3:$X$25,24,FALSE))^2)*GETPIVOTDATA("Record",MissingElementsPivot!$A$3,"Organization",$A49,$H$1,M$30)),0,((M$30-VLOOKUP($A49,$A$3:$X$25,24,FALSE))^2)*GETPIVOTDATA("Record",MissingElementsPivot!$A$3,"Organization",$A49,$H$1,M$30))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IF(ISERR(((N$30-VLOOKUP($A49,$A$3:$X$25,24,FALSE))^2)*GETPIVOTDATA("Record",MissingElementsPivot!$A$3,"Organization",$A49,$H$1,N$30)),0,((N$30-VLOOKUP($A49,$A$3:$X$25,24,FALSE))^2)*GETPIVOTDATA("Record",MissingElementsPivot!$A$3,"Organization",$A49,$H$1,N$30))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IF(ISERR(((O$30-VLOOKUP($A49,$A$3:$X$25,24,FALSE))^2)*GETPIVOTDATA("Record",MissingElementsPivot!$A$3,"Organization",$A49,$H$1,O$30)),0,((O$30-VLOOKUP($A49,$A$3:$X$25,24,FALSE))^2)*GETPIVOTDATA("Record",MissingElementsPivot!$A$3,"Organization",$A49,$H$1,O$30))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IF(ISERR(((P$30-VLOOKUP($A49,$A$3:$X$25,24,FALSE))^2)*GETPIVOTDATA("Record",MissingElementsPivot!$A$3,"Organization",$A49,$H$1,P$30)),0,((P$30-VLOOKUP($A49,$A$3:$X$25,24,FALSE))^2)*GETPIVOTDATA("Record",MissingElementsPivot!$A$3,"Organization",$A49,$H$1,P$30))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IF(ISERR(((Q$30-VLOOKUP($A49,$A$3:$X$25,24,FALSE))^2)*GETPIVOTDATA("Record",MissingElementsPivot!$A$3,"Organization",$A49,$H$1,Q$30)),0,((Q$30-VLOOKUP($A49,$A$3:$X$25,24,FALSE))^2)*GETPIVOTDATA("Record",MissingElementsPivot!$A$3,"Organization",$A49,$H$1,Q$30))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IF(ISERR(((R$30-VLOOKUP($A49,$A$3:$X$25,24,FALSE))^2)*GETPIVOTDATA("Record",MissingElementsPivot!$A$3,"Organization",$A49,$H$1,R$30)),0,((R$30-VLOOKUP($A49,$A$3:$X$25,24,FALSE))^2)*GETPIVOTDATA("Record",MissingElementsPivot!$A$3,"Organization",$A49,$H$1,R$30))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IF(ISERR(((S$30-VLOOKUP($A49,$A$3:$X$25,24,FALSE))^2)*GETPIVOTDATA("Record",MissingElementsPivot!$A$3,"Organization",$A49,$H$1,S$30)),0,((S$30-VLOOKUP($A49,$A$3:$X$25,24,FALSE))^2)*GETPIVOTDATA("Record",MissingElementsPivot!$A$3,"Organization",$A49,$H$1,S$30))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IF(ISERR(((T$30-VLOOKUP($A49,$A$3:$X$25,24,FALSE))^2)*GETPIVOTDATA("Record",MissingElementsPivot!$A$3,"Organization",$A49,$H$1,T$30)),0,((T$30-VLOOKUP($A49,$A$3:$X$25,24,FALSE))^2)*GETPIVOTDATA("Record",MissingElementsPivot!$A$3,"Organization",$A49,$H$1,T$30))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IF(ISERR(((U$30-VLOOKUP($A49,$A$3:$X$25,24,FALSE))^2)*GETPIVOTDATA("Record",MissingElementsPivot!$A$3,"Organization",$A49,$H$1,U$30)),0,((U$30-VLOOKUP($A49,$A$3:$X$25,24,FALSE))^2)*GETPIVOTDATA("Record",MissingElementsPivot!$A$3,"Organization",$A49,$H$1,U$30))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IF(ISERR(((V$30-VLOOKUP($A49,$A$3:$X$25,24,FALSE))^2)*GETPIVOTDATA("Record",MissingElementsPivot!$A$3,"Organization",$A49,$H$1,V$30)),0,((V$30-VLOOKUP($A49,$A$3:$X$25,24,FALSE))^2)*GETPIVOTDATA("Record",MissingElementsPivot!$A$3,"Organization",$A49,$H$1,V$30))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8"/>
        <v>1.8333333333333333</v>
      </c>
    </row>
    <row r="50" spans="1:24" x14ac:dyDescent="0.2">
      <c r="A50" s="96" t="str">
        <f t="shared" si="9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IF(ISERR(((C$30-VLOOKUP($A50,$A$3:$X$25,24,FALSE))^2)*GETPIVOTDATA("Record",MissingElementsPivot!$A$3,"Organization",$A50,$H$1,C$30)),0,((C$30-VLOOKUP($A50,$A$3:$X$25,24,FALSE))^2)*GETPIVOTDATA("Record",MissingElementsPivot!$A$3,"Organization",$A50,$H$1,C$30))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IF(ISERR(((D$30-VLOOKUP($A50,$A$3:$X$25,24,FALSE))^2)*GETPIVOTDATA("Record",MissingElementsPivot!$A$3,"Organization",$A50,$H$1,D$30)),0,((D$30-VLOOKUP($A50,$A$3:$X$25,24,FALSE))^2)*GETPIVOTDATA("Record",MissingElementsPivot!$A$3,"Organization",$A50,$H$1,D$30))</f>
        <v>0.73469387755101978</v>
      </c>
      <c r="E50" s="78">
        <f>IF(ISERR(((E$30-VLOOKUP($A50,$A$3:$X$25,24,FALSE))^2)*GETPIVOTDATA("Record",MissingElementsPivot!$A$3,"Organization",$A50,$H$1,E$30)),0,((E$30-VLOOKUP($A50,$A$3:$X$25,24,FALSE))^2)*GETPIVOTDATA("Record",MissingElementsPivot!$A$3,"Organization",$A50,$H$1,E$30))</f>
        <v>0.97959183673469452</v>
      </c>
      <c r="F50" s="78">
        <f>IF(ISERR(((F$30-VLOOKUP($A50,$A$3:$X$25,24,FALSE))^2)*GETPIVOTDATA("Record",MissingElementsPivot!$A$3,"Organization",$A50,$H$1,F$30)),0,((F$30-VLOOKUP($A50,$A$3:$X$25,24,FALSE))^2)*GETPIVOTDATA("Record",MissingElementsPivot!$A$3,"Organization",$A50,$H$1,F$30))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IF(ISERR(((G$30-VLOOKUP($A50,$A$3:$X$25,24,FALSE))^2)*GETPIVOTDATA("Record",MissingElementsPivot!$A$3,"Organization",$A50,$H$1,G$30)),0,((G$30-VLOOKUP($A50,$A$3:$X$25,24,FALSE))^2)*GETPIVOTDATA("Record",MissingElementsPivot!$A$3,"Organization",$A50,$H$1,G$30))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IF(ISERR(((H$30-VLOOKUP($A50,$A$3:$X$25,24,FALSE))^2)*GETPIVOTDATA("Record",MissingElementsPivot!$A$3,"Organization",$A50,$H$1,H$30)),0,((H$30-VLOOKUP($A50,$A$3:$X$25,24,FALSE))^2)*GETPIVOTDATA("Record",MissingElementsPivot!$A$3,"Organization",$A50,$H$1,H$30))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IF(ISERR(((I$30-VLOOKUP($A50,$A$3:$X$25,24,FALSE))^2)*GETPIVOTDATA("Record",MissingElementsPivot!$A$3,"Organization",$A50,$H$1,I$30)),0,((I$30-VLOOKUP($A50,$A$3:$X$25,24,FALSE))^2)*GETPIVOTDATA("Record",MissingElementsPivot!$A$3,"Organization",$A50,$H$1,I$30))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IF(ISERR(((J$30-VLOOKUP($A50,$A$3:$X$25,24,FALSE))^2)*GETPIVOTDATA("Record",MissingElementsPivot!$A$3,"Organization",$A50,$H$1,J$30)),0,((J$30-VLOOKUP($A50,$A$3:$X$25,24,FALSE))^2)*GETPIVOTDATA("Record",MissingElementsPivot!$A$3,"Organization",$A50,$H$1,J$30))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IF(ISERR(((K$30-VLOOKUP($A50,$A$3:$X$25,24,FALSE))^2)*GETPIVOTDATA("Record",MissingElementsPivot!$A$3,"Organization",$A50,$H$1,K$30)),0,((K$30-VLOOKUP($A50,$A$3:$X$25,24,FALSE))^2)*GETPIVOTDATA("Record",MissingElementsPivot!$A$3,"Organization",$A50,$H$1,K$30))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IF(ISERR(((L$30-VLOOKUP($A50,$A$3:$X$25,24,FALSE))^2)*GETPIVOTDATA("Record",MissingElementsPivot!$A$3,"Organization",$A50,$H$1,L$30)),0,((L$30-VLOOKUP($A50,$A$3:$X$25,24,FALSE))^2)*GETPIVOTDATA("Record",MissingElementsPivot!$A$3,"Organization",$A50,$H$1,L$30))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IF(ISERR(((M$30-VLOOKUP($A50,$A$3:$X$25,24,FALSE))^2)*GETPIVOTDATA("Record",MissingElementsPivot!$A$3,"Organization",$A50,$H$1,M$30)),0,((M$30-VLOOKUP($A50,$A$3:$X$25,24,FALSE))^2)*GETPIVOTDATA("Record",MissingElementsPivot!$A$3,"Organization",$A50,$H$1,M$30))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IF(ISERR(((N$30-VLOOKUP($A50,$A$3:$X$25,24,FALSE))^2)*GETPIVOTDATA("Record",MissingElementsPivot!$A$3,"Organization",$A50,$H$1,N$30)),0,((N$30-VLOOKUP($A50,$A$3:$X$25,24,FALSE))^2)*GETPIVOTDATA("Record",MissingElementsPivot!$A$3,"Organization",$A50,$H$1,N$30))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IF(ISERR(((O$30-VLOOKUP($A50,$A$3:$X$25,24,FALSE))^2)*GETPIVOTDATA("Record",MissingElementsPivot!$A$3,"Organization",$A50,$H$1,O$30)),0,((O$30-VLOOKUP($A50,$A$3:$X$25,24,FALSE))^2)*GETPIVOTDATA("Record",MissingElementsPivot!$A$3,"Organization",$A50,$H$1,O$30))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IF(ISERR(((P$30-VLOOKUP($A50,$A$3:$X$25,24,FALSE))^2)*GETPIVOTDATA("Record",MissingElementsPivot!$A$3,"Organization",$A50,$H$1,P$30)),0,((P$30-VLOOKUP($A50,$A$3:$X$25,24,FALSE))^2)*GETPIVOTDATA("Record",MissingElementsPivot!$A$3,"Organization",$A50,$H$1,P$30))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IF(ISERR(((Q$30-VLOOKUP($A50,$A$3:$X$25,24,FALSE))^2)*GETPIVOTDATA("Record",MissingElementsPivot!$A$3,"Organization",$A50,$H$1,Q$30)),0,((Q$30-VLOOKUP($A50,$A$3:$X$25,24,FALSE))^2)*GETPIVOTDATA("Record",MissingElementsPivot!$A$3,"Organization",$A50,$H$1,Q$30))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IF(ISERR(((R$30-VLOOKUP($A50,$A$3:$X$25,24,FALSE))^2)*GETPIVOTDATA("Record",MissingElementsPivot!$A$3,"Organization",$A50,$H$1,R$30)),0,((R$30-VLOOKUP($A50,$A$3:$X$25,24,FALSE))^2)*GETPIVOTDATA("Record",MissingElementsPivot!$A$3,"Organization",$A50,$H$1,R$30))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IF(ISERR(((S$30-VLOOKUP($A50,$A$3:$X$25,24,FALSE))^2)*GETPIVOTDATA("Record",MissingElementsPivot!$A$3,"Organization",$A50,$H$1,S$30)),0,((S$30-VLOOKUP($A50,$A$3:$X$25,24,FALSE))^2)*GETPIVOTDATA("Record",MissingElementsPivot!$A$3,"Organization",$A50,$H$1,S$30))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IF(ISERR(((T$30-VLOOKUP($A50,$A$3:$X$25,24,FALSE))^2)*GETPIVOTDATA("Record",MissingElementsPivot!$A$3,"Organization",$A50,$H$1,T$30)),0,((T$30-VLOOKUP($A50,$A$3:$X$25,24,FALSE))^2)*GETPIVOTDATA("Record",MissingElementsPivot!$A$3,"Organization",$A50,$H$1,T$30))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IF(ISERR(((U$30-VLOOKUP($A50,$A$3:$X$25,24,FALSE))^2)*GETPIVOTDATA("Record",MissingElementsPivot!$A$3,"Organization",$A50,$H$1,U$30)),0,((U$30-VLOOKUP($A50,$A$3:$X$25,24,FALSE))^2)*GETPIVOTDATA("Record",MissingElementsPivot!$A$3,"Organization",$A50,$H$1,U$30))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IF(ISERR(((V$30-VLOOKUP($A50,$A$3:$X$25,24,FALSE))^2)*GETPIVOTDATA("Record",MissingElementsPivot!$A$3,"Organization",$A50,$H$1,V$30)),0,((V$30-VLOOKUP($A50,$A$3:$X$25,24,FALSE))^2)*GETPIVOTDATA("Record",MissingElementsPivot!$A$3,"Organization",$A50,$H$1,V$30))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8"/>
        <v>0.49487165930539351</v>
      </c>
    </row>
    <row r="51" spans="1:24" x14ac:dyDescent="0.2">
      <c r="A51" s="100" t="str">
        <f t="shared" si="9"/>
        <v>EML</v>
      </c>
      <c r="B51" s="80">
        <f>IF(ISERR(((B$30-VLOOKUP($A51,$A$3:$X$25,24,FALSE))^2)*GETPIVOTDATA("Record",MissingElementsPivot!$A$3,"Organization",$A51,$H$1,B$30)),0,((B$30-VLOOKUP($A51,$A$3:$X$25,24,FALSE))^2)*GETPIVOTDATA("Record",MissingElementsPivot!$A$3,"Organization",$A51,$H$1,B$30))</f>
        <v>0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207.6906645117252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337.85770505852105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1475.8374460147541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517.02614282165564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306.57366632746584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377.17123219581242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2107.1875570162256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468.23355459286523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2024.7915855736285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358.54611869719355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16.17746521847133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106.16934907370657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497.7179748833222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765.67477387468807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1161.0118702887842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555.16181729705909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371.25920035759628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8253.8476120744726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60.989024413680433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77.608118422448086</v>
      </c>
      <c r="W51" s="72">
        <f>GETPIVOTDATA("Record",MissingElementsPivot!$A$3,"Dialect",$A51)</f>
        <v>2053</v>
      </c>
      <c r="X51" s="73">
        <f t="shared" si="8"/>
        <v>3.1248211154812471</v>
      </c>
    </row>
    <row r="52" spans="1:24" x14ac:dyDescent="0.2">
      <c r="A52" s="100" t="str">
        <f t="shared" si="9"/>
        <v>CSDGM</v>
      </c>
      <c r="B52" s="80">
        <f>IF(ISERR(((B$30-VLOOKUP($A52,$A$3:$X$25,24,FALSE))^2)*GETPIVOTDATA("Record",MissingElementsPivot!$A$3,"Organization",$A52,$H$1,B$30)),0,((B$30-VLOOKUP($A52,$A$3:$X$25,24,FALSE))^2)*GETPIVOTDATA("Record",MissingElementsPivot!$A$3,"Organization",$A52,$H$1,B$30))</f>
        <v>0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104.33268571916781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350.35031141868501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279.80048699218236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0.43236020334059244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246.44240420351164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132.7465436370627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264.36573283779745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15.368449741552396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210.29697295911831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8"/>
        <v>1.4480710395459846</v>
      </c>
    </row>
    <row r="53" spans="1:24" x14ac:dyDescent="0.2">
      <c r="A53" s="100" t="str">
        <f t="shared" si="9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886.98318739261583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4480.2861515573859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10267.523693371366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2158.165980281884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5426.42168476402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531.41701980727146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771.32510599255193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74.630650144740159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28.55212410736809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141.78487516376791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1350.1333581996712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1216.13039186896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2125.9860936562636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2179.2527799591094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2635.7037114645236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1090.22566276512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658.96426387498809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13596.639480506792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94.865387947600368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115.34516083617383</v>
      </c>
      <c r="W53" s="72">
        <f>GETPIVOTDATA("Record",MissingElementsPivot!$A$3)</f>
        <v>2818</v>
      </c>
      <c r="X53" s="73">
        <f t="shared" si="8"/>
        <v>4.2051008585455074</v>
      </c>
    </row>
  </sheetData>
  <sortState ref="A18:W22">
    <sortCondition descending="1" ref="W18:W22"/>
  </sortState>
  <mergeCells count="3">
    <mergeCell ref="A1:F1"/>
    <mergeCell ref="A29:F29"/>
    <mergeCell ref="AC1:AI1"/>
  </mergeCells>
  <dataValidations disablePrompts="1"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3" t="s">
        <v>3100</v>
      </c>
      <c r="O1" s="103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2017-05-04T16:52:37Z</dcterms:modified>
</cp:coreProperties>
</file>