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7360" yWindow="0" windowWidth="28340" windowHeight="15180" activeTab="2"/>
  </bookViews>
  <sheets>
    <sheet name="Read_Me" sheetId="6" r:id="rId1"/>
    <sheet name="Sport_Harvest" sheetId="8" r:id="rId2"/>
    <sheet name="broodtab" sheetId="1" r:id="rId3"/>
    <sheet name="Run_Size" sheetId="4" r:id="rId4"/>
    <sheet name="PERFORMANCE" sheetId="7" r:id="rId5"/>
    <sheet name="Graphs" sheetId="2" r:id="rId6"/>
  </sheets>
  <definedNames>
    <definedName name="_1__123Graph_ACHART_1" hidden="1">broodtab!$B$8:$B$44</definedName>
    <definedName name="_10__123Graph_LBL_ACHART_2" hidden="1">broodtab!$AB$11:$AB$40</definedName>
    <definedName name="_11__123Graph_LBL_ACHART_3" hidden="1">broodtab!$AF$11:$AF$38</definedName>
    <definedName name="_12__123Graph_LBL_ACHART_4" hidden="1">broodtab!$Z$11:$Z$39</definedName>
    <definedName name="_13__123Graph_XCHART_1" hidden="1">broodtab!$A$8:$A$44</definedName>
    <definedName name="_14__123Graph_XCHART_2" hidden="1">broodtab!$Y$11:$Y$40</definedName>
    <definedName name="_15__123Graph_XCHART_3" hidden="1">broodtab!$AE$11:$AE$38</definedName>
    <definedName name="_16__123Graph_XCHART_4" hidden="1">broodtab!$AE$11:$AE$38</definedName>
    <definedName name="_17__123Graph_XCHART_5" hidden="1">broodtab!$Q$11:$Q$40</definedName>
    <definedName name="_18__123Graph_XCHART_6" hidden="1">broodtab!$T$17:$T$42</definedName>
    <definedName name="_2__123Graph_ACHART_2" hidden="1">broodtab!$AB$11:$AB$40</definedName>
    <definedName name="_3__123Graph_ACHART_3" hidden="1">broodtab!$AF$11:$AF$38</definedName>
    <definedName name="_4__123Graph_ACHART_4" hidden="1">broodtab!$AA$11:$AA$38</definedName>
    <definedName name="_5__123Graph_ACHART_5" hidden="1">broodtab!$R$11:$R$40</definedName>
    <definedName name="_6__123Graph_ACHART_6" hidden="1">broodtab!$U$17:$U$42</definedName>
    <definedName name="_7__123Graph_BCHART_2" hidden="1">broodtab!$AC$11:$AC$40</definedName>
    <definedName name="_8__123Graph_BCHART_3" hidden="1">broodtab!$AG$11:$AG$38</definedName>
    <definedName name="_9__123Graph_BCHART_4" hidden="1">broodtab!$AE$11:$AE$38</definedName>
    <definedName name="_Regression_Out" hidden="1">broodtab!$AI$10</definedName>
    <definedName name="_Regression_X" hidden="1">broodtab!$AE$11:$AE$38</definedName>
    <definedName name="_Regression_Y" hidden="1">broodtab!$AF$11:$AF$38</definedName>
    <definedName name="MEAN_01_Return">broodtab!$D$62</definedName>
    <definedName name="Mean_11_Return">broodtab!$G$62</definedName>
    <definedName name="Mean_12_Return">broodtab!$I$62</definedName>
    <definedName name="Mean_13_Return">broodtab!$L$62</definedName>
    <definedName name="Mean_21_Return">broodtab!$J$62</definedName>
    <definedName name="Mean_22_Return">broodtab!$M$62</definedName>
    <definedName name="Mean_23_Return">broodtab!$O$62</definedName>
    <definedName name="Mean_32_Return">broodtab!$P$62</definedName>
    <definedName name="Mean_BY_Return">broodtab!$R$62</definedName>
    <definedName name="MEAN_BYE">broodtab!$B$62</definedName>
    <definedName name="Mean_RPS">broodtab!$S$62</definedName>
    <definedName name="Mean_Total_Return">broodtab!$U$62</definedName>
    <definedName name="_xlnm.Print_Area" localSheetId="2">broodtab!$A$1:$U$63</definedName>
    <definedName name="_xlnm.Print_Area" localSheetId="5">Graphs!$A$1:$L$32</definedName>
    <definedName name="_xlnm.Print_Area" localSheetId="3">Run_Size!$A$3:$I$99</definedName>
    <definedName name="tval">#REF!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8" i="1" l="1"/>
  <c r="O62" i="1"/>
  <c r="R53" i="1"/>
  <c r="U53" i="1"/>
  <c r="B52" i="4"/>
  <c r="C52" i="4"/>
  <c r="R11" i="1"/>
  <c r="R55" i="1"/>
  <c r="S55" i="1"/>
  <c r="U56" i="1"/>
  <c r="B73" i="4"/>
  <c r="B71" i="4"/>
  <c r="B74" i="4"/>
  <c r="B75" i="4"/>
  <c r="R27" i="1"/>
  <c r="S27" i="1"/>
  <c r="R23" i="1"/>
  <c r="U29" i="1"/>
  <c r="U30" i="1"/>
  <c r="R52" i="1"/>
  <c r="R51" i="1"/>
  <c r="S51" i="1"/>
  <c r="R31" i="1"/>
  <c r="S31" i="1"/>
  <c r="U25" i="1"/>
  <c r="R57" i="1"/>
  <c r="S57" i="1"/>
  <c r="U27" i="1"/>
  <c r="B55" i="4"/>
  <c r="F55" i="4"/>
  <c r="I55" i="4"/>
  <c r="I14" i="4"/>
  <c r="I15" i="4"/>
  <c r="I18" i="4"/>
  <c r="I19" i="4"/>
  <c r="I22" i="4"/>
  <c r="I23" i="4"/>
  <c r="I26" i="4"/>
  <c r="I27" i="4"/>
  <c r="I30" i="4"/>
  <c r="I31" i="4"/>
  <c r="I34" i="4"/>
  <c r="I35" i="4"/>
  <c r="I38" i="4"/>
  <c r="I39" i="4"/>
  <c r="I42" i="4"/>
  <c r="I43" i="4"/>
  <c r="E46" i="4"/>
  <c r="I46" i="4"/>
  <c r="F47" i="4"/>
  <c r="I47" i="4"/>
  <c r="E50" i="4"/>
  <c r="I50" i="4"/>
  <c r="F51" i="4"/>
  <c r="I51" i="4"/>
  <c r="U55" i="1"/>
  <c r="B54" i="4"/>
  <c r="E54" i="4"/>
  <c r="I54" i="4"/>
  <c r="I88" i="4"/>
  <c r="R56" i="1"/>
  <c r="S56" i="1"/>
  <c r="N52" i="1"/>
  <c r="K53" i="1"/>
  <c r="H54" i="1"/>
  <c r="U54" i="1"/>
  <c r="B53" i="4"/>
  <c r="D53" i="4"/>
  <c r="H53" i="4"/>
  <c r="R54" i="1"/>
  <c r="S54" i="1"/>
  <c r="E14" i="4"/>
  <c r="E18" i="4"/>
  <c r="E22" i="4"/>
  <c r="E26" i="4"/>
  <c r="E30" i="4"/>
  <c r="E34" i="4"/>
  <c r="E77" i="4"/>
  <c r="E71" i="4"/>
  <c r="E74" i="4"/>
  <c r="E73" i="4"/>
  <c r="E75" i="4"/>
  <c r="E78" i="4"/>
  <c r="P62" i="1"/>
  <c r="F62" i="1"/>
  <c r="D62" i="1"/>
  <c r="R16" i="1"/>
  <c r="AA16" i="1"/>
  <c r="AB16" i="1"/>
  <c r="S52" i="1"/>
  <c r="S53" i="1"/>
  <c r="U50" i="1"/>
  <c r="U51" i="1"/>
  <c r="R46" i="1"/>
  <c r="S46" i="1"/>
  <c r="R47" i="1"/>
  <c r="S47" i="1"/>
  <c r="R50" i="1"/>
  <c r="S50" i="1"/>
  <c r="U52" i="1"/>
  <c r="I73" i="4"/>
  <c r="H12" i="4"/>
  <c r="H13" i="4"/>
  <c r="H16" i="4"/>
  <c r="H17" i="4"/>
  <c r="H20" i="4"/>
  <c r="H21" i="4"/>
  <c r="H24" i="4"/>
  <c r="H25" i="4"/>
  <c r="H28" i="4"/>
  <c r="H29" i="4"/>
  <c r="H32" i="4"/>
  <c r="H33" i="4"/>
  <c r="F15" i="4"/>
  <c r="F19" i="4"/>
  <c r="F23" i="4"/>
  <c r="F27" i="4"/>
  <c r="F31" i="4"/>
  <c r="D13" i="4"/>
  <c r="D17" i="4"/>
  <c r="D21" i="4"/>
  <c r="D25" i="4"/>
  <c r="D29" i="4"/>
  <c r="D33" i="4"/>
  <c r="D77" i="4"/>
  <c r="D73" i="4"/>
  <c r="C12" i="4"/>
  <c r="C16" i="4"/>
  <c r="C20" i="4"/>
  <c r="C24" i="4"/>
  <c r="C28" i="4"/>
  <c r="C32" i="4"/>
  <c r="C73" i="4"/>
  <c r="H36" i="4"/>
  <c r="H37" i="4"/>
  <c r="H40" i="4"/>
  <c r="H41" i="4"/>
  <c r="H44" i="4"/>
  <c r="H45" i="4"/>
  <c r="C48" i="4"/>
  <c r="H48" i="4"/>
  <c r="D49" i="4"/>
  <c r="H49" i="4"/>
  <c r="F35" i="4"/>
  <c r="F39" i="4"/>
  <c r="F43" i="4"/>
  <c r="F84" i="4"/>
  <c r="E38" i="4"/>
  <c r="D37" i="4"/>
  <c r="D41" i="4"/>
  <c r="D45" i="4"/>
  <c r="C36" i="4"/>
  <c r="C40" i="4"/>
  <c r="C44" i="4"/>
  <c r="H51" i="1"/>
  <c r="T51" i="1"/>
  <c r="N49" i="1"/>
  <c r="K50" i="1"/>
  <c r="U13" i="1"/>
  <c r="U14" i="1"/>
  <c r="U17" i="1"/>
  <c r="U18" i="1"/>
  <c r="U19" i="1"/>
  <c r="U20" i="1"/>
  <c r="U21" i="1"/>
  <c r="U22" i="1"/>
  <c r="U23" i="1"/>
  <c r="U24" i="1"/>
  <c r="U26" i="1"/>
  <c r="U28" i="1"/>
  <c r="U31" i="1"/>
  <c r="U33" i="1"/>
  <c r="U34" i="1"/>
  <c r="U35" i="1"/>
  <c r="U36" i="1"/>
  <c r="U37" i="1"/>
  <c r="U38" i="1"/>
  <c r="U39" i="1"/>
  <c r="U40" i="1"/>
  <c r="U41" i="1"/>
  <c r="G41" i="1"/>
  <c r="I40" i="1"/>
  <c r="I43" i="1"/>
  <c r="I62" i="1"/>
  <c r="J40" i="1"/>
  <c r="J62" i="1"/>
  <c r="R41" i="1"/>
  <c r="S41" i="1"/>
  <c r="G62" i="1"/>
  <c r="R14" i="1"/>
  <c r="AA14" i="1"/>
  <c r="AB14" i="1"/>
  <c r="L39" i="1"/>
  <c r="M39" i="1"/>
  <c r="M62" i="1"/>
  <c r="R38" i="1"/>
  <c r="U44" i="1"/>
  <c r="R43" i="1"/>
  <c r="S43" i="1"/>
  <c r="U46" i="1"/>
  <c r="U47" i="1"/>
  <c r="U48" i="1"/>
  <c r="U49" i="1"/>
  <c r="R10" i="1"/>
  <c r="S11" i="1"/>
  <c r="R12" i="1"/>
  <c r="S12" i="1"/>
  <c r="R13" i="1"/>
  <c r="S13" i="1"/>
  <c r="R15" i="1"/>
  <c r="S15" i="1"/>
  <c r="S16" i="1"/>
  <c r="R17" i="1"/>
  <c r="S17" i="1"/>
  <c r="R18" i="1"/>
  <c r="AA18" i="1"/>
  <c r="AB18" i="1"/>
  <c r="R19" i="1"/>
  <c r="R20" i="1"/>
  <c r="S20" i="1"/>
  <c r="R21" i="1"/>
  <c r="AA21" i="1"/>
  <c r="AB21" i="1"/>
  <c r="R22" i="1"/>
  <c r="S23" i="1"/>
  <c r="R24" i="1"/>
  <c r="S24" i="1"/>
  <c r="R25" i="1"/>
  <c r="S25" i="1"/>
  <c r="R26" i="1"/>
  <c r="S26" i="1"/>
  <c r="R28" i="1"/>
  <c r="R32" i="1"/>
  <c r="S32" i="1"/>
  <c r="R33" i="1"/>
  <c r="AA33" i="1"/>
  <c r="AB33" i="1"/>
  <c r="R34" i="1"/>
  <c r="AA34" i="1"/>
  <c r="R35" i="1"/>
  <c r="S35" i="1"/>
  <c r="R36" i="1"/>
  <c r="AA36" i="1"/>
  <c r="AB36" i="1"/>
  <c r="R37" i="1"/>
  <c r="S37" i="1"/>
  <c r="R44" i="1"/>
  <c r="S44" i="1"/>
  <c r="R45" i="1"/>
  <c r="R48" i="1"/>
  <c r="S48" i="1"/>
  <c r="R49" i="1"/>
  <c r="S49" i="1"/>
  <c r="A1" i="4"/>
  <c r="B42" i="1"/>
  <c r="B62" i="1"/>
  <c r="Q18" i="1"/>
  <c r="C43" i="1"/>
  <c r="T43" i="1"/>
  <c r="A1" i="1"/>
  <c r="C13" i="1"/>
  <c r="T13" i="1"/>
  <c r="C14" i="1"/>
  <c r="T14" i="1"/>
  <c r="C15" i="1"/>
  <c r="T15" i="1"/>
  <c r="C16" i="1"/>
  <c r="T16" i="1"/>
  <c r="C17" i="1"/>
  <c r="T17" i="1"/>
  <c r="C18" i="1"/>
  <c r="T18" i="1"/>
  <c r="C19" i="1"/>
  <c r="T19" i="1"/>
  <c r="C20" i="1"/>
  <c r="T20" i="1"/>
  <c r="C21" i="1"/>
  <c r="T21" i="1"/>
  <c r="C22" i="1"/>
  <c r="T22" i="1"/>
  <c r="C23" i="1"/>
  <c r="T23" i="1"/>
  <c r="C24" i="1"/>
  <c r="T24" i="1"/>
  <c r="C25" i="1"/>
  <c r="T25" i="1"/>
  <c r="C26" i="1"/>
  <c r="T26" i="1"/>
  <c r="C27" i="1"/>
  <c r="T27" i="1"/>
  <c r="C28" i="1"/>
  <c r="T28" i="1"/>
  <c r="C29" i="1"/>
  <c r="T29" i="1"/>
  <c r="C30" i="1"/>
  <c r="T30" i="1"/>
  <c r="C31" i="1"/>
  <c r="T31" i="1"/>
  <c r="C32" i="1"/>
  <c r="T32" i="1"/>
  <c r="C33" i="1"/>
  <c r="T33" i="1"/>
  <c r="C34" i="1"/>
  <c r="T34" i="1"/>
  <c r="C35" i="1"/>
  <c r="T35" i="1"/>
  <c r="C36" i="1"/>
  <c r="T36" i="1"/>
  <c r="C37" i="1"/>
  <c r="T37" i="1"/>
  <c r="C38" i="1"/>
  <c r="T38" i="1"/>
  <c r="C39" i="1"/>
  <c r="T39" i="1"/>
  <c r="C40" i="1"/>
  <c r="T40" i="1"/>
  <c r="C41" i="1"/>
  <c r="T41" i="1"/>
  <c r="N47" i="1"/>
  <c r="K47" i="1"/>
  <c r="H47" i="1"/>
  <c r="E47" i="1"/>
  <c r="C47" i="1"/>
  <c r="C44" i="1"/>
  <c r="T44" i="1"/>
  <c r="N44" i="1"/>
  <c r="K44" i="1"/>
  <c r="H44" i="1"/>
  <c r="E44" i="1"/>
  <c r="N43" i="1"/>
  <c r="K43" i="1"/>
  <c r="H43" i="1"/>
  <c r="E43" i="1"/>
  <c r="C42" i="1"/>
  <c r="T42" i="1"/>
  <c r="N42" i="1"/>
  <c r="K42" i="1"/>
  <c r="H42" i="1"/>
  <c r="E42" i="1"/>
  <c r="N41" i="1"/>
  <c r="K41" i="1"/>
  <c r="H41" i="1"/>
  <c r="E41" i="1"/>
  <c r="N40" i="1"/>
  <c r="K40" i="1"/>
  <c r="H40" i="1"/>
  <c r="E40"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N39" i="1"/>
  <c r="K39" i="1"/>
  <c r="H39" i="1"/>
  <c r="E39" i="1"/>
  <c r="AG38"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Q38" i="1"/>
  <c r="N38" i="1"/>
  <c r="K38" i="1"/>
  <c r="H38" i="1"/>
  <c r="E38" i="1"/>
  <c r="AG37" i="1"/>
  <c r="Q37" i="1"/>
  <c r="N37" i="1"/>
  <c r="K37" i="1"/>
  <c r="H37" i="1"/>
  <c r="E37" i="1"/>
  <c r="AG36" i="1"/>
  <c r="Q36" i="1"/>
  <c r="N36" i="1"/>
  <c r="K36" i="1"/>
  <c r="H36" i="1"/>
  <c r="E36" i="1"/>
  <c r="AG35" i="1"/>
  <c r="Q35" i="1"/>
  <c r="N35" i="1"/>
  <c r="K35" i="1"/>
  <c r="H35" i="1"/>
  <c r="E35" i="1"/>
  <c r="AG34" i="1"/>
  <c r="Q34" i="1"/>
  <c r="N34" i="1"/>
  <c r="K34" i="1"/>
  <c r="H34" i="1"/>
  <c r="E34" i="1"/>
  <c r="AG33" i="1"/>
  <c r="Q33" i="1"/>
  <c r="N33" i="1"/>
  <c r="K33" i="1"/>
  <c r="H33" i="1"/>
  <c r="E33" i="1"/>
  <c r="AG32" i="1"/>
  <c r="Q32" i="1"/>
  <c r="N32" i="1"/>
  <c r="K32" i="1"/>
  <c r="H32" i="1"/>
  <c r="E32" i="1"/>
  <c r="AG31" i="1"/>
  <c r="Q31" i="1"/>
  <c r="N31" i="1"/>
  <c r="K31" i="1"/>
  <c r="H31" i="1"/>
  <c r="E31" i="1"/>
  <c r="AG30" i="1"/>
  <c r="Q30" i="1"/>
  <c r="N30" i="1"/>
  <c r="K30" i="1"/>
  <c r="H30" i="1"/>
  <c r="E30" i="1"/>
  <c r="AG29" i="1"/>
  <c r="Q29" i="1"/>
  <c r="N29" i="1"/>
  <c r="K29" i="1"/>
  <c r="H29" i="1"/>
  <c r="E29" i="1"/>
  <c r="AG28" i="1"/>
  <c r="Q28" i="1"/>
  <c r="N28" i="1"/>
  <c r="K28" i="1"/>
  <c r="H28" i="1"/>
  <c r="E28" i="1"/>
  <c r="AG27" i="1"/>
  <c r="Q27" i="1"/>
  <c r="N27" i="1"/>
  <c r="K27" i="1"/>
  <c r="H27" i="1"/>
  <c r="E27" i="1"/>
  <c r="AG26" i="1"/>
  <c r="Q26" i="1"/>
  <c r="N26" i="1"/>
  <c r="K26" i="1"/>
  <c r="H26" i="1"/>
  <c r="E26" i="1"/>
  <c r="AG25" i="1"/>
  <c r="Q25" i="1"/>
  <c r="N25" i="1"/>
  <c r="K25" i="1"/>
  <c r="H25" i="1"/>
  <c r="E25" i="1"/>
  <c r="AG24" i="1"/>
  <c r="Q24" i="1"/>
  <c r="N24" i="1"/>
  <c r="K24" i="1"/>
  <c r="H24" i="1"/>
  <c r="E24" i="1"/>
  <c r="AG23" i="1"/>
  <c r="Q23" i="1"/>
  <c r="N23" i="1"/>
  <c r="K23" i="1"/>
  <c r="H23" i="1"/>
  <c r="E23" i="1"/>
  <c r="AG22" i="1"/>
  <c r="Q22" i="1"/>
  <c r="N22" i="1"/>
  <c r="K22" i="1"/>
  <c r="H22" i="1"/>
  <c r="E22" i="1"/>
  <c r="AG21" i="1"/>
  <c r="Q21" i="1"/>
  <c r="N21" i="1"/>
  <c r="K21" i="1"/>
  <c r="H21" i="1"/>
  <c r="E21" i="1"/>
  <c r="AG20" i="1"/>
  <c r="Q20" i="1"/>
  <c r="N20" i="1"/>
  <c r="K20" i="1"/>
  <c r="H20" i="1"/>
  <c r="E20" i="1"/>
  <c r="AG19" i="1"/>
  <c r="Q19" i="1"/>
  <c r="N19" i="1"/>
  <c r="K19" i="1"/>
  <c r="H19" i="1"/>
  <c r="E19" i="1"/>
  <c r="AG18" i="1"/>
  <c r="N18" i="1"/>
  <c r="K18" i="1"/>
  <c r="H18" i="1"/>
  <c r="E18" i="1"/>
  <c r="AG17" i="1"/>
  <c r="Q17" i="1"/>
  <c r="N17" i="1"/>
  <c r="K17" i="1"/>
  <c r="H17" i="1"/>
  <c r="E17" i="1"/>
  <c r="AG16" i="1"/>
  <c r="Q16" i="1"/>
  <c r="N16" i="1"/>
  <c r="K16" i="1"/>
  <c r="H16" i="1"/>
  <c r="E16" i="1"/>
  <c r="AG15" i="1"/>
  <c r="Q15" i="1"/>
  <c r="N15" i="1"/>
  <c r="K15" i="1"/>
  <c r="H15" i="1"/>
  <c r="E15" i="1"/>
  <c r="AG14" i="1"/>
  <c r="Q14" i="1"/>
  <c r="N14" i="1"/>
  <c r="K14" i="1"/>
  <c r="H14" i="1"/>
  <c r="E14" i="1"/>
  <c r="AG13" i="1"/>
  <c r="Q13" i="1"/>
  <c r="N13" i="1"/>
  <c r="K13" i="1"/>
  <c r="H13" i="1"/>
  <c r="E13" i="1"/>
  <c r="AG12" i="1"/>
  <c r="C12" i="1"/>
  <c r="T12" i="1"/>
  <c r="Q12" i="1"/>
  <c r="N12" i="1"/>
  <c r="K12" i="1"/>
  <c r="H12" i="1"/>
  <c r="E12" i="1"/>
  <c r="AG11" i="1"/>
  <c r="C11" i="1"/>
  <c r="T11" i="1"/>
  <c r="Q11" i="1"/>
  <c r="N11" i="1"/>
  <c r="K11" i="1"/>
  <c r="H11" i="1"/>
  <c r="E11" i="1"/>
  <c r="C10" i="1"/>
  <c r="T10" i="1"/>
  <c r="Q10" i="1"/>
  <c r="N10" i="1"/>
  <c r="K10" i="1"/>
  <c r="H10" i="1"/>
  <c r="E10" i="1"/>
  <c r="C9" i="1"/>
  <c r="T9" i="1"/>
  <c r="Q9" i="1"/>
  <c r="N9" i="1"/>
  <c r="K9" i="1"/>
  <c r="H9" i="1"/>
  <c r="E9" i="1"/>
  <c r="C8" i="1"/>
  <c r="T8" i="1"/>
  <c r="Q8" i="1"/>
  <c r="N8" i="1"/>
  <c r="K8" i="1"/>
  <c r="H8" i="1"/>
  <c r="E8" i="1"/>
  <c r="K163" i="2"/>
  <c r="A163" i="2"/>
  <c r="C77" i="4"/>
  <c r="B77" i="4"/>
  <c r="B78" i="4"/>
  <c r="F73" i="4"/>
  <c r="D71" i="4"/>
  <c r="D74" i="4"/>
  <c r="D75" i="4"/>
  <c r="H73" i="4"/>
  <c r="I77" i="4"/>
  <c r="I71" i="4"/>
  <c r="I74" i="4"/>
  <c r="I75" i="4"/>
  <c r="I78" i="4"/>
  <c r="E76" i="4"/>
  <c r="AA20" i="1"/>
  <c r="AB20" i="1"/>
  <c r="AA11" i="1"/>
  <c r="AB11" i="1"/>
  <c r="AA35" i="1"/>
  <c r="AB35" i="1"/>
  <c r="AA24" i="1"/>
  <c r="AB24" i="1"/>
  <c r="AA25" i="1"/>
  <c r="AB25" i="1"/>
  <c r="S18" i="1"/>
  <c r="AA26" i="1"/>
  <c r="AB26" i="1"/>
  <c r="AA17" i="1"/>
  <c r="AB17" i="1"/>
  <c r="L62" i="1"/>
  <c r="S38" i="1"/>
  <c r="AA38" i="1"/>
  <c r="AB38" i="1"/>
  <c r="AA23" i="1"/>
  <c r="AB23" i="1"/>
  <c r="S33" i="1"/>
  <c r="AA27" i="1"/>
  <c r="AB27" i="1"/>
  <c r="S21" i="1"/>
  <c r="U45" i="1"/>
  <c r="S28" i="1"/>
  <c r="AA32" i="1"/>
  <c r="AB32" i="1"/>
  <c r="S14" i="1"/>
  <c r="AA28" i="1"/>
  <c r="AB28" i="1"/>
  <c r="R30" i="1"/>
  <c r="AA30" i="1"/>
  <c r="AB30" i="1"/>
  <c r="S30" i="1"/>
  <c r="E82" i="4"/>
  <c r="E85" i="4"/>
  <c r="E84" i="4"/>
  <c r="E86" i="4"/>
  <c r="F82" i="4"/>
  <c r="F85" i="4"/>
  <c r="F86" i="4"/>
  <c r="I82" i="4"/>
  <c r="I85" i="4"/>
  <c r="D82" i="4"/>
  <c r="D85" i="4"/>
  <c r="R29" i="1"/>
  <c r="R40" i="1"/>
  <c r="S40" i="1"/>
  <c r="AA12" i="1"/>
  <c r="AA13" i="1"/>
  <c r="AA15" i="1"/>
  <c r="AA19" i="1"/>
  <c r="AA22" i="1"/>
  <c r="AA29" i="1"/>
  <c r="AA31" i="1"/>
  <c r="AA37" i="1"/>
  <c r="R39" i="1"/>
  <c r="AA39" i="1"/>
  <c r="AA40" i="1"/>
  <c r="AA79" i="1"/>
  <c r="I76" i="4"/>
  <c r="I84" i="4"/>
  <c r="I86" i="4"/>
  <c r="U42" i="1"/>
  <c r="U64" i="1"/>
  <c r="D84" i="4"/>
  <c r="H52" i="4"/>
  <c r="C84" i="4"/>
  <c r="C82" i="4"/>
  <c r="C85" i="4"/>
  <c r="C86" i="4"/>
  <c r="D88" i="4"/>
  <c r="B61" i="4"/>
  <c r="B64" i="4"/>
  <c r="B63" i="4"/>
  <c r="B67" i="4"/>
  <c r="B88" i="4"/>
  <c r="AB37" i="1"/>
  <c r="B76" i="4"/>
  <c r="D78" i="4"/>
  <c r="D76" i="4"/>
  <c r="AB22" i="1"/>
  <c r="S22" i="1"/>
  <c r="B82" i="4"/>
  <c r="B85" i="4"/>
  <c r="R42" i="1"/>
  <c r="R63" i="1"/>
  <c r="U67" i="1"/>
  <c r="F77" i="4"/>
  <c r="F71" i="4"/>
  <c r="F74" i="4"/>
  <c r="F75" i="4"/>
  <c r="F88" i="4"/>
  <c r="B84" i="4"/>
  <c r="AB13" i="1"/>
  <c r="AB31" i="1"/>
  <c r="S36" i="1"/>
  <c r="S42" i="1"/>
  <c r="AB19" i="1"/>
  <c r="S19" i="1"/>
  <c r="C88" i="4"/>
  <c r="E88" i="4"/>
  <c r="H71" i="4"/>
  <c r="H74" i="4"/>
  <c r="H75" i="4"/>
  <c r="C71" i="4"/>
  <c r="C74" i="4"/>
  <c r="C75" i="4"/>
  <c r="H77" i="4"/>
  <c r="I87" i="4"/>
  <c r="I89" i="4"/>
  <c r="C78" i="4"/>
  <c r="C76" i="4"/>
  <c r="S29" i="1"/>
  <c r="AB29" i="1"/>
  <c r="B65" i="4"/>
  <c r="D86" i="4"/>
  <c r="D87" i="4"/>
  <c r="U68" i="1"/>
  <c r="U70" i="1"/>
  <c r="U69" i="1"/>
  <c r="U73" i="1"/>
  <c r="U74" i="1"/>
  <c r="AB15" i="1"/>
  <c r="F87" i="4"/>
  <c r="F89" i="4"/>
  <c r="AA80" i="1"/>
  <c r="E89" i="4"/>
  <c r="E87" i="4"/>
  <c r="U63" i="1"/>
  <c r="B86" i="4"/>
  <c r="B89" i="4"/>
  <c r="B87" i="4"/>
  <c r="H78" i="4"/>
  <c r="H76" i="4"/>
  <c r="C87" i="4"/>
  <c r="C89" i="4"/>
  <c r="U62" i="1"/>
  <c r="F78" i="4"/>
  <c r="F76" i="4"/>
  <c r="B66" i="4"/>
  <c r="B68" i="4"/>
  <c r="D89" i="4"/>
  <c r="H84" i="4"/>
  <c r="H82" i="4"/>
  <c r="H85" i="4"/>
  <c r="H86" i="4"/>
  <c r="H88" i="4"/>
  <c r="AA81" i="1"/>
  <c r="H89" i="4"/>
  <c r="H87" i="4"/>
  <c r="AB40" i="1"/>
  <c r="AB12" i="1"/>
  <c r="AB39" i="1"/>
  <c r="AB79" i="1"/>
  <c r="S39" i="1"/>
  <c r="S62" i="1"/>
  <c r="R62" i="1"/>
  <c r="I63" i="1"/>
  <c r="AB99" i="1"/>
  <c r="AB83" i="1"/>
  <c r="AB98" i="1"/>
  <c r="AB100" i="1"/>
  <c r="AB80" i="1"/>
  <c r="AB104" i="1"/>
  <c r="AG99" i="1"/>
  <c r="AB103" i="1"/>
  <c r="AF99" i="1"/>
  <c r="AF101" i="1"/>
  <c r="AG101" i="1"/>
  <c r="AH63" i="1"/>
  <c r="AF100" i="1"/>
  <c r="AG100" i="1"/>
  <c r="AH64" i="1"/>
  <c r="AI64" i="1"/>
  <c r="AH65" i="1"/>
  <c r="AI65" i="1"/>
</calcChain>
</file>

<file path=xl/comments1.xml><?xml version="1.0" encoding="utf-8"?>
<comments xmlns="http://schemas.openxmlformats.org/spreadsheetml/2006/main">
  <authors>
    <author>rebrenner</author>
  </authors>
  <commentList>
    <comment ref="B12" authorId="0">
      <text>
        <r>
          <rPr>
            <b/>
            <sz val="9"/>
            <color indexed="81"/>
            <rFont val="Tahoma"/>
            <family val="2"/>
          </rPr>
          <t>rebrenner:</t>
        </r>
        <r>
          <rPr>
            <sz val="9"/>
            <color indexed="81"/>
            <rFont val="Tahoma"/>
            <family val="2"/>
          </rPr>
          <t xml:space="preserve">
</t>
        </r>
        <r>
          <rPr>
            <sz val="18"/>
            <color indexed="81"/>
            <rFont val="Tahoma"/>
            <family val="2"/>
          </rPr>
          <t>WE REALLY NEED TO DO AN ERROR ANALYSIS TO SEE WHICH FORECAST IS MOST APPROPRIATE. IT SEEMS THAT THE "4-YEAR" CYCLE has been non-existent for the past ~20 years. PERHAPS IT IS TIME TO MOVE TO AN AVERAGE, Exponential smoothing, etc.</t>
        </r>
      </text>
    </comment>
  </commentList>
</comments>
</file>

<file path=xl/comments2.xml><?xml version="1.0" encoding="utf-8"?>
<comments xmlns="http://schemas.openxmlformats.org/spreadsheetml/2006/main">
  <authors>
    <author>rebrenner</author>
  </authors>
  <commentList>
    <comment ref="E5" authorId="0">
      <text>
        <r>
          <rPr>
            <b/>
            <sz val="9"/>
            <color indexed="81"/>
            <rFont val="Tahoma"/>
            <family val="2"/>
          </rPr>
          <t>rebrenner:
Sent by Sam Hochhalter Jan. 2011.  Includes Eshamy river and lagoon.  Must have been compiled by mail surveys.</t>
        </r>
      </text>
    </comment>
  </commentList>
</comments>
</file>

<file path=xl/comments3.xml><?xml version="1.0" encoding="utf-8"?>
<comments xmlns="http://schemas.openxmlformats.org/spreadsheetml/2006/main">
  <authors>
    <author>rebrenner</author>
    <author>Steve Moffitt</author>
    <author>A satisfied Microsoft Office User</author>
  </authors>
  <commentList>
    <comment ref="B7" authorId="0">
      <text>
        <r>
          <rPr>
            <b/>
            <sz val="8"/>
            <color indexed="81"/>
            <rFont val="Tahoma"/>
            <family val="2"/>
          </rPr>
          <t>rebrenner:</t>
        </r>
        <r>
          <rPr>
            <sz val="8"/>
            <color indexed="81"/>
            <rFont val="Tahoma"/>
            <family val="2"/>
          </rPr>
          <t xml:space="preserve">
</t>
        </r>
        <r>
          <rPr>
            <sz val="18"/>
            <color indexed="81"/>
            <rFont val="Tahoma"/>
            <family val="2"/>
          </rPr>
          <t>THIS IS ESCAPEMENT THROUGH THE ESHAMY RIVER WEIR</t>
        </r>
      </text>
    </comment>
    <comment ref="B42" authorId="1">
      <text>
        <r>
          <rPr>
            <b/>
            <sz val="8"/>
            <color indexed="81"/>
            <rFont val="Tahoma"/>
            <family val="2"/>
          </rPr>
          <t>Steve Moffitt:</t>
        </r>
        <r>
          <rPr>
            <sz val="8"/>
            <color indexed="81"/>
            <rFont val="Tahoma"/>
            <family val="2"/>
          </rPr>
          <t xml:space="preserve">
</t>
        </r>
        <r>
          <rPr>
            <sz val="12"/>
            <color indexed="81"/>
            <rFont val="Tahoma"/>
            <family val="2"/>
          </rPr>
          <t>wild fish only!!
42.73% of 
26,701</t>
        </r>
      </text>
    </comment>
    <comment ref="B43" authorId="1">
      <text>
        <r>
          <rPr>
            <b/>
            <sz val="10"/>
            <color indexed="81"/>
            <rFont val="Tahoma"/>
            <family val="2"/>
          </rPr>
          <t>Steve Moffitt:</t>
        </r>
        <r>
          <rPr>
            <sz val="10"/>
            <color indexed="81"/>
            <rFont val="Tahoma"/>
            <family val="2"/>
          </rPr>
          <t xml:space="preserve">
3,000 in lagoon when weir was pulled NOT included.</t>
        </r>
      </text>
    </comment>
    <comment ref="U53" authorId="0">
      <text>
        <r>
          <rPr>
            <b/>
            <sz val="8"/>
            <color indexed="81"/>
            <rFont val="Tahoma"/>
            <family val="2"/>
          </rPr>
          <t>rebrenner:</t>
        </r>
        <r>
          <rPr>
            <sz val="8"/>
            <color indexed="81"/>
            <rFont val="Tahoma"/>
            <family val="2"/>
          </rPr>
          <t xml:space="preserve">
</t>
        </r>
        <r>
          <rPr>
            <sz val="18"/>
            <color indexed="81"/>
            <rFont val="Tahoma"/>
            <family val="2"/>
          </rPr>
          <t>FROM:  
24,935 WILD FROM ESHAMY DISTRICT CPF
797 WILD FROM SW DISTRICT AFTER 9 JULY.
18495 WILD FROM ESHAMY WEIR ESCAPEMENT.</t>
        </r>
      </text>
    </comment>
    <comment ref="B54" authorId="0">
      <text>
        <r>
          <rPr>
            <b/>
            <sz val="8"/>
            <color indexed="81"/>
            <rFont val="Tahoma"/>
            <family val="2"/>
          </rPr>
          <t>rebrenner:</t>
        </r>
        <r>
          <rPr>
            <sz val="8"/>
            <color indexed="81"/>
            <rFont val="Tahoma"/>
            <family val="2"/>
          </rPr>
          <t xml:space="preserve">
</t>
        </r>
        <r>
          <rPr>
            <sz val="18"/>
            <color indexed="81"/>
            <rFont val="Tahoma"/>
            <family val="2"/>
          </rPr>
          <t>ESHAMY WEIR ESCAPEMENT FOR 2007.  C&amp;E APPENDIX F7.</t>
        </r>
      </text>
    </comment>
    <comment ref="B58" authorId="0">
      <text>
        <r>
          <rPr>
            <b/>
            <sz val="9"/>
            <color indexed="81"/>
            <rFont val="Tahoma"/>
            <family val="2"/>
          </rPr>
          <t>rebrenner:</t>
        </r>
        <r>
          <rPr>
            <sz val="9"/>
            <color indexed="81"/>
            <rFont val="Tahoma"/>
            <family val="2"/>
          </rPr>
          <t xml:space="preserve">
</t>
        </r>
        <r>
          <rPr>
            <sz val="18"/>
            <color indexed="81"/>
            <rFont val="Tahoma"/>
            <family val="2"/>
          </rPr>
          <t>INCLUDES 500 BELOW WEIR AND 500 BELOW CABIN, PLUS 23,129 FOR THE ACTUAL ESCAPEMENT COUNT.</t>
        </r>
      </text>
    </comment>
    <comment ref="AX64" authorId="2">
      <text>
        <r>
          <rPr>
            <sz val="8"/>
            <color indexed="81"/>
            <rFont val="Tahoma"/>
            <family val="2"/>
          </rPr>
          <t>Formula failed to convert</t>
        </r>
      </text>
    </comment>
    <comment ref="AY64" authorId="2">
      <text>
        <r>
          <rPr>
            <sz val="8"/>
            <color indexed="81"/>
            <rFont val="Tahoma"/>
            <family val="2"/>
          </rPr>
          <t>Formula failed to convert</t>
        </r>
      </text>
    </comment>
    <comment ref="AZ64" authorId="2">
      <text>
        <r>
          <rPr>
            <sz val="8"/>
            <color indexed="81"/>
            <rFont val="Tahoma"/>
            <family val="2"/>
          </rPr>
          <t>Formula failed to convert</t>
        </r>
      </text>
    </comment>
  </commentList>
</comments>
</file>

<file path=xl/comments4.xml><?xml version="1.0" encoding="utf-8"?>
<comments xmlns="http://schemas.openxmlformats.org/spreadsheetml/2006/main">
  <authors>
    <author>rebrenner</author>
    <author>Richard Merizon</author>
    <author>ramerizon</author>
  </authors>
  <commentList>
    <comment ref="B31" authorId="0">
      <text>
        <r>
          <rPr>
            <b/>
            <sz val="9"/>
            <color indexed="81"/>
            <rFont val="Tahoma"/>
            <family val="2"/>
          </rPr>
          <t>rebrenner:</t>
        </r>
        <r>
          <rPr>
            <sz val="9"/>
            <color indexed="81"/>
            <rFont val="Tahoma"/>
            <family val="2"/>
          </rPr>
          <t xml:space="preserve">
NO WEIR</t>
        </r>
      </text>
    </comment>
    <comment ref="B42" authorId="0">
      <text>
        <r>
          <rPr>
            <b/>
            <sz val="9"/>
            <color indexed="81"/>
            <rFont val="Tahoma"/>
            <family val="2"/>
          </rPr>
          <t>rebrenner:</t>
        </r>
        <r>
          <rPr>
            <sz val="9"/>
            <color indexed="81"/>
            <rFont val="Tahoma"/>
            <family val="2"/>
          </rPr>
          <t xml:space="preserve">
NO WEIR</t>
        </r>
      </text>
    </comment>
    <comment ref="D45" authorId="1">
      <text>
        <r>
          <rPr>
            <sz val="8"/>
            <color indexed="81"/>
            <rFont val="Tahoma"/>
            <family val="2"/>
          </rPr>
          <t>There are zero wild Eshamy sockeye  in the CPF harvest according to the CWT estimate.</t>
        </r>
      </text>
    </comment>
    <comment ref="B47" authorId="2">
      <text>
        <r>
          <rPr>
            <sz val="10"/>
            <color indexed="81"/>
            <rFont val="Tahoma"/>
            <family val="2"/>
          </rPr>
          <t>A complete run reconstruction can be found on "2003_Eshamy_Total_Wild_run_estimate.xls" in this subdirectory.  It explains how the Eshamy Lake stock contributed to the CPF harvest, plus total escapement through the weir, 2003.</t>
        </r>
        <r>
          <rPr>
            <sz val="8"/>
            <color indexed="81"/>
            <rFont val="Tahoma"/>
            <family val="2"/>
          </rPr>
          <t xml:space="preserve">
</t>
        </r>
      </text>
    </comment>
    <comment ref="B48" authorId="2">
      <text>
        <r>
          <rPr>
            <b/>
            <sz val="8"/>
            <color indexed="81"/>
            <rFont val="Tahoma"/>
            <family val="2"/>
          </rPr>
          <t>ramerizon:</t>
        </r>
        <r>
          <rPr>
            <sz val="8"/>
            <color indexed="81"/>
            <rFont val="Tahoma"/>
            <family val="2"/>
          </rPr>
          <t xml:space="preserve">
A complete run reconstruction can be found on "2004_Eshamy_Total_Wild_run_estimate.xls" in this subdirectory.  It explains how the Eshamy Lake stock contributed to the CPF harvest, plus total escapement through the weir, 2004.</t>
        </r>
      </text>
    </comment>
    <comment ref="B49" authorId="2">
      <text>
        <r>
          <rPr>
            <b/>
            <sz val="10"/>
            <color indexed="81"/>
            <rFont val="Tahoma"/>
            <family val="2"/>
          </rPr>
          <t>ramerizon:</t>
        </r>
        <r>
          <rPr>
            <sz val="10"/>
            <color indexed="81"/>
            <rFont val="Tahoma"/>
            <family val="2"/>
          </rPr>
          <t xml:space="preserve">
A complete run reconstruction can be found on "2005_Eshamy_Total_Wild_run_estimate.xls" in this subdirectory.  It explains how the Eshamy Lake stock contributed to the CPF harvest, plus total escapement through the weir, 2005.</t>
        </r>
      </text>
    </comment>
    <comment ref="B51" authorId="0">
      <text>
        <r>
          <rPr>
            <b/>
            <sz val="8"/>
            <color indexed="81"/>
            <rFont val="Tahoma"/>
            <family val="2"/>
          </rPr>
          <t>rebrenner:</t>
        </r>
        <r>
          <rPr>
            <sz val="8"/>
            <color indexed="81"/>
            <rFont val="Tahoma"/>
            <family val="2"/>
          </rPr>
          <t xml:space="preserve">
</t>
        </r>
        <r>
          <rPr>
            <sz val="16"/>
            <color indexed="81"/>
            <rFont val="Tahoma"/>
            <family val="2"/>
          </rPr>
          <t>= Eshamy weir counts (16646) + estimated wild sockeye harvested in Eshamy district after July 9th (18236) + estimated wild sockeye harvested in the SW District after July 9th (4115)</t>
        </r>
      </text>
    </comment>
    <comment ref="B52" authorId="0">
      <text>
        <r>
          <rPr>
            <b/>
            <sz val="8"/>
            <color indexed="81"/>
            <rFont val="Tahoma"/>
            <family val="2"/>
          </rPr>
          <t>rebrenner:</t>
        </r>
        <r>
          <rPr>
            <sz val="8"/>
            <color indexed="81"/>
            <rFont val="Tahoma"/>
            <family val="2"/>
          </rPr>
          <t xml:space="preserve">
</t>
        </r>
        <r>
          <rPr>
            <sz val="16"/>
            <color indexed="81"/>
            <rFont val="Tahoma"/>
            <family val="2"/>
          </rPr>
          <t>= the sum of wild caught sockeye in the Eshamy District after July 9th (24,935) as determined from the preliminary contribution report (11/18/2008) + Eshamy escapement (18495) from weir counts + any wild sockeye that were caught in the SW District after July 9th (797).</t>
        </r>
      </text>
    </comment>
    <comment ref="B6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B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C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D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E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F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H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I75"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B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C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D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E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F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H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 ref="I86" authorId="0">
      <text>
        <r>
          <rPr>
            <b/>
            <sz val="8"/>
            <color indexed="81"/>
            <rFont val="Tahoma"/>
            <family val="2"/>
          </rPr>
          <t>rebrenner:</t>
        </r>
        <r>
          <rPr>
            <sz val="8"/>
            <color indexed="81"/>
            <rFont val="Tahoma"/>
            <family val="2"/>
          </rPr>
          <t xml:space="preserve">
</t>
        </r>
        <r>
          <rPr>
            <sz val="14"/>
            <color indexed="81"/>
            <rFont val="Tahoma"/>
            <family val="2"/>
          </rPr>
          <t>From Probability and Statistics for Engineering and the Sciences, 4th edition. pg. 296
A P.I. for a single observation to be selected from a NORMAL population distribution is:
x +/-  t</t>
        </r>
        <r>
          <rPr>
            <vertAlign val="subscript"/>
            <sz val="14"/>
            <color indexed="81"/>
            <rFont val="Tahoma"/>
            <family val="2"/>
          </rPr>
          <t>a/2, n-1</t>
        </r>
        <r>
          <rPr>
            <sz val="14"/>
            <color indexed="81"/>
            <rFont val="Tahoma"/>
            <family val="2"/>
          </rPr>
          <t xml:space="preserve"> * s * sqrt(1 + 1/n)
The prediction level is 100(1 - a)%</t>
        </r>
      </text>
    </comment>
  </commentList>
</comments>
</file>

<file path=xl/sharedStrings.xml><?xml version="1.0" encoding="utf-8"?>
<sst xmlns="http://schemas.openxmlformats.org/spreadsheetml/2006/main" count="228" uniqueCount="140">
  <si>
    <t>Return Year, Age and Age class return (number of fish)</t>
  </si>
  <si>
    <t>Total</t>
  </si>
  <si>
    <t xml:space="preserve">Total </t>
  </si>
  <si>
    <t>Brood</t>
  </si>
  <si>
    <t>Brood Year</t>
  </si>
  <si>
    <t xml:space="preserve">Return </t>
  </si>
  <si>
    <t>Age 2</t>
  </si>
  <si>
    <t>Age 3</t>
  </si>
  <si>
    <t>Age 4</t>
  </si>
  <si>
    <t>Age 5</t>
  </si>
  <si>
    <t>Age 6</t>
  </si>
  <si>
    <t xml:space="preserve">Brood </t>
  </si>
  <si>
    <t>Return per</t>
  </si>
  <si>
    <t>Return by</t>
  </si>
  <si>
    <t>Year</t>
  </si>
  <si>
    <t>Escapement</t>
  </si>
  <si>
    <t>Return</t>
  </si>
  <si>
    <t>Spawner</t>
  </si>
  <si>
    <t>Return year</t>
  </si>
  <si>
    <t>Graph estimates</t>
  </si>
  <si>
    <t xml:space="preserve">Estimated </t>
  </si>
  <si>
    <t xml:space="preserve">Mean </t>
  </si>
  <si>
    <t>Predicted</t>
  </si>
  <si>
    <t>BYR</t>
  </si>
  <si>
    <t xml:space="preserve">Return per </t>
  </si>
  <si>
    <t>Regression Output:</t>
  </si>
  <si>
    <t xml:space="preserve">       ?</t>
  </si>
  <si>
    <t>Constant</t>
  </si>
  <si>
    <t xml:space="preserve">         ?</t>
  </si>
  <si>
    <t>Std Err of Y Est</t>
  </si>
  <si>
    <t>R Squared</t>
  </si>
  <si>
    <t xml:space="preserve">     ?</t>
  </si>
  <si>
    <t>No. of Observations</t>
  </si>
  <si>
    <t>?</t>
  </si>
  <si>
    <t>No age composition</t>
  </si>
  <si>
    <t>Degrees of Freedom</t>
  </si>
  <si>
    <t>X Coefficient(s)</t>
  </si>
  <si>
    <t>Std Err of Coef.</t>
  </si>
  <si>
    <t xml:space="preserve">       ? </t>
  </si>
  <si>
    <t>No Weir</t>
  </si>
  <si>
    <t>NA</t>
  </si>
  <si>
    <t>All Years</t>
  </si>
  <si>
    <t>Mean</t>
  </si>
  <si>
    <t>Peak years 1964-1992</t>
  </si>
  <si>
    <t>NonPeak years</t>
  </si>
  <si>
    <t>Mean (1964, 1968 - 1981, 1984-1991)</t>
  </si>
  <si>
    <t>Mean (1968-1969, 1972-1986, 1988-1996)</t>
  </si>
  <si>
    <t xml:space="preserve">Commercial harvests after July 15 in the SW District and all harvests in Eshamy </t>
  </si>
  <si>
    <t xml:space="preserve">District through 1989 were estimated to be Eshamy wild stock.  CWT recoveries </t>
  </si>
  <si>
    <t>were used after 1989 to provide Eshamy wild stock harvest and escapement.</t>
  </si>
  <si>
    <t>+/-</t>
  </si>
  <si>
    <t>No weir counts are available for 1987.  All age compositions are from escapement</t>
  </si>
  <si>
    <t>samples except 1974 which came from catch samples.  The hatchery component</t>
  </si>
  <si>
    <t>The 1961 - 1978 data are not weighted by escapement and are summarized from hard copy sheets.</t>
  </si>
  <si>
    <t>Figure</t>
  </si>
  <si>
    <t>Escapement estimates of wild stock sockeye salmon at the Eshamy River weir, 1961-1997.</t>
  </si>
  <si>
    <t>Eshamy Lake wild sockeye salmon total brood return versus brood year escapement, 1964-1992.</t>
  </si>
  <si>
    <t xml:space="preserve">Figure </t>
  </si>
  <si>
    <t>Return per spawner estimates for wild Eshamy Lake sockeye salmon, 1964-1992.</t>
  </si>
  <si>
    <t>Eshamy Lake wild sockeye salmon return per spawner by brood year escapement size, 1964-1992.</t>
  </si>
  <si>
    <t xml:space="preserve">estimates are historical averages because there is no age compostion data for the runs in 1970 and 1971 and there were no </t>
  </si>
  <si>
    <t>Year in the four year cycle (Peak = year one)</t>
  </si>
  <si>
    <t>Year 1</t>
  </si>
  <si>
    <t>Year 2</t>
  </si>
  <si>
    <t>Year 3</t>
  </si>
  <si>
    <t>Year 4</t>
  </si>
  <si>
    <t>Combined years</t>
  </si>
  <si>
    <t>Year 1&amp; 2</t>
  </si>
  <si>
    <t>Year 3 &amp; 4</t>
  </si>
  <si>
    <t>n</t>
  </si>
  <si>
    <t>All years</t>
  </si>
  <si>
    <t>Estimated Total Run</t>
  </si>
  <si>
    <t>Mean run size</t>
  </si>
  <si>
    <t>First releases from Main Bay Hatchery</t>
  </si>
  <si>
    <t xml:space="preserve">First large return of Eshamy remote release : 62,131 fish </t>
  </si>
  <si>
    <t>Large remote release return: 88,128 fish</t>
  </si>
  <si>
    <t>Large remote release return: 32,366 fish</t>
  </si>
  <si>
    <t>Large remote release return: 47,132</t>
  </si>
  <si>
    <t>First large returns (&gt; 10,000) to Main Bay Hatchery</t>
  </si>
  <si>
    <t>All Years before major hatchery returns (1968-1990)</t>
  </si>
  <si>
    <t xml:space="preserve">     number of wild fish in the catch and escapement.  The large number of returning fish combined with</t>
  </si>
  <si>
    <t>The Eshamy Lake stock has a fairly well defined four-year cycle consisting of a strong brood year followed</t>
  </si>
  <si>
    <t>by three weak brood years.  The mean returns are 70% age 4 and 28% age 5 fish.  These two factors</t>
  </si>
  <si>
    <t>brood year, followed by two years of very weak runs.</t>
  </si>
  <si>
    <t xml:space="preserve">     variability in sampling coverage, sampling rate, tag ratios, and release estimates may have caused an </t>
  </si>
  <si>
    <t xml:space="preserve">cause a cycle of a strong peak year run, a weaker run the next year with still some fish from the strong </t>
  </si>
  <si>
    <t>was removed from escapement numbers from 1991 through 1997.</t>
  </si>
  <si>
    <t xml:space="preserve">    underestimate of the wild contributions in the strong run years and an overestimate in the weak run years.</t>
  </si>
  <si>
    <t>Estimated total brood year returns for Eshamy Lake wild sockeye salmon, 1964-1993.  Major portions of the 1982-1983, and 1993</t>
  </si>
  <si>
    <t>Figure  1.</t>
  </si>
  <si>
    <t>Figure 2.</t>
  </si>
  <si>
    <t xml:space="preserve">estimates of escapement numbers or escapement age composition in 1987 and 1998.  The cycle of a strong brood year every four years is </t>
  </si>
  <si>
    <t>apparent starting in 1968, but did not occur for the 1992 brood year.</t>
  </si>
  <si>
    <t xml:space="preserve">Estimated total run size by year for Eshamy Lake wild sockeye salmon, 1968-1997.  Wild stock run sizes for 1989-1997 were estimated with </t>
  </si>
  <si>
    <t>coded-wire tag data; however, the first large hatchery returns did not start until 1991.  There was no weir in 1987 or 1998.</t>
  </si>
  <si>
    <t>Plus 5,000 below the weir when it was pulled.</t>
  </si>
  <si>
    <t>SD</t>
  </si>
  <si>
    <t>t(n-1,0.1)</t>
  </si>
  <si>
    <t>80% CI</t>
  </si>
  <si>
    <t>Lower</t>
  </si>
  <si>
    <t>Upper</t>
  </si>
  <si>
    <t>Point estimate for 2000</t>
  </si>
  <si>
    <t>Lower 80%</t>
  </si>
  <si>
    <t>Upper 80%</t>
  </si>
  <si>
    <t>BY95</t>
  </si>
  <si>
    <t>BY96</t>
  </si>
  <si>
    <t>Mean proportion at age</t>
  </si>
  <si>
    <t xml:space="preserve">The hatchery component in the 1995 escapement was estimated as 57.27% of 21,701 through the weir </t>
  </si>
  <si>
    <t>Count</t>
  </si>
  <si>
    <t>STDEV</t>
  </si>
  <si>
    <t>1972-1997</t>
  </si>
  <si>
    <t>Eshamy 2000 Forecast</t>
  </si>
  <si>
    <t>Return of sockeye salmon by brood year for the major age classes and the return per spawner for Eshamy Lake.</t>
  </si>
  <si>
    <r>
      <t>1991</t>
    </r>
    <r>
      <rPr>
        <vertAlign val="superscript"/>
        <sz val="12"/>
        <rFont val="Times New Roman"/>
        <family val="1"/>
      </rPr>
      <t xml:space="preserve"> a</t>
    </r>
  </si>
  <si>
    <r>
      <t>t</t>
    </r>
    <r>
      <rPr>
        <vertAlign val="subscript"/>
        <sz val="12"/>
        <rFont val="Times New Roman"/>
        <family val="1"/>
      </rPr>
      <t>0.20(2),n-1</t>
    </r>
  </si>
  <si>
    <r>
      <t xml:space="preserve">a   </t>
    </r>
    <r>
      <rPr>
        <sz val="12"/>
        <rFont val="Times New Roman"/>
        <family val="1"/>
      </rPr>
      <t xml:space="preserve">  Beginning in 1991, large runs of hatchery fish required the use of coded-wire tags to estimate the </t>
    </r>
  </si>
  <si>
    <t>Comments</t>
  </si>
  <si>
    <t>1) Complete the current year's Eshamy wild run estimate worksheet in \\Dfgcdvfs01\common\DCF\Salmon\FORECAST\Eshamy\Wild_Run_Estimates</t>
  </si>
  <si>
    <t>This file will be named: 20XX_Eshamy_Total_Wild_run_estimate.xls</t>
  </si>
  <si>
    <t>The total Esahmy run size = Eshamy weir escapement + the contribution estimate of wild sockeye harvested in the Esahmy district after July 9th + wild sockeye harvested</t>
  </si>
  <si>
    <t>2) Use these numbers to complete the total catch believed to be going into Eshamy</t>
  </si>
  <si>
    <t>Desired P.I. (%)</t>
  </si>
  <si>
    <t>t</t>
  </si>
  <si>
    <t>Lower 80% PI</t>
  </si>
  <si>
    <t>Upper 80% PI</t>
  </si>
  <si>
    <t>INSTRUCTIONS:</t>
  </si>
  <si>
    <t>in the SW District after ~July 9th.  Note, be sure that contribution estimates are FINAL before doing this.</t>
  </si>
  <si>
    <t>Forecast</t>
  </si>
  <si>
    <t>Total Escapement at weir</t>
  </si>
  <si>
    <t>Actual Run Estimate</t>
  </si>
  <si>
    <t>Return Year</t>
  </si>
  <si>
    <t>Forecast Method</t>
  </si>
  <si>
    <t>Avg. year 3 run size</t>
  </si>
  <si>
    <t>Eshamy</t>
  </si>
  <si>
    <t>Drainage</t>
  </si>
  <si>
    <t>Catch</t>
  </si>
  <si>
    <t>Harvest</t>
  </si>
  <si>
    <t>Estimated total run size  (catch + escapement) by year for Eshamy Lake sockeye salmon, 1968-2011.</t>
  </si>
  <si>
    <t>All Years (1968-2011)</t>
  </si>
  <si>
    <t>Years since major hatchery returns (1989-2011)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</si>
</sst>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_)"/>
    <numFmt numFmtId="165" formatCode="0.00_)"/>
    <numFmt numFmtId="166" formatCode="0.0_)"/>
    <numFmt numFmtId="167" formatCode="#,##0.000_);\(#,##0.000\)"/>
    <numFmt numFmtId="168" formatCode="_(* #,##0_);_(* \(#,##0\);_(* &quot;-&quot;??_);_(@_)"/>
    <numFmt numFmtId="169" formatCode="mm/dd/yy"/>
    <numFmt numFmtId="170" formatCode="0.000_)"/>
  </numFmts>
  <fonts count="39" x14ac:knownFonts="1">
    <font>
      <sz val="12"/>
      <name val="Arial"/>
    </font>
    <font>
      <sz val="10"/>
      <name val="Times New Roman"/>
      <family val="1"/>
    </font>
    <font>
      <sz val="14"/>
      <name val="Arial"/>
      <family val="2"/>
    </font>
    <font>
      <sz val="12"/>
      <name val="Arial"/>
      <family val="2"/>
    </font>
    <font>
      <sz val="8"/>
      <color indexed="81"/>
      <name val="Tahoma"/>
      <family val="2"/>
    </font>
    <font>
      <b/>
      <sz val="8"/>
      <color indexed="81"/>
      <name val="Tahoma"/>
      <family val="2"/>
    </font>
    <font>
      <b/>
      <sz val="10"/>
      <color indexed="81"/>
      <name val="Tahoma"/>
      <family val="2"/>
    </font>
    <font>
      <sz val="10"/>
      <color indexed="81"/>
      <name val="Tahoma"/>
      <family val="2"/>
    </font>
    <font>
      <sz val="12"/>
      <color indexed="81"/>
      <name val="Tahoma"/>
      <family val="2"/>
    </font>
    <font>
      <sz val="8"/>
      <name val="Arial"/>
      <family val="2"/>
    </font>
    <font>
      <sz val="12"/>
      <name val="Times New Roman"/>
      <family val="1"/>
    </font>
    <font>
      <b/>
      <sz val="12"/>
      <name val="Times New Roman"/>
      <family val="1"/>
    </font>
    <font>
      <sz val="12"/>
      <color indexed="8"/>
      <name val="Times New Roman"/>
      <family val="1"/>
    </font>
    <font>
      <vertAlign val="superscript"/>
      <sz val="12"/>
      <name val="Times New Roman"/>
      <family val="1"/>
    </font>
    <font>
      <u/>
      <sz val="14"/>
      <name val="Times New Roman"/>
      <family val="1"/>
    </font>
    <font>
      <vertAlign val="subscript"/>
      <sz val="12"/>
      <name val="Times New Roman"/>
      <family val="1"/>
    </font>
    <font>
      <b/>
      <sz val="14"/>
      <name val="Times New Roman"/>
      <family val="1"/>
    </font>
    <font>
      <sz val="12"/>
      <color indexed="12"/>
      <name val="Times New Roman"/>
      <family val="1"/>
    </font>
    <font>
      <b/>
      <sz val="12"/>
      <color indexed="12"/>
      <name val="Times New Roman"/>
      <family val="1"/>
    </font>
    <font>
      <b/>
      <sz val="18"/>
      <name val="Times New Roman"/>
      <family val="1"/>
    </font>
    <font>
      <sz val="12"/>
      <color indexed="10"/>
      <name val="Times New Roman"/>
      <family val="1"/>
    </font>
    <font>
      <sz val="14"/>
      <name val="Times New Roman"/>
      <family val="1"/>
    </font>
    <font>
      <sz val="18"/>
      <name val="Times New Roman"/>
      <family val="1"/>
    </font>
    <font>
      <sz val="10"/>
      <color indexed="12"/>
      <name val="Times New Roman"/>
      <family val="1"/>
    </font>
    <font>
      <sz val="16"/>
      <color indexed="81"/>
      <name val="Tahoma"/>
      <family val="2"/>
    </font>
    <font>
      <b/>
      <sz val="10"/>
      <name val="Times New Roman"/>
      <family val="1"/>
    </font>
    <font>
      <sz val="12"/>
      <color indexed="12"/>
      <name val="Times New Roman"/>
      <family val="1"/>
    </font>
    <font>
      <sz val="14"/>
      <color indexed="81"/>
      <name val="Tahoma"/>
      <family val="2"/>
    </font>
    <font>
      <vertAlign val="subscript"/>
      <sz val="14"/>
      <color indexed="81"/>
      <name val="Tahoma"/>
      <family val="2"/>
    </font>
    <font>
      <sz val="18"/>
      <color indexed="81"/>
      <name val="Tahoma"/>
      <family val="2"/>
    </font>
    <font>
      <b/>
      <sz val="12"/>
      <name val="Arial"/>
      <family val="2"/>
    </font>
    <font>
      <sz val="10"/>
      <name val="Arial"/>
      <family val="2"/>
    </font>
    <font>
      <b/>
      <sz val="9"/>
      <color indexed="81"/>
      <name val="Tahoma"/>
      <family val="2"/>
    </font>
    <font>
      <sz val="9"/>
      <color indexed="81"/>
      <name val="Tahoma"/>
      <family val="2"/>
    </font>
    <font>
      <sz val="12"/>
      <color rgb="FF0000FF"/>
      <name val="Times New Roman"/>
      <family val="1"/>
    </font>
    <font>
      <sz val="14"/>
      <color rgb="FF0000FF"/>
      <name val="Times New Roman"/>
      <family val="1"/>
    </font>
    <font>
      <sz val="12"/>
      <color rgb="FFFF0000"/>
      <name val="Times New Roman"/>
      <family val="1"/>
    </font>
    <font>
      <u/>
      <sz val="12"/>
      <color theme="10"/>
      <name val="Arial"/>
    </font>
    <font>
      <u/>
      <sz val="12"/>
      <color theme="11"/>
      <name val="Arial"/>
    </font>
  </fonts>
  <fills count="7">
    <fill>
      <patternFill patternType="none"/>
    </fill>
    <fill>
      <patternFill patternType="gray125"/>
    </fill>
    <fill>
      <patternFill patternType="solid">
        <fgColor indexed="22"/>
        <bgColor indexed="22"/>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3">
    <border>
      <left/>
      <right/>
      <top/>
      <bottom/>
      <diagonal/>
    </border>
    <border>
      <left/>
      <right/>
      <top/>
      <bottom style="thin">
        <color auto="1"/>
      </bottom>
      <diagonal/>
    </border>
    <border>
      <left/>
      <right/>
      <top/>
      <bottom style="double">
        <color auto="1"/>
      </bottom>
      <diagonal/>
    </border>
    <border>
      <left/>
      <right/>
      <top style="thin">
        <color auto="1"/>
      </top>
      <bottom/>
      <diagonal/>
    </border>
    <border>
      <left/>
      <right/>
      <top/>
      <bottom style="medium">
        <color auto="1"/>
      </bottom>
      <diagonal/>
    </border>
    <border>
      <left style="thin">
        <color indexed="8"/>
      </left>
      <right/>
      <top style="double">
        <color indexed="8"/>
      </top>
      <bottom/>
      <diagonal/>
    </border>
    <border>
      <left style="double">
        <color indexed="8"/>
      </left>
      <right/>
      <top style="double">
        <color indexed="8"/>
      </top>
      <bottom/>
      <diagonal/>
    </border>
    <border>
      <left/>
      <right/>
      <top style="double">
        <color indexed="8"/>
      </top>
      <bottom/>
      <diagonal/>
    </border>
    <border>
      <left style="double">
        <color indexed="8"/>
      </left>
      <right style="double">
        <color indexed="8"/>
      </right>
      <top style="double">
        <color indexed="8"/>
      </top>
      <bottom/>
      <diagonal/>
    </border>
    <border>
      <left style="double">
        <color indexed="8"/>
      </left>
      <right/>
      <top/>
      <bottom/>
      <diagonal/>
    </border>
    <border>
      <left style="thin">
        <color indexed="8"/>
      </left>
      <right/>
      <top/>
      <bottom/>
      <diagonal/>
    </border>
    <border>
      <left style="double">
        <color indexed="8"/>
      </left>
      <right/>
      <top style="thin">
        <color indexed="8"/>
      </top>
      <bottom/>
      <diagonal/>
    </border>
    <border>
      <left style="thin">
        <color indexed="8"/>
      </left>
      <right/>
      <top style="thin">
        <color indexed="8"/>
      </top>
      <bottom/>
      <diagonal/>
    </border>
    <border>
      <left/>
      <right/>
      <top style="thin">
        <color indexed="8"/>
      </top>
      <bottom/>
      <diagonal/>
    </border>
    <border>
      <left style="double">
        <color indexed="8"/>
      </left>
      <right style="double">
        <color indexed="8"/>
      </right>
      <top/>
      <bottom/>
      <diagonal/>
    </border>
    <border>
      <left style="double">
        <color indexed="8"/>
      </left>
      <right/>
      <top/>
      <bottom style="double">
        <color indexed="8"/>
      </bottom>
      <diagonal/>
    </border>
    <border>
      <left style="thin">
        <color indexed="8"/>
      </left>
      <right/>
      <top/>
      <bottom style="double">
        <color indexed="8"/>
      </bottom>
      <diagonal/>
    </border>
    <border>
      <left style="thin">
        <color indexed="8"/>
      </left>
      <right/>
      <top style="thin">
        <color indexed="8"/>
      </top>
      <bottom style="double">
        <color indexed="8"/>
      </bottom>
      <diagonal/>
    </border>
    <border>
      <left style="double">
        <color indexed="8"/>
      </left>
      <right style="double">
        <color indexed="8"/>
      </right>
      <top/>
      <bottom style="double">
        <color indexed="8"/>
      </bottom>
      <diagonal/>
    </border>
    <border>
      <left/>
      <right/>
      <top/>
      <bottom style="thin">
        <color indexed="8"/>
      </bottom>
      <diagonal/>
    </border>
    <border>
      <left style="double">
        <color indexed="8"/>
      </left>
      <right/>
      <top/>
      <bottom style="thin">
        <color indexed="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8"/>
      </top>
      <bottom style="thin">
        <color indexed="8"/>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43" fontId="31" fillId="0" borderId="0" applyFont="0" applyFill="0" applyBorder="0" applyAlignment="0" applyProtection="0"/>
    <xf numFmtId="0" fontId="31" fillId="0" borderId="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cellStyleXfs>
  <cellXfs count="221">
    <xf numFmtId="0" fontId="0" fillId="0" borderId="0" xfId="0"/>
    <xf numFmtId="0" fontId="2" fillId="0" borderId="0" xfId="0" applyFont="1" applyProtection="1"/>
    <xf numFmtId="22" fontId="0" fillId="0" borderId="0" xfId="0" applyNumberFormat="1"/>
    <xf numFmtId="0" fontId="10" fillId="0" borderId="0" xfId="0" applyFont="1"/>
    <xf numFmtId="0" fontId="11" fillId="0" borderId="0" xfId="0" applyFont="1"/>
    <xf numFmtId="0" fontId="10" fillId="0" borderId="1" xfId="0" applyFont="1" applyBorder="1"/>
    <xf numFmtId="0" fontId="10" fillId="0" borderId="0" xfId="0" applyFont="1" applyAlignment="1">
      <alignment horizontal="center"/>
    </xf>
    <xf numFmtId="0" fontId="10" fillId="0" borderId="1" xfId="0" applyFont="1" applyBorder="1" applyAlignment="1">
      <alignment horizontal="center"/>
    </xf>
    <xf numFmtId="0" fontId="10" fillId="0" borderId="0" xfId="0" applyFont="1" applyBorder="1" applyAlignment="1">
      <alignment horizontal="center"/>
    </xf>
    <xf numFmtId="0" fontId="10" fillId="0" borderId="0" xfId="0" applyFont="1" applyBorder="1"/>
    <xf numFmtId="0" fontId="10" fillId="0" borderId="2" xfId="0" applyFont="1" applyBorder="1" applyAlignment="1">
      <alignment horizontal="center"/>
    </xf>
    <xf numFmtId="0" fontId="10" fillId="0" borderId="0" xfId="0" applyFont="1" applyBorder="1" applyAlignment="1">
      <alignment horizontal="centerContinuous"/>
    </xf>
    <xf numFmtId="164" fontId="10" fillId="0" borderId="0" xfId="0" applyNumberFormat="1" applyFont="1" applyBorder="1" applyAlignment="1" applyProtection="1">
      <alignment horizontal="center"/>
    </xf>
    <xf numFmtId="37" fontId="12" fillId="0" borderId="0" xfId="0" applyNumberFormat="1" applyFont="1" applyBorder="1" applyProtection="1"/>
    <xf numFmtId="164" fontId="12" fillId="0" borderId="0" xfId="0" applyNumberFormat="1" applyFont="1" applyBorder="1" applyAlignment="1" applyProtection="1">
      <alignment horizontal="center"/>
    </xf>
    <xf numFmtId="164" fontId="12" fillId="0" borderId="1" xfId="0" applyNumberFormat="1" applyFont="1" applyBorder="1" applyAlignment="1" applyProtection="1">
      <alignment horizontal="center"/>
    </xf>
    <xf numFmtId="37" fontId="10" fillId="0" borderId="1" xfId="0" applyNumberFormat="1" applyFont="1" applyBorder="1"/>
    <xf numFmtId="164" fontId="10" fillId="0" borderId="1" xfId="0" applyNumberFormat="1" applyFont="1" applyBorder="1" applyAlignment="1" applyProtection="1">
      <alignment horizontal="center"/>
    </xf>
    <xf numFmtId="168" fontId="10" fillId="0" borderId="0" xfId="1" applyNumberFormat="1" applyFont="1" applyBorder="1"/>
    <xf numFmtId="37" fontId="10" fillId="0" borderId="1" xfId="0" applyNumberFormat="1" applyFont="1" applyBorder="1" applyAlignment="1">
      <alignment horizontal="center"/>
    </xf>
    <xf numFmtId="3" fontId="10" fillId="0" borderId="0" xfId="0" applyNumberFormat="1" applyFont="1"/>
    <xf numFmtId="3" fontId="10" fillId="0" borderId="1" xfId="0" applyNumberFormat="1" applyFont="1" applyBorder="1"/>
    <xf numFmtId="3" fontId="10" fillId="0" borderId="1" xfId="0" applyNumberFormat="1" applyFont="1" applyFill="1" applyBorder="1"/>
    <xf numFmtId="0" fontId="10" fillId="0" borderId="0" xfId="0" applyFont="1" applyFill="1" applyBorder="1"/>
    <xf numFmtId="0" fontId="10" fillId="0" borderId="0" xfId="0" applyFont="1" applyAlignment="1"/>
    <xf numFmtId="168" fontId="10" fillId="0" borderId="0" xfId="1" applyNumberFormat="1" applyFont="1" applyBorder="1" applyAlignment="1"/>
    <xf numFmtId="9" fontId="10" fillId="0" borderId="0" xfId="0" applyNumberFormat="1" applyFont="1" applyBorder="1" applyAlignment="1" applyProtection="1">
      <alignment horizontal="centerContinuous"/>
    </xf>
    <xf numFmtId="0" fontId="10" fillId="0" borderId="0" xfId="0" applyFont="1" applyBorder="1" applyAlignment="1"/>
    <xf numFmtId="0" fontId="10" fillId="0" borderId="0" xfId="0" quotePrefix="1" applyFont="1"/>
    <xf numFmtId="168" fontId="10" fillId="0" borderId="0" xfId="0" applyNumberFormat="1" applyFont="1" applyBorder="1" applyAlignment="1"/>
    <xf numFmtId="37" fontId="16" fillId="0" borderId="0" xfId="0" applyNumberFormat="1" applyFont="1" applyBorder="1" applyAlignment="1"/>
    <xf numFmtId="37" fontId="10" fillId="0" borderId="0" xfId="0" applyNumberFormat="1" applyFont="1" applyBorder="1" applyProtection="1"/>
    <xf numFmtId="0" fontId="10" fillId="0" borderId="1" xfId="0" applyFont="1" applyBorder="1" applyAlignment="1">
      <alignment horizontal="right"/>
    </xf>
    <xf numFmtId="37" fontId="10" fillId="0" borderId="1" xfId="0" applyNumberFormat="1" applyFont="1" applyBorder="1" applyProtection="1"/>
    <xf numFmtId="37" fontId="10" fillId="0" borderId="0" xfId="0" applyNumberFormat="1" applyFont="1" applyProtection="1"/>
    <xf numFmtId="0" fontId="14" fillId="0" borderId="3" xfId="0" applyFont="1" applyBorder="1"/>
    <xf numFmtId="0" fontId="10" fillId="0" borderId="3" xfId="0" applyFont="1" applyBorder="1"/>
    <xf numFmtId="0" fontId="10" fillId="0" borderId="3" xfId="0" applyFont="1" applyBorder="1" applyAlignment="1">
      <alignment horizontal="right"/>
    </xf>
    <xf numFmtId="0" fontId="10" fillId="0" borderId="0" xfId="0" applyFont="1" applyAlignment="1">
      <alignment horizontal="right"/>
    </xf>
    <xf numFmtId="167" fontId="10" fillId="0" borderId="0" xfId="0" applyNumberFormat="1" applyFont="1" applyProtection="1"/>
    <xf numFmtId="0" fontId="13" fillId="0" borderId="0" xfId="0" applyFont="1"/>
    <xf numFmtId="169" fontId="10" fillId="0" borderId="0" xfId="0" applyNumberFormat="1" applyFont="1"/>
    <xf numFmtId="0" fontId="10" fillId="0" borderId="4" xfId="0" applyFont="1" applyBorder="1"/>
    <xf numFmtId="0" fontId="10" fillId="0" borderId="4" xfId="0" applyFont="1" applyBorder="1" applyAlignment="1">
      <alignment horizontal="center"/>
    </xf>
    <xf numFmtId="37" fontId="17" fillId="0" borderId="0" xfId="0" applyNumberFormat="1" applyFont="1" applyProtection="1"/>
    <xf numFmtId="0" fontId="17" fillId="0" borderId="0" xfId="0" applyFont="1"/>
    <xf numFmtId="37" fontId="17" fillId="0" borderId="0" xfId="0" applyNumberFormat="1" applyFont="1"/>
    <xf numFmtId="0" fontId="17" fillId="0" borderId="1" xfId="0" applyFont="1" applyBorder="1"/>
    <xf numFmtId="37" fontId="17" fillId="0" borderId="1" xfId="0" applyNumberFormat="1" applyFont="1" applyBorder="1"/>
    <xf numFmtId="37" fontId="17" fillId="0" borderId="1" xfId="0" applyNumberFormat="1" applyFont="1" applyBorder="1" applyAlignment="1">
      <alignment horizontal="center"/>
    </xf>
    <xf numFmtId="37" fontId="17" fillId="0" borderId="0" xfId="0" applyNumberFormat="1" applyFont="1" applyAlignment="1">
      <alignment horizontal="center"/>
    </xf>
    <xf numFmtId="37" fontId="17" fillId="0" borderId="0" xfId="0" applyNumberFormat="1" applyFont="1" applyFill="1"/>
    <xf numFmtId="0" fontId="17" fillId="0" borderId="0" xfId="0" applyFont="1" applyFill="1"/>
    <xf numFmtId="3" fontId="17" fillId="0" borderId="0" xfId="0" applyNumberFormat="1" applyFont="1" applyFill="1"/>
    <xf numFmtId="3" fontId="17" fillId="0" borderId="1" xfId="0" applyNumberFormat="1" applyFont="1" applyFill="1" applyBorder="1"/>
    <xf numFmtId="3" fontId="17" fillId="0" borderId="0" xfId="0" applyNumberFormat="1" applyFont="1" applyFill="1" applyBorder="1"/>
    <xf numFmtId="0" fontId="17" fillId="0" borderId="0" xfId="0" applyFont="1" applyFill="1" applyBorder="1"/>
    <xf numFmtId="0" fontId="17" fillId="0" borderId="0" xfId="0" applyFont="1" applyAlignment="1">
      <alignment horizontal="center"/>
    </xf>
    <xf numFmtId="168" fontId="17" fillId="0" borderId="0" xfId="0" applyNumberFormat="1" applyFont="1" applyFill="1"/>
    <xf numFmtId="3" fontId="17" fillId="0" borderId="0" xfId="0" applyNumberFormat="1" applyFont="1"/>
    <xf numFmtId="3" fontId="17" fillId="0" borderId="1" xfId="0" applyNumberFormat="1" applyFont="1" applyBorder="1"/>
    <xf numFmtId="3" fontId="17" fillId="0" borderId="0" xfId="0" applyNumberFormat="1" applyFont="1" applyBorder="1"/>
    <xf numFmtId="0" fontId="17" fillId="0" borderId="0" xfId="0" applyFont="1" applyBorder="1"/>
    <xf numFmtId="3" fontId="10" fillId="0" borderId="0" xfId="0" applyNumberFormat="1" applyFont="1" applyFill="1" applyBorder="1"/>
    <xf numFmtId="0" fontId="19" fillId="0" borderId="0" xfId="0" applyFont="1"/>
    <xf numFmtId="0" fontId="10" fillId="0" borderId="5" xfId="0" applyFont="1" applyBorder="1"/>
    <xf numFmtId="0" fontId="10" fillId="0" borderId="5" xfId="0" applyFont="1" applyBorder="1" applyAlignment="1">
      <alignment horizontal="right"/>
    </xf>
    <xf numFmtId="0" fontId="10" fillId="0" borderId="6" xfId="0" applyFont="1" applyBorder="1"/>
    <xf numFmtId="0" fontId="10" fillId="0" borderId="7" xfId="0" applyFont="1" applyBorder="1" applyAlignment="1">
      <alignment horizontal="centerContinuous"/>
    </xf>
    <xf numFmtId="0" fontId="10" fillId="0" borderId="6" xfId="0" applyFont="1" applyBorder="1" applyAlignment="1">
      <alignment horizontal="center"/>
    </xf>
    <xf numFmtId="0" fontId="10" fillId="0" borderId="8" xfId="0" applyFont="1" applyBorder="1"/>
    <xf numFmtId="0" fontId="10"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0" fillId="0" borderId="12" xfId="0" applyFont="1" applyBorder="1" applyAlignment="1">
      <alignment horizontal="centerContinuous"/>
    </xf>
    <xf numFmtId="0" fontId="10" fillId="0" borderId="13" xfId="0" applyFont="1" applyBorder="1" applyAlignment="1">
      <alignment horizontal="centerContinuous"/>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0" fontId="10" fillId="0" borderId="17" xfId="0" applyFont="1" applyBorder="1" applyAlignment="1">
      <alignment horizontal="center"/>
    </xf>
    <xf numFmtId="0" fontId="10" fillId="0" borderId="18" xfId="0" applyFont="1" applyBorder="1" applyAlignment="1">
      <alignment horizontal="center"/>
    </xf>
    <xf numFmtId="37" fontId="10" fillId="0" borderId="5" xfId="0" applyNumberFormat="1" applyFont="1" applyBorder="1" applyAlignment="1" applyProtection="1">
      <alignment horizontal="right"/>
    </xf>
    <xf numFmtId="164" fontId="10" fillId="0" borderId="6" xfId="0" applyNumberFormat="1" applyFont="1" applyBorder="1" applyProtection="1"/>
    <xf numFmtId="37" fontId="10" fillId="0" borderId="5" xfId="0" applyNumberFormat="1" applyFont="1" applyBorder="1" applyProtection="1"/>
    <xf numFmtId="37" fontId="10" fillId="0" borderId="6" xfId="0" applyNumberFormat="1" applyFont="1" applyBorder="1" applyProtection="1"/>
    <xf numFmtId="37" fontId="12" fillId="0" borderId="8" xfId="0" applyNumberFormat="1" applyFont="1" applyBorder="1" applyProtection="1"/>
    <xf numFmtId="0" fontId="10" fillId="0" borderId="9" xfId="0" applyFont="1" applyBorder="1"/>
    <xf numFmtId="164" fontId="10" fillId="0" borderId="0" xfId="0" applyNumberFormat="1" applyFont="1" applyBorder="1" applyProtection="1"/>
    <xf numFmtId="0" fontId="17" fillId="0" borderId="9" xfId="0" applyFont="1" applyBorder="1" applyAlignment="1">
      <alignment horizontal="center"/>
    </xf>
    <xf numFmtId="37" fontId="10" fillId="0" borderId="10" xfId="0" applyNumberFormat="1" applyFont="1" applyBorder="1" applyAlignment="1" applyProtection="1">
      <alignment horizontal="right"/>
    </xf>
    <xf numFmtId="164" fontId="10" fillId="0" borderId="9" xfId="0" applyNumberFormat="1" applyFont="1" applyBorder="1" applyProtection="1"/>
    <xf numFmtId="37" fontId="10" fillId="0" borderId="10" xfId="0" applyNumberFormat="1" applyFont="1" applyBorder="1" applyProtection="1"/>
    <xf numFmtId="37" fontId="10" fillId="0" borderId="9" xfId="0" applyNumberFormat="1" applyFont="1" applyBorder="1" applyProtection="1"/>
    <xf numFmtId="0" fontId="10" fillId="0" borderId="14" xfId="0" applyFont="1" applyBorder="1"/>
    <xf numFmtId="37" fontId="12" fillId="0" borderId="14" xfId="0" applyNumberFormat="1" applyFont="1" applyBorder="1" applyProtection="1"/>
    <xf numFmtId="164" fontId="12" fillId="2" borderId="9" xfId="0" applyNumberFormat="1" applyFont="1" applyFill="1" applyBorder="1" applyProtection="1"/>
    <xf numFmtId="37" fontId="17" fillId="2" borderId="9" xfId="0" applyNumberFormat="1" applyFont="1" applyFill="1" applyBorder="1" applyProtection="1"/>
    <xf numFmtId="0" fontId="10" fillId="0" borderId="19" xfId="0" applyFont="1" applyBorder="1"/>
    <xf numFmtId="0" fontId="10" fillId="0" borderId="20" xfId="0" applyFont="1" applyBorder="1" applyAlignment="1">
      <alignment horizontal="center"/>
    </xf>
    <xf numFmtId="164" fontId="20" fillId="2" borderId="9" xfId="0" applyNumberFormat="1" applyFont="1" applyFill="1" applyBorder="1" applyProtection="1"/>
    <xf numFmtId="37" fontId="10" fillId="2" borderId="10" xfId="0" applyNumberFormat="1" applyFont="1" applyFill="1" applyBorder="1" applyAlignment="1" applyProtection="1">
      <alignment horizontal="center"/>
    </xf>
    <xf numFmtId="164" fontId="12" fillId="0" borderId="9" xfId="0" applyNumberFormat="1" applyFont="1" applyBorder="1" applyProtection="1"/>
    <xf numFmtId="37" fontId="17" fillId="0" borderId="9" xfId="0" applyNumberFormat="1" applyFont="1" applyBorder="1" applyProtection="1"/>
    <xf numFmtId="165" fontId="17" fillId="0" borderId="14" xfId="0" applyNumberFormat="1" applyFont="1" applyBorder="1" applyProtection="1"/>
    <xf numFmtId="0" fontId="20" fillId="0" borderId="0" xfId="0" applyFont="1"/>
    <xf numFmtId="166" fontId="10" fillId="0" borderId="0" xfId="0" applyNumberFormat="1" applyFont="1" applyProtection="1"/>
    <xf numFmtId="165" fontId="10" fillId="0" borderId="0" xfId="0" applyNumberFormat="1" applyFont="1" applyProtection="1"/>
    <xf numFmtId="165" fontId="17" fillId="2" borderId="9" xfId="0" applyNumberFormat="1" applyFont="1" applyFill="1" applyBorder="1" applyProtection="1"/>
    <xf numFmtId="37" fontId="20" fillId="2" borderId="0" xfId="0" applyNumberFormat="1" applyFont="1" applyFill="1" applyProtection="1"/>
    <xf numFmtId="164" fontId="20" fillId="0" borderId="9" xfId="0" applyNumberFormat="1" applyFont="1" applyBorder="1" applyProtection="1"/>
    <xf numFmtId="0" fontId="10" fillId="3" borderId="0" xfId="0" applyFont="1" applyFill="1"/>
    <xf numFmtId="164" fontId="20" fillId="0" borderId="0" xfId="0" applyNumberFormat="1" applyFont="1" applyBorder="1" applyProtection="1"/>
    <xf numFmtId="37" fontId="20" fillId="0" borderId="0" xfId="0" applyNumberFormat="1" applyFont="1" applyBorder="1" applyProtection="1"/>
    <xf numFmtId="164" fontId="20" fillId="2" borderId="10" xfId="0" applyNumberFormat="1" applyFont="1" applyFill="1" applyBorder="1" applyAlignment="1" applyProtection="1">
      <alignment horizontal="center"/>
    </xf>
    <xf numFmtId="0" fontId="10" fillId="0" borderId="0" xfId="0" applyFont="1" applyFill="1"/>
    <xf numFmtId="37" fontId="10" fillId="3" borderId="10" xfId="0" applyNumberFormat="1" applyFont="1" applyFill="1" applyBorder="1" applyAlignment="1" applyProtection="1">
      <alignment horizontal="right"/>
    </xf>
    <xf numFmtId="166" fontId="10" fillId="0" borderId="0" xfId="0" applyNumberFormat="1" applyFont="1" applyAlignment="1" applyProtection="1">
      <alignment horizontal="center"/>
    </xf>
    <xf numFmtId="166" fontId="10" fillId="0" borderId="19" xfId="0" applyNumberFormat="1" applyFont="1" applyBorder="1" applyProtection="1"/>
    <xf numFmtId="164" fontId="12" fillId="0" borderId="0" xfId="0" applyNumberFormat="1" applyFont="1" applyBorder="1" applyProtection="1"/>
    <xf numFmtId="164" fontId="10" fillId="4" borderId="9" xfId="0" applyNumberFormat="1" applyFont="1" applyFill="1" applyBorder="1" applyProtection="1"/>
    <xf numFmtId="37" fontId="10" fillId="4" borderId="10" xfId="0" applyNumberFormat="1" applyFont="1" applyFill="1" applyBorder="1" applyProtection="1"/>
    <xf numFmtId="37" fontId="17" fillId="0" borderId="19" xfId="0" applyNumberFormat="1" applyFont="1" applyBorder="1" applyProtection="1"/>
    <xf numFmtId="0" fontId="10" fillId="0" borderId="20" xfId="0" applyFont="1" applyBorder="1"/>
    <xf numFmtId="166" fontId="10" fillId="0" borderId="0" xfId="0" applyNumberFormat="1" applyFont="1"/>
    <xf numFmtId="37" fontId="20" fillId="0" borderId="9" xfId="0" applyNumberFormat="1" applyFont="1" applyBorder="1" applyProtection="1"/>
    <xf numFmtId="165" fontId="20" fillId="0" borderId="14" xfId="0" applyNumberFormat="1" applyFont="1" applyBorder="1" applyProtection="1"/>
    <xf numFmtId="0" fontId="10" fillId="0" borderId="21" xfId="0" applyFont="1" applyBorder="1"/>
    <xf numFmtId="166" fontId="10" fillId="0" borderId="22" xfId="0" applyNumberFormat="1" applyFont="1" applyBorder="1"/>
    <xf numFmtId="0" fontId="10" fillId="0" borderId="22" xfId="0" applyFont="1" applyBorder="1"/>
    <xf numFmtId="0" fontId="10" fillId="0" borderId="23" xfId="0" applyFont="1" applyBorder="1"/>
    <xf numFmtId="0" fontId="10" fillId="0" borderId="24" xfId="0" applyFont="1" applyBorder="1"/>
    <xf numFmtId="166" fontId="10" fillId="0" borderId="0" xfId="0" applyNumberFormat="1" applyFont="1" applyBorder="1"/>
    <xf numFmtId="0" fontId="10" fillId="0" borderId="25" xfId="0" applyFont="1" applyBorder="1"/>
    <xf numFmtId="0" fontId="10" fillId="0" borderId="26" xfId="0" applyFont="1" applyBorder="1"/>
    <xf numFmtId="0" fontId="10" fillId="0" borderId="0" xfId="0" applyFont="1" applyBorder="1" applyAlignment="1">
      <alignment horizontal="right"/>
    </xf>
    <xf numFmtId="168" fontId="10" fillId="0" borderId="27" xfId="1" applyNumberFormat="1" applyFont="1" applyBorder="1"/>
    <xf numFmtId="168" fontId="10" fillId="0" borderId="25" xfId="0" applyNumberFormat="1" applyFont="1" applyBorder="1"/>
    <xf numFmtId="168" fontId="10" fillId="0" borderId="0" xfId="0" applyNumberFormat="1" applyFont="1"/>
    <xf numFmtId="168" fontId="10" fillId="0" borderId="28" xfId="1" applyNumberFormat="1" applyFont="1" applyBorder="1"/>
    <xf numFmtId="0" fontId="22" fillId="0" borderId="0" xfId="0" applyFont="1" applyBorder="1" applyAlignment="1">
      <alignment horizontal="left"/>
    </xf>
    <xf numFmtId="0" fontId="10" fillId="0" borderId="21" xfId="0" applyFont="1" applyBorder="1" applyAlignment="1">
      <alignment horizontal="left"/>
    </xf>
    <xf numFmtId="9" fontId="10" fillId="0" borderId="22" xfId="0" applyNumberFormat="1" applyFont="1" applyBorder="1" applyAlignment="1" applyProtection="1">
      <alignment horizontal="centerContinuous"/>
    </xf>
    <xf numFmtId="0" fontId="10" fillId="0" borderId="23" xfId="0" applyFont="1" applyBorder="1" applyAlignment="1">
      <alignment horizontal="centerContinuous"/>
    </xf>
    <xf numFmtId="37" fontId="10" fillId="0" borderId="0" xfId="0" applyNumberFormat="1" applyFont="1" applyBorder="1" applyAlignment="1">
      <alignment horizontal="center"/>
    </xf>
    <xf numFmtId="0" fontId="10" fillId="0" borderId="24" xfId="0" applyFont="1" applyBorder="1" applyAlignment="1">
      <alignment horizontal="left"/>
    </xf>
    <xf numFmtId="0" fontId="10" fillId="0" borderId="29" xfId="0" applyFont="1" applyBorder="1"/>
    <xf numFmtId="167" fontId="10" fillId="0" borderId="0" xfId="0" applyNumberFormat="1" applyFont="1" applyBorder="1" applyProtection="1"/>
    <xf numFmtId="37" fontId="10" fillId="0" borderId="24" xfId="0" applyNumberFormat="1" applyFont="1" applyBorder="1" applyProtection="1"/>
    <xf numFmtId="0" fontId="12" fillId="0" borderId="0" xfId="0" applyFont="1" applyBorder="1"/>
    <xf numFmtId="0" fontId="10" fillId="0" borderId="30" xfId="0" applyFont="1" applyBorder="1"/>
    <xf numFmtId="0" fontId="22" fillId="0" borderId="0" xfId="0" applyFont="1" applyAlignment="1">
      <alignment horizontal="right"/>
    </xf>
    <xf numFmtId="0" fontId="12" fillId="0" borderId="6" xfId="0" applyFont="1" applyBorder="1" applyAlignment="1">
      <alignment horizontal="center"/>
    </xf>
    <xf numFmtId="0" fontId="12" fillId="0" borderId="9" xfId="0" applyFont="1" applyBorder="1" applyAlignment="1">
      <alignment horizontal="center"/>
    </xf>
    <xf numFmtId="37" fontId="12" fillId="0" borderId="14" xfId="0" applyNumberFormat="1" applyFont="1" applyFill="1" applyBorder="1" applyProtection="1"/>
    <xf numFmtId="0" fontId="21" fillId="0" borderId="0" xfId="0" applyFont="1" applyBorder="1"/>
    <xf numFmtId="37" fontId="21" fillId="0" borderId="0" xfId="0" applyNumberFormat="1" applyFont="1" applyBorder="1" applyProtection="1"/>
    <xf numFmtId="0" fontId="17" fillId="0" borderId="31" xfId="0" applyFont="1" applyBorder="1"/>
    <xf numFmtId="37" fontId="17" fillId="0" borderId="31" xfId="0" applyNumberFormat="1" applyFont="1" applyBorder="1" applyAlignment="1" applyProtection="1">
      <alignment horizontal="right"/>
    </xf>
    <xf numFmtId="37" fontId="17" fillId="0" borderId="31" xfId="0" applyNumberFormat="1" applyFont="1" applyBorder="1" applyProtection="1"/>
    <xf numFmtId="39" fontId="17" fillId="0" borderId="31" xfId="0" applyNumberFormat="1" applyFont="1" applyBorder="1" applyProtection="1"/>
    <xf numFmtId="37" fontId="17" fillId="0" borderId="14" xfId="0" applyNumberFormat="1" applyFont="1" applyBorder="1" applyProtection="1"/>
    <xf numFmtId="37" fontId="17" fillId="0" borderId="14" xfId="0" applyNumberFormat="1" applyFont="1" applyFill="1" applyBorder="1" applyProtection="1"/>
    <xf numFmtId="0" fontId="23" fillId="0" borderId="0" xfId="0" applyFont="1"/>
    <xf numFmtId="3" fontId="17" fillId="0" borderId="0" xfId="0" applyNumberFormat="1" applyFont="1" applyBorder="1" applyAlignment="1"/>
    <xf numFmtId="3" fontId="17" fillId="0" borderId="0" xfId="0" applyNumberFormat="1" applyFont="1" applyAlignment="1"/>
    <xf numFmtId="3" fontId="17" fillId="0" borderId="0" xfId="1" applyNumberFormat="1" applyFont="1" applyBorder="1" applyAlignment="1"/>
    <xf numFmtId="3" fontId="18" fillId="0" borderId="0" xfId="0" applyNumberFormat="1" applyFont="1" applyBorder="1" applyAlignment="1"/>
    <xf numFmtId="3" fontId="18" fillId="0" borderId="0" xfId="0" applyNumberFormat="1" applyFont="1" applyFill="1" applyBorder="1" applyAlignment="1"/>
    <xf numFmtId="3" fontId="17" fillId="0" borderId="0" xfId="0" applyNumberFormat="1" applyFont="1" applyFill="1" applyBorder="1" applyAlignment="1"/>
    <xf numFmtId="3" fontId="17" fillId="0" borderId="0" xfId="0" applyNumberFormat="1" applyFont="1" applyProtection="1"/>
    <xf numFmtId="3" fontId="17" fillId="0" borderId="0" xfId="1" applyNumberFormat="1" applyFont="1"/>
    <xf numFmtId="3" fontId="18" fillId="0" borderId="0" xfId="0" applyNumberFormat="1" applyFont="1"/>
    <xf numFmtId="3" fontId="18" fillId="0" borderId="27" xfId="0" applyNumberFormat="1" applyFont="1" applyBorder="1"/>
    <xf numFmtId="3" fontId="17" fillId="0" borderId="28" xfId="1" applyNumberFormat="1" applyFont="1" applyBorder="1"/>
    <xf numFmtId="0" fontId="10" fillId="3" borderId="0" xfId="0" applyFont="1" applyFill="1" applyBorder="1"/>
    <xf numFmtId="0" fontId="25" fillId="0" borderId="24" xfId="0" applyFont="1" applyBorder="1" applyAlignment="1">
      <alignment wrapText="1"/>
    </xf>
    <xf numFmtId="4" fontId="17" fillId="0" borderId="0" xfId="0" applyNumberFormat="1" applyFont="1" applyAlignment="1"/>
    <xf numFmtId="170" fontId="26" fillId="0" borderId="0" xfId="0" applyNumberFormat="1" applyFont="1" applyBorder="1" applyAlignment="1" applyProtection="1">
      <alignment horizontal="right"/>
    </xf>
    <xf numFmtId="3" fontId="17" fillId="0" borderId="0" xfId="0" applyNumberFormat="1" applyFont="1" applyBorder="1" applyAlignment="1">
      <alignment horizontal="right"/>
    </xf>
    <xf numFmtId="3" fontId="17" fillId="0" borderId="27" xfId="1" applyNumberFormat="1" applyFont="1" applyBorder="1"/>
    <xf numFmtId="37" fontId="10" fillId="0" borderId="10" xfId="0" applyNumberFormat="1" applyFont="1" applyFill="1" applyBorder="1" applyProtection="1"/>
    <xf numFmtId="37" fontId="10" fillId="0" borderId="10" xfId="0" applyNumberFormat="1" applyFont="1" applyFill="1" applyBorder="1" applyAlignment="1" applyProtection="1">
      <alignment horizontal="right"/>
    </xf>
    <xf numFmtId="0" fontId="30" fillId="0" borderId="0" xfId="0" applyFont="1"/>
    <xf numFmtId="0" fontId="3" fillId="0" borderId="0" xfId="0" applyFont="1"/>
    <xf numFmtId="3" fontId="34" fillId="0" borderId="0" xfId="0" applyNumberFormat="1" applyFont="1"/>
    <xf numFmtId="3" fontId="17" fillId="5" borderId="0" xfId="0" applyNumberFormat="1" applyFont="1" applyFill="1" applyBorder="1" applyAlignment="1"/>
    <xf numFmtId="3" fontId="18" fillId="5" borderId="0" xfId="0" applyNumberFormat="1" applyFont="1" applyFill="1" applyBorder="1" applyAlignment="1"/>
    <xf numFmtId="3" fontId="10" fillId="5" borderId="0" xfId="0" applyNumberFormat="1" applyFont="1" applyFill="1" applyBorder="1" applyAlignment="1"/>
    <xf numFmtId="3" fontId="10" fillId="5" borderId="0" xfId="0" applyNumberFormat="1" applyFont="1" applyFill="1" applyBorder="1" applyAlignment="1">
      <alignment horizontal="center"/>
    </xf>
    <xf numFmtId="0" fontId="0" fillId="0" borderId="0" xfId="0" applyAlignment="1">
      <alignment horizontal="center"/>
    </xf>
    <xf numFmtId="3" fontId="0" fillId="0" borderId="0" xfId="0" applyNumberFormat="1" applyAlignment="1">
      <alignment horizontal="center"/>
    </xf>
    <xf numFmtId="3" fontId="18" fillId="6" borderId="0" xfId="0" applyNumberFormat="1" applyFont="1" applyFill="1" applyBorder="1" applyAlignment="1"/>
    <xf numFmtId="0" fontId="10" fillId="0" borderId="1" xfId="3" applyFont="1" applyFill="1" applyBorder="1" applyAlignment="1">
      <alignment horizontal="center" vertical="center" wrapText="1"/>
    </xf>
    <xf numFmtId="0" fontId="10" fillId="0" borderId="1" xfId="3" applyFont="1" applyFill="1" applyBorder="1" applyAlignment="1">
      <alignment horizontal="center" vertical="center"/>
    </xf>
    <xf numFmtId="3" fontId="10" fillId="0" borderId="0" xfId="2" applyNumberFormat="1" applyFont="1" applyFill="1" applyBorder="1" applyAlignment="1">
      <alignment horizontal="right"/>
    </xf>
    <xf numFmtId="3" fontId="10" fillId="0" borderId="0" xfId="3" applyNumberFormat="1" applyFont="1" applyFill="1" applyBorder="1" applyAlignment="1">
      <alignment horizontal="right"/>
    </xf>
    <xf numFmtId="0" fontId="10" fillId="0" borderId="0" xfId="3" applyFont="1" applyFill="1"/>
    <xf numFmtId="0" fontId="10" fillId="0" borderId="0" xfId="3" applyNumberFormat="1" applyFont="1" applyFill="1" applyBorder="1" applyAlignment="1">
      <alignment horizontal="center"/>
    </xf>
    <xf numFmtId="1" fontId="10" fillId="0" borderId="0" xfId="3" applyNumberFormat="1" applyFont="1" applyFill="1" applyBorder="1" applyAlignment="1">
      <alignment horizontal="center"/>
    </xf>
    <xf numFmtId="0" fontId="14" fillId="0" borderId="3" xfId="0" applyFont="1" applyBorder="1" applyAlignment="1">
      <alignment horizontal="center"/>
    </xf>
    <xf numFmtId="37" fontId="17" fillId="0" borderId="0" xfId="0" applyNumberFormat="1" applyFont="1" applyBorder="1" applyProtection="1"/>
    <xf numFmtId="166" fontId="10" fillId="0" borderId="0" xfId="0" applyNumberFormat="1" applyFont="1" applyBorder="1" applyProtection="1"/>
    <xf numFmtId="37" fontId="34" fillId="0" borderId="9" xfId="0" applyNumberFormat="1" applyFont="1" applyBorder="1" applyProtection="1"/>
    <xf numFmtId="165" fontId="34" fillId="0" borderId="14" xfId="0" applyNumberFormat="1" applyFont="1" applyBorder="1" applyProtection="1"/>
    <xf numFmtId="0" fontId="14" fillId="0" borderId="3" xfId="0" applyFont="1" applyBorder="1" applyAlignment="1">
      <alignment horizontal="left"/>
    </xf>
    <xf numFmtId="3" fontId="0" fillId="6" borderId="0" xfId="0" applyNumberFormat="1" applyFill="1" applyAlignment="1">
      <alignment horizontal="center"/>
    </xf>
    <xf numFmtId="167" fontId="34" fillId="0" borderId="25" xfId="0" applyNumberFormat="1" applyFont="1" applyBorder="1" applyProtection="1"/>
    <xf numFmtId="0" fontId="34" fillId="0" borderId="25" xfId="0" applyFont="1" applyBorder="1"/>
    <xf numFmtId="37" fontId="34" fillId="0" borderId="25" xfId="0" applyNumberFormat="1" applyFont="1" applyBorder="1" applyProtection="1"/>
    <xf numFmtId="168" fontId="34" fillId="0" borderId="25" xfId="1" applyNumberFormat="1" applyFont="1" applyBorder="1"/>
    <xf numFmtId="37" fontId="34" fillId="0" borderId="25" xfId="0" applyNumberFormat="1" applyFont="1" applyBorder="1" applyAlignment="1">
      <alignment horizontal="center"/>
    </xf>
    <xf numFmtId="37" fontId="35" fillId="0" borderId="0" xfId="0" applyNumberFormat="1" applyFont="1" applyBorder="1" applyProtection="1"/>
    <xf numFmtId="0" fontId="34" fillId="0" borderId="0" xfId="0" applyFont="1" applyBorder="1"/>
    <xf numFmtId="37" fontId="36" fillId="0" borderId="10" xfId="0" applyNumberFormat="1" applyFont="1" applyBorder="1" applyProtection="1"/>
    <xf numFmtId="0" fontId="10" fillId="0" borderId="3" xfId="3" applyFont="1" applyFill="1" applyBorder="1" applyAlignment="1">
      <alignment horizontal="center"/>
    </xf>
    <xf numFmtId="0" fontId="10" fillId="0" borderId="1" xfId="3" applyFont="1" applyFill="1" applyBorder="1" applyAlignment="1">
      <alignment horizontal="center"/>
    </xf>
    <xf numFmtId="0" fontId="10" fillId="0" borderId="1" xfId="0" applyFont="1" applyBorder="1" applyAlignment="1">
      <alignment horizontal="center"/>
    </xf>
    <xf numFmtId="0" fontId="11" fillId="0" borderId="32" xfId="0" applyFont="1" applyBorder="1" applyAlignment="1">
      <alignment horizontal="center"/>
    </xf>
    <xf numFmtId="0" fontId="14" fillId="0" borderId="3" xfId="0" applyFont="1" applyBorder="1" applyAlignment="1">
      <alignment horizontal="center"/>
    </xf>
  </cellXfs>
  <cellStyles count="8">
    <cellStyle name="Comma" xfId="1" builtinId="3"/>
    <cellStyle name="Comma 2" xfId="2"/>
    <cellStyle name="Followed Hyperlink" xfId="5" builtinId="9" hidden="1"/>
    <cellStyle name="Followed Hyperlink" xfId="7" builtinId="9" hidden="1"/>
    <cellStyle name="Hyperlink" xfId="4" builtinId="8" hidden="1"/>
    <cellStyle name="Hyperlink" xfId="6" builtinId="8" hidden="1"/>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Eshamy Lake Wild Sockeye</a:t>
            </a:r>
            <a:r>
              <a:rPr lang="en-US" sz="2400" baseline="0"/>
              <a:t>:  </a:t>
            </a:r>
            <a:r>
              <a:rPr lang="en-US" sz="2400"/>
              <a:t>Estimated Total Run Size</a:t>
            </a:r>
          </a:p>
        </c:rich>
      </c:tx>
      <c:layout>
        <c:manualLayout>
          <c:xMode val="edge"/>
          <c:yMode val="edge"/>
          <c:x val="0.178047822762312"/>
          <c:y val="0.0441125264747312"/>
        </c:manualLayout>
      </c:layout>
      <c:overlay val="0"/>
    </c:title>
    <c:autoTitleDeleted val="0"/>
    <c:plotArea>
      <c:layout>
        <c:manualLayout>
          <c:layoutTarget val="inner"/>
          <c:xMode val="edge"/>
          <c:yMode val="edge"/>
          <c:x val="0.060395799434728"/>
          <c:y val="0.157397860644778"/>
          <c:w val="0.908773490541097"/>
          <c:h val="0.763823354627841"/>
        </c:manualLayout>
      </c:layout>
      <c:scatterChart>
        <c:scatterStyle val="smoothMarker"/>
        <c:varyColors val="0"/>
        <c:ser>
          <c:idx val="0"/>
          <c:order val="0"/>
          <c:tx>
            <c:strRef>
              <c:f>Run_Size!$B$11:$B$55</c:f>
              <c:strCache>
                <c:ptCount val="1"/>
                <c:pt idx="0">
                  <c:v>All years 155,832 188,806 51,954 19,747 81,571 31,103 19,686 9,366 39,147 55,863 12,580 33,802 142,557 65,842 31,574 43,209 196,674 105,520 50,226 NA 112,050 57,107 43,073 65,241 70,311 74,765 77,625 23,672 19,859 55,583 NA 30,730 64,395 55,187 74,783 61,851</c:v>
                </c:pt>
              </c:strCache>
            </c:strRef>
          </c:tx>
          <c:xVal>
            <c:strRef>
              <c:f>Run_Size!$A$11:$A$55</c:f>
              <c:strCache>
                <c:ptCount val="45"/>
                <c:pt idx="0">
                  <c:v>Year</c:v>
                </c:pt>
                <c:pt idx="1">
                  <c:v>1968 </c:v>
                </c:pt>
                <c:pt idx="2">
                  <c:v>1969 </c:v>
                </c:pt>
                <c:pt idx="3">
                  <c:v>1970 </c:v>
                </c:pt>
                <c:pt idx="4">
                  <c:v>1971 </c:v>
                </c:pt>
                <c:pt idx="5">
                  <c:v>1972 </c:v>
                </c:pt>
                <c:pt idx="6">
                  <c:v>1973 </c:v>
                </c:pt>
                <c:pt idx="7">
                  <c:v>1974 </c:v>
                </c:pt>
                <c:pt idx="8">
                  <c:v>1975 </c:v>
                </c:pt>
                <c:pt idx="9">
                  <c:v>1976 </c:v>
                </c:pt>
                <c:pt idx="10">
                  <c:v>1977 </c:v>
                </c:pt>
                <c:pt idx="11">
                  <c:v>1978 </c:v>
                </c:pt>
                <c:pt idx="12">
                  <c:v>1979 </c:v>
                </c:pt>
                <c:pt idx="13">
                  <c:v>1980 </c:v>
                </c:pt>
                <c:pt idx="14">
                  <c:v>1981 </c:v>
                </c:pt>
                <c:pt idx="15">
                  <c:v>1982 </c:v>
                </c:pt>
                <c:pt idx="16">
                  <c:v>1983 </c:v>
                </c:pt>
                <c:pt idx="17">
                  <c:v>1984 </c:v>
                </c:pt>
                <c:pt idx="18">
                  <c:v>1985 </c:v>
                </c:pt>
                <c:pt idx="19">
                  <c:v>1986 </c:v>
                </c:pt>
                <c:pt idx="20">
                  <c:v>1987 </c:v>
                </c:pt>
                <c:pt idx="21">
                  <c:v>1988 </c:v>
                </c:pt>
                <c:pt idx="22">
                  <c:v>1989 </c:v>
                </c:pt>
                <c:pt idx="23">
                  <c:v>1990 </c:v>
                </c:pt>
                <c:pt idx="24">
                  <c:v>1991 a</c:v>
                </c:pt>
                <c:pt idx="25">
                  <c:v>1992 </c:v>
                </c:pt>
                <c:pt idx="26">
                  <c:v>1993 </c:v>
                </c:pt>
                <c:pt idx="27">
                  <c:v>1994 </c:v>
                </c:pt>
                <c:pt idx="28">
                  <c:v>1995 </c:v>
                </c:pt>
                <c:pt idx="29">
                  <c:v>1996 </c:v>
                </c:pt>
                <c:pt idx="30">
                  <c:v>1997 </c:v>
                </c:pt>
                <c:pt idx="31">
                  <c:v>1998 </c:v>
                </c:pt>
                <c:pt idx="32">
                  <c:v>1999 </c:v>
                </c:pt>
                <c:pt idx="33">
                  <c:v>2000</c:v>
                </c:pt>
                <c:pt idx="34">
                  <c:v>2001</c:v>
                </c:pt>
                <c:pt idx="35">
                  <c:v>2002</c:v>
                </c:pt>
                <c:pt idx="36">
                  <c:v>2003</c:v>
                </c:pt>
                <c:pt idx="37">
                  <c:v>2004</c:v>
                </c:pt>
                <c:pt idx="38">
                  <c:v>2005</c:v>
                </c:pt>
                <c:pt idx="39">
                  <c:v>2006</c:v>
                </c:pt>
                <c:pt idx="40">
                  <c:v>2007</c:v>
                </c:pt>
                <c:pt idx="41">
                  <c:v>2008</c:v>
                </c:pt>
                <c:pt idx="42">
                  <c:v>2009</c:v>
                </c:pt>
                <c:pt idx="43">
                  <c:v>2010</c:v>
                </c:pt>
                <c:pt idx="44">
                  <c:v>2011</c:v>
                </c:pt>
              </c:strCache>
            </c:strRef>
          </c:xVal>
          <c:yVal>
            <c:numRef>
              <c:f>Run_Size!$B$11:$B$55</c:f>
              <c:numCache>
                <c:formatCode>#,##0</c:formatCode>
                <c:ptCount val="45"/>
                <c:pt idx="0" formatCode="General">
                  <c:v>0.0</c:v>
                </c:pt>
                <c:pt idx="1">
                  <c:v>155832.0</c:v>
                </c:pt>
                <c:pt idx="2">
                  <c:v>188806.0</c:v>
                </c:pt>
                <c:pt idx="3">
                  <c:v>51954.0</c:v>
                </c:pt>
                <c:pt idx="4">
                  <c:v>19747.0</c:v>
                </c:pt>
                <c:pt idx="5">
                  <c:v>81571.0</c:v>
                </c:pt>
                <c:pt idx="6">
                  <c:v>31103.0</c:v>
                </c:pt>
                <c:pt idx="7">
                  <c:v>19686.0</c:v>
                </c:pt>
                <c:pt idx="8">
                  <c:v>9366.0</c:v>
                </c:pt>
                <c:pt idx="9">
                  <c:v>39147.0</c:v>
                </c:pt>
                <c:pt idx="10">
                  <c:v>55863.0</c:v>
                </c:pt>
                <c:pt idx="11">
                  <c:v>12580.0</c:v>
                </c:pt>
                <c:pt idx="12">
                  <c:v>33802.0</c:v>
                </c:pt>
                <c:pt idx="13">
                  <c:v>142557.0</c:v>
                </c:pt>
                <c:pt idx="14">
                  <c:v>65842.0</c:v>
                </c:pt>
                <c:pt idx="15">
                  <c:v>31574.0</c:v>
                </c:pt>
                <c:pt idx="16">
                  <c:v>43209.0</c:v>
                </c:pt>
                <c:pt idx="17">
                  <c:v>196674.0</c:v>
                </c:pt>
                <c:pt idx="18">
                  <c:v>105520.0</c:v>
                </c:pt>
                <c:pt idx="19">
                  <c:v>50226.0</c:v>
                </c:pt>
                <c:pt idx="20">
                  <c:v>0.0</c:v>
                </c:pt>
                <c:pt idx="21">
                  <c:v>112050.0</c:v>
                </c:pt>
                <c:pt idx="22">
                  <c:v>57107.0</c:v>
                </c:pt>
                <c:pt idx="23">
                  <c:v>43073.0</c:v>
                </c:pt>
                <c:pt idx="24">
                  <c:v>65241.0</c:v>
                </c:pt>
                <c:pt idx="25">
                  <c:v>70311.0</c:v>
                </c:pt>
                <c:pt idx="26">
                  <c:v>74765.0</c:v>
                </c:pt>
                <c:pt idx="27">
                  <c:v>77625.0</c:v>
                </c:pt>
                <c:pt idx="28">
                  <c:v>23672.0</c:v>
                </c:pt>
                <c:pt idx="29">
                  <c:v>19859.0</c:v>
                </c:pt>
                <c:pt idx="30">
                  <c:v>55583.0</c:v>
                </c:pt>
                <c:pt idx="31">
                  <c:v>0.0</c:v>
                </c:pt>
                <c:pt idx="32">
                  <c:v>30730.0</c:v>
                </c:pt>
                <c:pt idx="33">
                  <c:v>64395.0</c:v>
                </c:pt>
                <c:pt idx="34">
                  <c:v>55187.0</c:v>
                </c:pt>
                <c:pt idx="35">
                  <c:v>74783.0</c:v>
                </c:pt>
                <c:pt idx="36">
                  <c:v>61851.0</c:v>
                </c:pt>
                <c:pt idx="37">
                  <c:v>31219.0</c:v>
                </c:pt>
                <c:pt idx="38">
                  <c:v>71654.0</c:v>
                </c:pt>
                <c:pt idx="39">
                  <c:v>60565.0</c:v>
                </c:pt>
                <c:pt idx="40">
                  <c:v>38997.0</c:v>
                </c:pt>
                <c:pt idx="41">
                  <c:v>44227.0</c:v>
                </c:pt>
                <c:pt idx="42">
                  <c:v>50773.0</c:v>
                </c:pt>
                <c:pt idx="43">
                  <c:v>30088.0</c:v>
                </c:pt>
                <c:pt idx="44">
                  <c:v>67441.0</c:v>
                </c:pt>
              </c:numCache>
            </c:numRef>
          </c:yVal>
          <c:smooth val="1"/>
        </c:ser>
        <c:dLbls>
          <c:showLegendKey val="0"/>
          <c:showVal val="0"/>
          <c:showCatName val="0"/>
          <c:showSerName val="0"/>
          <c:showPercent val="0"/>
          <c:showBubbleSize val="0"/>
        </c:dLbls>
        <c:axId val="2134467672"/>
        <c:axId val="2134938312"/>
      </c:scatterChart>
      <c:valAx>
        <c:axId val="2134467672"/>
        <c:scaling>
          <c:orientation val="minMax"/>
        </c:scaling>
        <c:delete val="0"/>
        <c:axPos val="b"/>
        <c:numFmt formatCode="General" sourceLinked="1"/>
        <c:majorTickMark val="out"/>
        <c:minorTickMark val="none"/>
        <c:tickLblPos val="nextTo"/>
        <c:txPr>
          <a:bodyPr rot="0" vert="horz"/>
          <a:lstStyle/>
          <a:p>
            <a:pPr>
              <a:defRPr sz="1800" b="0" i="0" u="none" strike="noStrike" baseline="0">
                <a:solidFill>
                  <a:srgbClr val="000000"/>
                </a:solidFill>
                <a:latin typeface="Calibri"/>
                <a:ea typeface="Calibri"/>
                <a:cs typeface="Calibri"/>
              </a:defRPr>
            </a:pPr>
            <a:endParaRPr lang="en-US"/>
          </a:p>
        </c:txPr>
        <c:crossAx val="2134938312"/>
        <c:crosses val="autoZero"/>
        <c:crossBetween val="midCat"/>
        <c:majorUnit val="1.0"/>
      </c:valAx>
      <c:valAx>
        <c:axId val="2134938312"/>
        <c:scaling>
          <c:orientation val="minMax"/>
        </c:scaling>
        <c:delete val="0"/>
        <c:axPos val="l"/>
        <c:majorGridlines/>
        <c:numFmt formatCode="General" sourceLinked="1"/>
        <c:majorTickMark val="out"/>
        <c:minorTickMark val="none"/>
        <c:tickLblPos val="nextTo"/>
        <c:crossAx val="213446767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4537642032011"/>
          <c:y val="0.0458405594776617"/>
          <c:w val="0.873129255797866"/>
          <c:h val="0.76740492162604"/>
        </c:manualLayout>
      </c:layout>
      <c:lineChart>
        <c:grouping val="standard"/>
        <c:varyColors val="0"/>
        <c:ser>
          <c:idx val="0"/>
          <c:order val="0"/>
          <c:spPr>
            <a:ln w="12700">
              <a:solidFill>
                <a:srgbClr val="000000"/>
              </a:solidFill>
              <a:prstDash val="solid"/>
            </a:ln>
          </c:spPr>
          <c:marker>
            <c:symbol val="square"/>
            <c:size val="3"/>
            <c:spPr>
              <a:solidFill>
                <a:srgbClr val="000000"/>
              </a:solidFill>
              <a:ln>
                <a:solidFill>
                  <a:srgbClr val="000000"/>
                </a:solidFill>
                <a:prstDash val="solid"/>
              </a:ln>
            </c:spPr>
          </c:marker>
          <c:cat>
            <c:numRef>
              <c:f>broodtab!$A$8:$A$50</c:f>
              <c:numCache>
                <c:formatCode>General</c:formatCode>
                <c:ptCount val="43"/>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numCache>
            </c:numRef>
          </c:cat>
          <c:val>
            <c:numRef>
              <c:f>broodtab!$B$8:$B$50</c:f>
              <c:numCache>
                <c:formatCode>#,##0_);\(#,##0\)</c:formatCode>
                <c:ptCount val="43"/>
                <c:pt idx="0">
                  <c:v>47275.0</c:v>
                </c:pt>
                <c:pt idx="1">
                  <c:v>9390.0</c:v>
                </c:pt>
                <c:pt idx="2">
                  <c:v>3092.0</c:v>
                </c:pt>
                <c:pt idx="3">
                  <c:v>68129.0</c:v>
                </c:pt>
                <c:pt idx="4">
                  <c:v>108963.0</c:v>
                </c:pt>
                <c:pt idx="5">
                  <c:v>26593.0</c:v>
                </c:pt>
                <c:pt idx="6">
                  <c:v>10821.0</c:v>
                </c:pt>
                <c:pt idx="7">
                  <c:v>68048.0</c:v>
                </c:pt>
                <c:pt idx="8">
                  <c:v>61196.0</c:v>
                </c:pt>
                <c:pt idx="9">
                  <c:v>11460.0</c:v>
                </c:pt>
                <c:pt idx="10">
                  <c:v>954.0</c:v>
                </c:pt>
                <c:pt idx="11">
                  <c:v>28683.0</c:v>
                </c:pt>
                <c:pt idx="12">
                  <c:v>10202.0</c:v>
                </c:pt>
                <c:pt idx="13">
                  <c:v>633.0</c:v>
                </c:pt>
                <c:pt idx="14">
                  <c:v>1724.0</c:v>
                </c:pt>
                <c:pt idx="15">
                  <c:v>19367.0</c:v>
                </c:pt>
                <c:pt idx="16">
                  <c:v>11746.0</c:v>
                </c:pt>
                <c:pt idx="17">
                  <c:v>12580.0</c:v>
                </c:pt>
                <c:pt idx="18">
                  <c:v>12169.0</c:v>
                </c:pt>
                <c:pt idx="19">
                  <c:v>44263.0</c:v>
                </c:pt>
                <c:pt idx="20">
                  <c:v>23048.0</c:v>
                </c:pt>
                <c:pt idx="21">
                  <c:v>6782.0</c:v>
                </c:pt>
                <c:pt idx="22">
                  <c:v>10348.0</c:v>
                </c:pt>
                <c:pt idx="23">
                  <c:v>36121.0</c:v>
                </c:pt>
                <c:pt idx="24">
                  <c:v>26178.0</c:v>
                </c:pt>
                <c:pt idx="25">
                  <c:v>6949.0</c:v>
                </c:pt>
                <c:pt idx="26">
                  <c:v>0.0</c:v>
                </c:pt>
                <c:pt idx="27">
                  <c:v>31747.0</c:v>
                </c:pt>
                <c:pt idx="28">
                  <c:v>57106.0</c:v>
                </c:pt>
                <c:pt idx="29">
                  <c:v>14191.0</c:v>
                </c:pt>
                <c:pt idx="30">
                  <c:v>45814.0</c:v>
                </c:pt>
                <c:pt idx="31">
                  <c:v>30627.0</c:v>
                </c:pt>
                <c:pt idx="32">
                  <c:v>34657.0</c:v>
                </c:pt>
                <c:pt idx="33">
                  <c:v>23910.0</c:v>
                </c:pt>
                <c:pt idx="34">
                  <c:v>15291.6627</c:v>
                </c:pt>
                <c:pt idx="35">
                  <c:v>5271.0</c:v>
                </c:pt>
                <c:pt idx="36">
                  <c:v>41299.0</c:v>
                </c:pt>
                <c:pt idx="37">
                  <c:v>0.0</c:v>
                </c:pt>
                <c:pt idx="38">
                  <c:v>27057.0</c:v>
                </c:pt>
                <c:pt idx="39">
                  <c:v>22153.0</c:v>
                </c:pt>
                <c:pt idx="40">
                  <c:v>55187.0</c:v>
                </c:pt>
                <c:pt idx="41">
                  <c:v>40478.0</c:v>
                </c:pt>
                <c:pt idx="42">
                  <c:v>39845.0</c:v>
                </c:pt>
              </c:numCache>
            </c:numRef>
          </c:val>
          <c:smooth val="0"/>
        </c:ser>
        <c:dLbls>
          <c:showLegendKey val="0"/>
          <c:showVal val="0"/>
          <c:showCatName val="0"/>
          <c:showSerName val="0"/>
          <c:showPercent val="0"/>
          <c:showBubbleSize val="0"/>
        </c:dLbls>
        <c:marker val="1"/>
        <c:smooth val="0"/>
        <c:axId val="2136042984"/>
        <c:axId val="-2105232536"/>
      </c:lineChart>
      <c:catAx>
        <c:axId val="2136042984"/>
        <c:scaling>
          <c:orientation val="minMax"/>
        </c:scaling>
        <c:delete val="0"/>
        <c:axPos val="b"/>
        <c:title>
          <c:tx>
            <c:rich>
              <a:bodyPr/>
              <a:lstStyle/>
              <a:p>
                <a:pPr>
                  <a:defRPr sz="1800" b="0" i="0" u="none" strike="noStrike" baseline="0">
                    <a:solidFill>
                      <a:srgbClr val="000000"/>
                    </a:solidFill>
                    <a:latin typeface="Arial"/>
                    <a:ea typeface="Arial"/>
                    <a:cs typeface="Arial"/>
                  </a:defRPr>
                </a:pPr>
                <a:r>
                  <a:t>Return Year</a:t>
                </a:r>
              </a:p>
            </c:rich>
          </c:tx>
          <c:layout>
            <c:manualLayout>
              <c:xMode val="edge"/>
              <c:yMode val="edge"/>
              <c:x val="0.489868673741466"/>
              <c:y val="0.901531058617673"/>
            </c:manualLayout>
          </c:layout>
          <c:overlay val="0"/>
          <c:spPr>
            <a:noFill/>
            <a:ln w="25400">
              <a:noFill/>
            </a:ln>
          </c:spPr>
        </c:title>
        <c:numFmt formatCode="General" sourceLinked="1"/>
        <c:majorTickMark val="out"/>
        <c:minorTickMark val="in"/>
        <c:tickLblPos val="nextTo"/>
        <c:spPr>
          <a:ln w="12700">
            <a:solidFill>
              <a:srgbClr val="000000"/>
            </a:solidFill>
            <a:prstDash val="solid"/>
          </a:ln>
        </c:spPr>
        <c:txPr>
          <a:bodyPr rot="-2700000" vert="horz"/>
          <a:lstStyle/>
          <a:p>
            <a:pPr>
              <a:defRPr sz="1100" b="0" i="0" u="none" strike="noStrike" baseline="0">
                <a:solidFill>
                  <a:srgbClr val="000000"/>
                </a:solidFill>
                <a:latin typeface="Arial"/>
                <a:ea typeface="Arial"/>
                <a:cs typeface="Arial"/>
              </a:defRPr>
            </a:pPr>
            <a:endParaRPr lang="en-US"/>
          </a:p>
        </c:txPr>
        <c:crossAx val="-2105232536"/>
        <c:crosses val="autoZero"/>
        <c:auto val="1"/>
        <c:lblAlgn val="ctr"/>
        <c:lblOffset val="100"/>
        <c:tickLblSkip val="2"/>
        <c:tickMarkSkip val="1"/>
        <c:noMultiLvlLbl val="0"/>
      </c:catAx>
      <c:valAx>
        <c:axId val="-2105232536"/>
        <c:scaling>
          <c:orientation val="minMax"/>
        </c:scaling>
        <c:delete val="0"/>
        <c:axPos val="l"/>
        <c:majorGridlines>
          <c:spPr>
            <a:ln w="12700">
              <a:solidFill>
                <a:srgbClr val="000000"/>
              </a:solidFill>
              <a:prstDash val="sysDash"/>
            </a:ln>
          </c:spPr>
        </c:majorGridlines>
        <c:title>
          <c:tx>
            <c:rich>
              <a:bodyPr/>
              <a:lstStyle/>
              <a:p>
                <a:pPr>
                  <a:defRPr sz="1800" b="0" i="0" u="none" strike="noStrike" baseline="0">
                    <a:solidFill>
                      <a:srgbClr val="000000"/>
                    </a:solidFill>
                    <a:latin typeface="Arial"/>
                    <a:ea typeface="Arial"/>
                    <a:cs typeface="Arial"/>
                  </a:defRPr>
                </a:pPr>
                <a:r>
                  <a:t>Weir Escapement</a:t>
                </a:r>
              </a:p>
            </c:rich>
          </c:tx>
          <c:layout>
            <c:manualLayout>
              <c:xMode val="edge"/>
              <c:yMode val="edge"/>
              <c:x val="0.0140969669170877"/>
              <c:y val="0.261460888817469"/>
            </c:manualLayout>
          </c:layout>
          <c:overlay val="0"/>
          <c:spPr>
            <a:noFill/>
            <a:ln w="25400">
              <a:noFill/>
            </a:ln>
          </c:spPr>
        </c:title>
        <c:numFmt formatCode="#,##0_);\(#,##0\)" sourceLinked="1"/>
        <c:majorTickMark val="out"/>
        <c:minorTickMark val="none"/>
        <c:tickLblPos val="nextTo"/>
        <c:spPr>
          <a:ln w="9525">
            <a:noFill/>
          </a:ln>
        </c:spPr>
        <c:txPr>
          <a:bodyPr rot="0" vert="horz"/>
          <a:lstStyle/>
          <a:p>
            <a:pPr>
              <a:defRPr sz="1100" b="0" i="0" u="none" strike="noStrike" baseline="0">
                <a:solidFill>
                  <a:srgbClr val="000000"/>
                </a:solidFill>
                <a:latin typeface="Arial"/>
                <a:ea typeface="Arial"/>
                <a:cs typeface="Arial"/>
              </a:defRPr>
            </a:pPr>
            <a:endParaRPr lang="en-US"/>
          </a:p>
        </c:txPr>
        <c:crossAx val="2136042984"/>
        <c:crosses val="autoZero"/>
        <c:crossBetween val="between"/>
      </c:valAx>
      <c:spPr>
        <a:solidFill>
          <a:srgbClr val="FFFFFF"/>
        </a:solidFill>
        <a:ln w="25400">
          <a:noFill/>
        </a:ln>
      </c:spPr>
    </c:plotArea>
    <c:plotVisOnly val="0"/>
    <c:dispBlanksAs val="gap"/>
    <c:showDLblsOverMax val="0"/>
  </c:chart>
  <c:spPr>
    <a:solidFill>
      <a:srgbClr val="FFFFFF"/>
    </a:solidFill>
    <a:ln w="9525">
      <a:noFill/>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0" l="0.75" r="0.75" t="1.0"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08112968256"/>
          <c:y val="0.0526317534743523"/>
          <c:w val="0.88105878486162"/>
          <c:h val="0.740240145639278"/>
        </c:manualLayout>
      </c:layout>
      <c:lineChart>
        <c:grouping val="standard"/>
        <c:varyColors val="0"/>
        <c:ser>
          <c:idx val="0"/>
          <c:order val="0"/>
          <c:spPr>
            <a:ln w="12700">
              <a:solidFill>
                <a:srgbClr val="FF0000"/>
              </a:solidFill>
              <a:prstDash val="solid"/>
            </a:ln>
          </c:spPr>
          <c:marker>
            <c:symbol val="square"/>
            <c:size val="5"/>
            <c:spPr>
              <a:solidFill>
                <a:srgbClr val="FF0000"/>
              </a:solidFill>
              <a:ln>
                <a:solidFill>
                  <a:srgbClr val="000000"/>
                </a:solidFill>
                <a:prstDash val="solid"/>
              </a:ln>
            </c:spPr>
          </c:marker>
          <c:dLbls>
            <c:dLbl>
              <c:idx val="0"/>
              <c:spPr>
                <a:noFill/>
                <a:ln w="25400">
                  <a:noFill/>
                </a:ln>
              </c:spPr>
              <c:txPr>
                <a:bodyPr/>
                <a:lstStyle/>
                <a:p>
                  <a:pPr algn="ctr" rtl="1">
                    <a:defRPr sz="10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dLbl>
            <c:spPr>
              <a:noFill/>
              <a:ln w="25400">
                <a:noFill/>
              </a:ln>
            </c:spPr>
            <c:txPr>
              <a:bodyPr/>
              <a:lstStyle/>
              <a:p>
                <a:pPr>
                  <a:defRPr sz="1000" b="0" i="0" u="none" strike="noStrike" baseline="0">
                    <a:solidFill>
                      <a:srgbClr val="000000"/>
                    </a:solidFill>
                    <a:latin typeface="Times New Roman"/>
                    <a:ea typeface="Times New Roman"/>
                    <a:cs typeface="Times New Roman"/>
                  </a:defRPr>
                </a:pPr>
                <a:endParaRPr lang="en-US"/>
              </a:p>
            </c:txPr>
            <c:showLegendKey val="0"/>
            <c:showVal val="1"/>
            <c:showCatName val="0"/>
            <c:showSerName val="0"/>
            <c:showPercent val="0"/>
            <c:showBubbleSize val="0"/>
            <c:showLeaderLines val="0"/>
          </c:dLbls>
          <c:cat>
            <c:numRef>
              <c:f>broodtab!$A$8:$A$52</c:f>
              <c:numCache>
                <c:formatCode>General</c:formatCode>
                <c:ptCount val="45"/>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numCache>
            </c:numRef>
          </c:cat>
          <c:val>
            <c:numRef>
              <c:f>broodtab!$S$8:$S$52</c:f>
              <c:numCache>
                <c:formatCode>General</c:formatCode>
                <c:ptCount val="45"/>
                <c:pt idx="3" formatCode="0.00_)">
                  <c:v>4.050771330857637</c:v>
                </c:pt>
                <c:pt idx="4" formatCode="0.00_)">
                  <c:v>0.57346071602287</c:v>
                </c:pt>
                <c:pt idx="5" formatCode="0.00_)">
                  <c:v>0.0213590042492385</c:v>
                </c:pt>
                <c:pt idx="6" formatCode="0.00_)">
                  <c:v>0.919693189169208</c:v>
                </c:pt>
                <c:pt idx="7" formatCode="0.00_)">
                  <c:v>1.230734187632259</c:v>
                </c:pt>
                <c:pt idx="8" formatCode="0.00_)">
                  <c:v>0.530018301849794</c:v>
                </c:pt>
                <c:pt idx="9" formatCode="0.00_)">
                  <c:v>1.020069808027923</c:v>
                </c:pt>
                <c:pt idx="10" formatCode="0.00_)">
                  <c:v>6.98846960167715</c:v>
                </c:pt>
                <c:pt idx="11" formatCode="0.00_)">
                  <c:v>2.090994665829934</c:v>
                </c:pt>
                <c:pt idx="12" formatCode="0.00_)">
                  <c:v>3.372966085081356</c:v>
                </c:pt>
                <c:pt idx="13" formatCode="0.00_)">
                  <c:v>25.1911532385466</c:v>
                </c:pt>
                <c:pt idx="14" formatCode="0.00_)">
                  <c:v>18.18735498839907</c:v>
                </c:pt>
                <c:pt idx="15" formatCode="0.00_)">
                  <c:v>9.194041410646976</c:v>
                </c:pt>
                <c:pt idx="16" formatCode="0.00_)">
                  <c:v>3.273710199216755</c:v>
                </c:pt>
                <c:pt idx="17" formatCode="0.00_)">
                  <c:v>2.933545310015898</c:v>
                </c:pt>
                <c:pt idx="18" formatCode="0.00_)">
                  <c:v>3.264360259676226</c:v>
                </c:pt>
                <c:pt idx="19" formatCode="0.00_)">
                  <c:v>6.1139778144274</c:v>
                </c:pt>
                <c:pt idx="20" formatCode="0.00_)">
                  <c:v>1.338120444290177</c:v>
                </c:pt>
                <c:pt idx="21" formatCode="0.00_)">
                  <c:v>7.992981856384547</c:v>
                </c:pt>
                <c:pt idx="22" formatCode="0.00_)">
                  <c:v>4.939331005991495</c:v>
                </c:pt>
                <c:pt idx="23" formatCode="0.00_)">
                  <c:v>3.242795049970931</c:v>
                </c:pt>
                <c:pt idx="24" formatCode="0.00_)">
                  <c:v>2.220872488348995</c:v>
                </c:pt>
                <c:pt idx="25" formatCode="0.00_)">
                  <c:v>5.748453014822276</c:v>
                </c:pt>
                <c:pt idx="27" formatCode="0.00_)">
                  <c:v>2.957003811383753</c:v>
                </c:pt>
                <c:pt idx="28" formatCode="0.00_)">
                  <c:v>1.232620039925752</c:v>
                </c:pt>
                <c:pt idx="29" formatCode="0.00_)">
                  <c:v>4.11859629342541</c:v>
                </c:pt>
                <c:pt idx="30" formatCode="0.00_)">
                  <c:v>0.522323940280264</c:v>
                </c:pt>
                <c:pt idx="31" formatCode="0.00_)">
                  <c:v>0.802262526475789</c:v>
                </c:pt>
                <c:pt idx="32" formatCode="0.00_)">
                  <c:v>1.859626319311365</c:v>
                </c:pt>
                <c:pt idx="33" formatCode="0.00_)">
                  <c:v>2.287764125888749</c:v>
                </c:pt>
                <c:pt idx="34" formatCode="0.00_)">
                  <c:v>1.821303322038355</c:v>
                </c:pt>
                <c:pt idx="35" formatCode="0.00_)">
                  <c:v>12.48415860368052</c:v>
                </c:pt>
                <c:pt idx="36" formatCode="0.00_)">
                  <c:v>1.56209593452626</c:v>
                </c:pt>
                <c:pt idx="37" formatCode="0.00_)">
                  <c:v>0.0</c:v>
                </c:pt>
                <c:pt idx="38" formatCode="0.00_)">
                  <c:v>1.49761614369664</c:v>
                </c:pt>
                <c:pt idx="39" formatCode="0.00_)">
                  <c:v>2.33616214508193</c:v>
                </c:pt>
                <c:pt idx="40" formatCode="0.00_)">
                  <c:v>0.91960063058329</c:v>
                </c:pt>
                <c:pt idx="41" formatCode="0.00_)">
                  <c:v>1.552300014822867</c:v>
                </c:pt>
                <c:pt idx="42" formatCode="0.00_)">
                  <c:v>0.505634333040532</c:v>
                </c:pt>
                <c:pt idx="43" formatCode="0.00_)">
                  <c:v>3.977683552778397</c:v>
                </c:pt>
                <c:pt idx="44" formatCode="0.00_)">
                  <c:v>1.76894953874931</c:v>
                </c:pt>
              </c:numCache>
            </c:numRef>
          </c:val>
          <c:smooth val="0"/>
        </c:ser>
        <c:ser>
          <c:idx val="1"/>
          <c:order val="1"/>
          <c:tx>
            <c:v>Mean R/S</c:v>
          </c:tx>
          <c:spPr>
            <a:ln w="12700">
              <a:solidFill>
                <a:srgbClr val="000000"/>
              </a:solidFill>
              <a:prstDash val="solid"/>
            </a:ln>
          </c:spPr>
          <c:marker>
            <c:symbol val="none"/>
          </c:marker>
          <c:cat>
            <c:numRef>
              <c:f>broodtab!$Y$11:$Y$40</c:f>
              <c:numCache>
                <c:formatCode>General</c:formatCode>
                <c:ptCount val="30"/>
                <c:pt idx="0">
                  <c:v>1964.0</c:v>
                </c:pt>
                <c:pt idx="1">
                  <c:v>1965.0</c:v>
                </c:pt>
                <c:pt idx="2">
                  <c:v>1966.0</c:v>
                </c:pt>
                <c:pt idx="3">
                  <c:v>1967.0</c:v>
                </c:pt>
                <c:pt idx="4">
                  <c:v>1968.0</c:v>
                </c:pt>
                <c:pt idx="5">
                  <c:v>1969.0</c:v>
                </c:pt>
                <c:pt idx="6">
                  <c:v>1970.0</c:v>
                </c:pt>
                <c:pt idx="7">
                  <c:v>1971.0</c:v>
                </c:pt>
                <c:pt idx="8">
                  <c:v>1972.0</c:v>
                </c:pt>
                <c:pt idx="9">
                  <c:v>1973.0</c:v>
                </c:pt>
                <c:pt idx="10">
                  <c:v>1974.0</c:v>
                </c:pt>
                <c:pt idx="11">
                  <c:v>1975.0</c:v>
                </c:pt>
                <c:pt idx="12">
                  <c:v>1976.0</c:v>
                </c:pt>
                <c:pt idx="13">
                  <c:v>1977.0</c:v>
                </c:pt>
                <c:pt idx="14">
                  <c:v>1978.0</c:v>
                </c:pt>
                <c:pt idx="15">
                  <c:v>1979.0</c:v>
                </c:pt>
                <c:pt idx="16">
                  <c:v>1980.0</c:v>
                </c:pt>
                <c:pt idx="17">
                  <c:v>1981.0</c:v>
                </c:pt>
                <c:pt idx="18">
                  <c:v>1982.0</c:v>
                </c:pt>
                <c:pt idx="19">
                  <c:v>1983.0</c:v>
                </c:pt>
                <c:pt idx="20">
                  <c:v>1984.0</c:v>
                </c:pt>
                <c:pt idx="21">
                  <c:v>1985.0</c:v>
                </c:pt>
                <c:pt idx="22">
                  <c:v>1986.0</c:v>
                </c:pt>
                <c:pt idx="23">
                  <c:v>1987.0</c:v>
                </c:pt>
                <c:pt idx="24">
                  <c:v>1988.0</c:v>
                </c:pt>
                <c:pt idx="25">
                  <c:v>1989.0</c:v>
                </c:pt>
                <c:pt idx="26">
                  <c:v>1990.0</c:v>
                </c:pt>
                <c:pt idx="27">
                  <c:v>1991.0</c:v>
                </c:pt>
                <c:pt idx="28">
                  <c:v>1992.0</c:v>
                </c:pt>
                <c:pt idx="29">
                  <c:v>1993.0</c:v>
                </c:pt>
              </c:numCache>
            </c:numRef>
          </c:cat>
          <c:val>
            <c:numRef>
              <c:f>broodtab!$AC$11:$AC$40</c:f>
              <c:numCache>
                <c:formatCode>0.0_)</c:formatCode>
                <c:ptCount val="30"/>
                <c:pt idx="0">
                  <c:v>4.622029164543742</c:v>
                </c:pt>
                <c:pt idx="1">
                  <c:v>4.622029164543742</c:v>
                </c:pt>
                <c:pt idx="2">
                  <c:v>4.622029164543742</c:v>
                </c:pt>
                <c:pt idx="3">
                  <c:v>4.622029164543742</c:v>
                </c:pt>
                <c:pt idx="4">
                  <c:v>4.622029164543742</c:v>
                </c:pt>
                <c:pt idx="5">
                  <c:v>4.622029164543742</c:v>
                </c:pt>
                <c:pt idx="6">
                  <c:v>4.622029164543742</c:v>
                </c:pt>
                <c:pt idx="7">
                  <c:v>4.622029164543742</c:v>
                </c:pt>
                <c:pt idx="8">
                  <c:v>4.622029164543742</c:v>
                </c:pt>
                <c:pt idx="9">
                  <c:v>4.622029164543742</c:v>
                </c:pt>
                <c:pt idx="10">
                  <c:v>4.622029164543742</c:v>
                </c:pt>
                <c:pt idx="11">
                  <c:v>4.622029164543742</c:v>
                </c:pt>
                <c:pt idx="12">
                  <c:v>4.622029164543742</c:v>
                </c:pt>
                <c:pt idx="13">
                  <c:v>4.622029164543742</c:v>
                </c:pt>
                <c:pt idx="14">
                  <c:v>4.622029164543742</c:v>
                </c:pt>
                <c:pt idx="15">
                  <c:v>4.622029164543742</c:v>
                </c:pt>
                <c:pt idx="16">
                  <c:v>4.622029164543742</c:v>
                </c:pt>
                <c:pt idx="17">
                  <c:v>4.622029164543742</c:v>
                </c:pt>
                <c:pt idx="18">
                  <c:v>4.622029164543742</c:v>
                </c:pt>
                <c:pt idx="19">
                  <c:v>4.622029164543742</c:v>
                </c:pt>
                <c:pt idx="20">
                  <c:v>4.622029164543742</c:v>
                </c:pt>
                <c:pt idx="21">
                  <c:v>4.622029164543742</c:v>
                </c:pt>
                <c:pt idx="22">
                  <c:v>4.622029164543742</c:v>
                </c:pt>
                <c:pt idx="23">
                  <c:v>4.622029164543742</c:v>
                </c:pt>
                <c:pt idx="24">
                  <c:v>4.622029164543742</c:v>
                </c:pt>
                <c:pt idx="25">
                  <c:v>4.622029164543742</c:v>
                </c:pt>
                <c:pt idx="26">
                  <c:v>4.622029164543742</c:v>
                </c:pt>
                <c:pt idx="27">
                  <c:v>4.622029164543742</c:v>
                </c:pt>
                <c:pt idx="28">
                  <c:v>4.622029164543742</c:v>
                </c:pt>
                <c:pt idx="29">
                  <c:v>4.622029164543742</c:v>
                </c:pt>
              </c:numCache>
            </c:numRef>
          </c:val>
          <c:smooth val="0"/>
        </c:ser>
        <c:dLbls>
          <c:showLegendKey val="0"/>
          <c:showVal val="0"/>
          <c:showCatName val="0"/>
          <c:showSerName val="0"/>
          <c:showPercent val="0"/>
          <c:showBubbleSize val="0"/>
        </c:dLbls>
        <c:marker val="1"/>
        <c:smooth val="0"/>
        <c:axId val="-2104811512"/>
        <c:axId val="2133903272"/>
      </c:lineChart>
      <c:catAx>
        <c:axId val="-2104811512"/>
        <c:scaling>
          <c:orientation val="minMax"/>
        </c:scaling>
        <c:delete val="0"/>
        <c:axPos val="b"/>
        <c:title>
          <c:tx>
            <c:rich>
              <a:bodyPr/>
              <a:lstStyle/>
              <a:p>
                <a:pPr>
                  <a:defRPr sz="1800" b="0" i="0" u="none" strike="noStrike" baseline="0">
                    <a:solidFill>
                      <a:srgbClr val="000000"/>
                    </a:solidFill>
                    <a:latin typeface="Arial"/>
                    <a:ea typeface="Arial"/>
                    <a:cs typeface="Arial"/>
                  </a:defRPr>
                </a:pPr>
                <a:r>
                  <a:t>Brood Year</a:t>
                </a:r>
              </a:p>
            </c:rich>
          </c:tx>
          <c:layout>
            <c:manualLayout>
              <c:xMode val="edge"/>
              <c:yMode val="edge"/>
              <c:x val="0.490749711008101"/>
              <c:y val="0.853992715196315"/>
            </c:manualLayout>
          </c:layout>
          <c:overlay val="0"/>
          <c:spPr>
            <a:noFill/>
            <a:ln w="25400">
              <a:noFill/>
            </a:ln>
          </c:spPr>
        </c:title>
        <c:numFmt formatCode="General" sourceLinked="1"/>
        <c:majorTickMark val="none"/>
        <c:minorTickMark val="in"/>
        <c:tickLblPos val="low"/>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33903272"/>
        <c:crosses val="autoZero"/>
        <c:auto val="1"/>
        <c:lblAlgn val="ctr"/>
        <c:lblOffset val="100"/>
        <c:tickLblSkip val="2"/>
        <c:tickMarkSkip val="1"/>
        <c:noMultiLvlLbl val="0"/>
      </c:catAx>
      <c:valAx>
        <c:axId val="2133903272"/>
        <c:scaling>
          <c:orientation val="minMax"/>
        </c:scaling>
        <c:delete val="0"/>
        <c:axPos val="l"/>
        <c:majorGridlines>
          <c:spPr>
            <a:ln w="12700">
              <a:pattFill prst="pct75">
                <a:fgClr>
                  <a:srgbClr val="000000"/>
                </a:fgClr>
                <a:bgClr>
                  <a:srgbClr val="FFFFFF"/>
                </a:bgClr>
              </a:pattFill>
              <a:prstDash val="solid"/>
            </a:ln>
          </c:spPr>
        </c:majorGridlines>
        <c:title>
          <c:tx>
            <c:rich>
              <a:bodyPr/>
              <a:lstStyle/>
              <a:p>
                <a:pPr>
                  <a:defRPr sz="1800" b="0" i="0" u="none" strike="noStrike" baseline="0">
                    <a:solidFill>
                      <a:srgbClr val="000000"/>
                    </a:solidFill>
                    <a:latin typeface="Arial"/>
                    <a:ea typeface="Arial"/>
                    <a:cs typeface="Arial"/>
                  </a:defRPr>
                </a:pPr>
                <a:r>
                  <a:t>Return  per  Spawner</a:t>
                </a:r>
              </a:p>
            </c:rich>
          </c:tx>
          <c:layout>
            <c:manualLayout>
              <c:xMode val="edge"/>
              <c:yMode val="edge"/>
              <c:x val="0.0140969669170877"/>
              <c:y val="0.220713839341511"/>
            </c:manualLayout>
          </c:layout>
          <c:overlay val="0"/>
          <c:spPr>
            <a:noFill/>
            <a:ln w="25400">
              <a:noFill/>
            </a:ln>
          </c:spPr>
        </c:title>
        <c:numFmt formatCode="General" sourceLinked="1"/>
        <c:majorTickMark val="in"/>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2104811512"/>
        <c:crosses val="autoZero"/>
        <c:crossBetween val="between"/>
      </c:valAx>
      <c:spPr>
        <a:solidFill>
          <a:srgbClr val="FFFFFF"/>
        </a:solidFill>
        <a:ln w="12700">
          <a:solidFill>
            <a:srgbClr val="000000"/>
          </a:solidFill>
          <a:prstDash val="solid"/>
        </a:ln>
      </c:spPr>
    </c:plotArea>
    <c:legend>
      <c:legendPos val="r"/>
      <c:layout>
        <c:manualLayout>
          <c:xMode val="edge"/>
          <c:yMode val="edge"/>
          <c:x val="0.466522883184284"/>
          <c:y val="0.945578545379778"/>
          <c:w val="0.160547226774839"/>
          <c:h val="0.0394557954187246"/>
        </c:manualLayout>
      </c:layout>
      <c:overlay val="0"/>
      <c:spPr>
        <a:solidFill>
          <a:srgbClr val="FFFFFF"/>
        </a:solidFill>
        <a:ln w="12700">
          <a:solidFill>
            <a:srgbClr val="000000"/>
          </a:solidFill>
          <a:prstDash val="solid"/>
        </a:ln>
        <a:effectLst>
          <a:outerShdw dist="35921" dir="2700000" algn="br">
            <a:srgbClr val="000000"/>
          </a:outerShdw>
        </a:effectLst>
      </c:spPr>
      <c:txPr>
        <a:bodyPr/>
        <a:lstStyle/>
        <a:p>
          <a:pPr>
            <a:defRPr sz="92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299759601734"/>
          <c:y val="0.0526317534743523"/>
          <c:w val="0.841411139542847"/>
          <c:h val="0.740240145639278"/>
        </c:manualLayout>
      </c:layout>
      <c:scatterChart>
        <c:scatterStyle val="lineMarker"/>
        <c:varyColors val="0"/>
        <c:ser>
          <c:idx val="0"/>
          <c:order val="0"/>
          <c:tx>
            <c:v>Regression line</c:v>
          </c:tx>
          <c:spPr>
            <a:ln w="12700">
              <a:solidFill>
                <a:srgbClr val="000000"/>
              </a:solidFill>
              <a:prstDash val="solid"/>
            </a:ln>
          </c:spPr>
          <c:marker>
            <c:symbol val="none"/>
          </c:marker>
          <c:xVal>
            <c:numRef>
              <c:f>broodtab!$AE$11:$AE$38</c:f>
              <c:numCache>
                <c:formatCode>#,##0_);\(#,##0\)</c:formatCode>
                <c:ptCount val="28"/>
                <c:pt idx="0">
                  <c:v>68129.0</c:v>
                </c:pt>
                <c:pt idx="1">
                  <c:v>108963.0</c:v>
                </c:pt>
                <c:pt idx="2">
                  <c:v>26593.0</c:v>
                </c:pt>
                <c:pt idx="3">
                  <c:v>10821.0</c:v>
                </c:pt>
                <c:pt idx="4">
                  <c:v>68048.0</c:v>
                </c:pt>
                <c:pt idx="5">
                  <c:v>61196.0</c:v>
                </c:pt>
                <c:pt idx="6">
                  <c:v>11460.0</c:v>
                </c:pt>
                <c:pt idx="7">
                  <c:v>954.0</c:v>
                </c:pt>
                <c:pt idx="8">
                  <c:v>28683.0</c:v>
                </c:pt>
                <c:pt idx="9">
                  <c:v>10202.0</c:v>
                </c:pt>
                <c:pt idx="10">
                  <c:v>633.0</c:v>
                </c:pt>
                <c:pt idx="11">
                  <c:v>1724.0</c:v>
                </c:pt>
                <c:pt idx="12">
                  <c:v>19367.0</c:v>
                </c:pt>
                <c:pt idx="13">
                  <c:v>11746.0</c:v>
                </c:pt>
                <c:pt idx="14">
                  <c:v>12580.0</c:v>
                </c:pt>
                <c:pt idx="15">
                  <c:v>12169.0</c:v>
                </c:pt>
                <c:pt idx="16">
                  <c:v>44263.0</c:v>
                </c:pt>
                <c:pt idx="17">
                  <c:v>23048.0</c:v>
                </c:pt>
                <c:pt idx="18">
                  <c:v>6782.0</c:v>
                </c:pt>
                <c:pt idx="19">
                  <c:v>10348.0</c:v>
                </c:pt>
                <c:pt idx="20">
                  <c:v>36121.0</c:v>
                </c:pt>
                <c:pt idx="21">
                  <c:v>26178.0</c:v>
                </c:pt>
                <c:pt idx="22">
                  <c:v>6949.0</c:v>
                </c:pt>
                <c:pt idx="23">
                  <c:v>31747.0</c:v>
                </c:pt>
                <c:pt idx="24">
                  <c:v>57106.0</c:v>
                </c:pt>
                <c:pt idx="25">
                  <c:v>14191.0</c:v>
                </c:pt>
                <c:pt idx="26">
                  <c:v>45814.0</c:v>
                </c:pt>
                <c:pt idx="27">
                  <c:v>30627.0</c:v>
                </c:pt>
              </c:numCache>
            </c:numRef>
          </c:xVal>
          <c:yVal>
            <c:numRef>
              <c:f>broodtab!$AG$11:$AG$38</c:f>
              <c:numCache>
                <c:formatCode>0.00_)</c:formatCode>
                <c:ptCount val="28"/>
                <c:pt idx="0">
                  <c:v>0.687604960058669</c:v>
                </c:pt>
                <c:pt idx="1">
                  <c:v>-3.353235175478036</c:v>
                </c:pt>
                <c:pt idx="2">
                  <c:v>4.797913425299708</c:v>
                </c:pt>
                <c:pt idx="3">
                  <c:v>6.358674815750923</c:v>
                </c:pt>
                <c:pt idx="4">
                  <c:v>0.695620536563015</c:v>
                </c:pt>
                <c:pt idx="5">
                  <c:v>1.373678934189932</c:v>
                </c:pt>
                <c:pt idx="6">
                  <c:v>6.295440823327748</c:v>
                </c:pt>
                <c:pt idx="7">
                  <c:v>7.335090783261837</c:v>
                </c:pt>
                <c:pt idx="8">
                  <c:v>4.591091759940651</c:v>
                </c:pt>
                <c:pt idx="9">
                  <c:v>6.419929653481667</c:v>
                </c:pt>
                <c:pt idx="10">
                  <c:v>7.366856216075358</c:v>
                </c:pt>
                <c:pt idx="11">
                  <c:v>7.258893327603237</c:v>
                </c:pt>
                <c:pt idx="12">
                  <c:v>5.512982015675087</c:v>
                </c:pt>
                <c:pt idx="13">
                  <c:v>6.267138911225982</c:v>
                </c:pt>
                <c:pt idx="14">
                  <c:v>6.184608160551603</c:v>
                </c:pt>
                <c:pt idx="15">
                  <c:v>6.225279789481063</c:v>
                </c:pt>
                <c:pt idx="16">
                  <c:v>3.049330254536776</c:v>
                </c:pt>
                <c:pt idx="17">
                  <c:v>5.148718594533132</c:v>
                </c:pt>
                <c:pt idx="18">
                  <c:v>6.758365105887396</c:v>
                </c:pt>
                <c:pt idx="19">
                  <c:v>6.40548182422692</c:v>
                </c:pt>
                <c:pt idx="20">
                  <c:v>3.855044129825502</c:v>
                </c:pt>
                <c:pt idx="21">
                  <c:v>4.838980885167655</c:v>
                </c:pt>
                <c:pt idx="22">
                  <c:v>6.741839164205596</c:v>
                </c:pt>
                <c:pt idx="23">
                  <c:v>4.287885261060198</c:v>
                </c:pt>
                <c:pt idx="24">
                  <c:v>1.778416068792104</c:v>
                </c:pt>
                <c:pt idx="25">
                  <c:v>6.025187250076272</c:v>
                </c:pt>
                <c:pt idx="26">
                  <c:v>2.89584680813874</c:v>
                </c:pt>
                <c:pt idx="27">
                  <c:v>4.398717923836343</c:v>
                </c:pt>
              </c:numCache>
            </c:numRef>
          </c:yVal>
          <c:smooth val="0"/>
        </c:ser>
        <c:dLbls>
          <c:showLegendKey val="0"/>
          <c:showVal val="0"/>
          <c:showCatName val="0"/>
          <c:showSerName val="0"/>
          <c:showPercent val="0"/>
          <c:showBubbleSize val="0"/>
        </c:dLbls>
        <c:axId val="-2105107592"/>
        <c:axId val="-2105101464"/>
      </c:scatterChart>
      <c:valAx>
        <c:axId val="-2105107592"/>
        <c:scaling>
          <c:orientation val="minMax"/>
        </c:scaling>
        <c:delete val="0"/>
        <c:axPos val="b"/>
        <c:title>
          <c:tx>
            <c:rich>
              <a:bodyPr/>
              <a:lstStyle/>
              <a:p>
                <a:pPr>
                  <a:defRPr sz="1800" b="0" i="0" u="none" strike="noStrike" baseline="0">
                    <a:solidFill>
                      <a:srgbClr val="000000"/>
                    </a:solidFill>
                    <a:latin typeface="Arial"/>
                    <a:ea typeface="Arial"/>
                    <a:cs typeface="Arial"/>
                  </a:defRPr>
                </a:pPr>
                <a:r>
                  <a:t>Brood Year Escapement</a:t>
                </a:r>
              </a:p>
            </c:rich>
          </c:tx>
          <c:layout>
            <c:manualLayout>
              <c:xMode val="edge"/>
              <c:yMode val="edge"/>
              <c:x val="0.417621857285492"/>
              <c:y val="0.853992715196315"/>
            </c:manualLayout>
          </c:layout>
          <c:overlay val="0"/>
          <c:spPr>
            <a:noFill/>
            <a:ln w="25400">
              <a:noFill/>
            </a:ln>
          </c:spPr>
        </c:title>
        <c:numFmt formatCode="#,##0_);\(#,##0\)" sourceLinked="1"/>
        <c:majorTickMark val="in"/>
        <c:minorTickMark val="none"/>
        <c:tickLblPos val="low"/>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05101464"/>
        <c:crosses val="autoZero"/>
        <c:crossBetween val="midCat"/>
        <c:majorUnit val="10000.0"/>
        <c:minorUnit val="5000.0"/>
      </c:valAx>
      <c:valAx>
        <c:axId val="-2105101464"/>
        <c:scaling>
          <c:orientation val="minMax"/>
        </c:scaling>
        <c:delete val="0"/>
        <c:axPos val="l"/>
        <c:majorGridlines>
          <c:spPr>
            <a:ln w="12700">
              <a:pattFill prst="pct75">
                <a:fgClr>
                  <a:srgbClr val="000000"/>
                </a:fgClr>
                <a:bgClr>
                  <a:srgbClr val="FFFFFF"/>
                </a:bgClr>
              </a:pattFill>
              <a:prstDash val="solid"/>
            </a:ln>
          </c:spPr>
        </c:majorGridlines>
        <c:title>
          <c:tx>
            <c:rich>
              <a:bodyPr/>
              <a:lstStyle/>
              <a:p>
                <a:pPr>
                  <a:defRPr sz="1800" b="0" i="0" u="none" strike="noStrike" baseline="0">
                    <a:solidFill>
                      <a:srgbClr val="000000"/>
                    </a:solidFill>
                    <a:latin typeface="Arial"/>
                    <a:ea typeface="Arial"/>
                    <a:cs typeface="Arial"/>
                  </a:defRPr>
                </a:pPr>
                <a:r>
                  <a:t>Return  per  Spawner</a:t>
                </a:r>
              </a:p>
            </c:rich>
          </c:tx>
          <c:layout>
            <c:manualLayout>
              <c:xMode val="edge"/>
              <c:yMode val="edge"/>
              <c:x val="0.0140969669170877"/>
              <c:y val="0.220713839341511"/>
            </c:manualLayout>
          </c:layout>
          <c:overlay val="0"/>
          <c:spPr>
            <a:noFill/>
            <a:ln w="25400">
              <a:noFill/>
            </a:ln>
          </c:spPr>
        </c:title>
        <c:numFmt formatCode="0.00_)" sourceLinked="1"/>
        <c:majorTickMark val="in"/>
        <c:minorTickMark val="none"/>
        <c:tickLblPos val="nextTo"/>
        <c:spPr>
          <a:ln w="12700">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2105107592"/>
        <c:crosses val="autoZero"/>
        <c:crossBetween val="midCat"/>
        <c:majorUnit val="5.0"/>
        <c:minorUnit val="1.0"/>
      </c:valAx>
      <c:spPr>
        <a:solidFill>
          <a:srgbClr val="FFFFFF"/>
        </a:solidFill>
        <a:ln w="12700">
          <a:solidFill>
            <a:srgbClr val="000000"/>
          </a:solidFill>
          <a:prstDash val="solid"/>
        </a:ln>
      </c:spPr>
    </c:plotArea>
    <c:legend>
      <c:legendPos val="r"/>
      <c:layout>
        <c:manualLayout>
          <c:xMode val="edge"/>
          <c:yMode val="edge"/>
          <c:x val="0.478041966719699"/>
          <c:y val="0.945578545379778"/>
          <c:w val="0.116630720796071"/>
          <c:h val="0.0394557954187246"/>
        </c:manualLayout>
      </c:layout>
      <c:overlay val="0"/>
      <c:spPr>
        <a:solidFill>
          <a:srgbClr val="FFFFFF"/>
        </a:solidFill>
        <a:ln w="12700">
          <a:solidFill>
            <a:srgbClr val="000000"/>
          </a:solidFill>
          <a:prstDash val="solid"/>
        </a:ln>
        <a:effectLst>
          <a:outerShdw dist="35921" dir="2700000" algn="br">
            <a:srgbClr val="000000"/>
          </a:outerShdw>
        </a:effectLst>
      </c:spPr>
      <c:txPr>
        <a:bodyPr/>
        <a:lstStyle/>
        <a:p>
          <a:pPr>
            <a:defRPr sz="92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Times New Roman"/>
                <a:ea typeface="Times New Roman"/>
                <a:cs typeface="Times New Roman"/>
              </a:defRPr>
            </a:pPr>
            <a:r>
              <a:rPr lang="en-US" sz="1800" b="0" i="0" u="none" strike="noStrike" baseline="0">
                <a:solidFill>
                  <a:srgbClr val="000000"/>
                </a:solidFill>
                <a:latin typeface="Arial"/>
                <a:cs typeface="Arial"/>
              </a:rPr>
              <a:t>Eshamy Lake Sockeye Salmon</a:t>
            </a:r>
          </a:p>
          <a:p>
            <a:pPr>
              <a:defRPr sz="1000" b="0" i="0" u="none" strike="noStrike" baseline="0">
                <a:solidFill>
                  <a:srgbClr val="000000"/>
                </a:solidFill>
                <a:latin typeface="Times New Roman"/>
                <a:ea typeface="Times New Roman"/>
                <a:cs typeface="Times New Roman"/>
              </a:defRPr>
            </a:pPr>
            <a:r>
              <a:rPr lang="en-US" sz="1200" b="0" i="0" u="none" strike="noStrike" baseline="0">
                <a:solidFill>
                  <a:srgbClr val="000000"/>
                </a:solidFill>
                <a:latin typeface="Arial"/>
                <a:cs typeface="Arial"/>
              </a:rPr>
              <a:t>Wild Stock </a:t>
            </a:r>
          </a:p>
        </c:rich>
      </c:tx>
      <c:layout>
        <c:manualLayout>
          <c:xMode val="edge"/>
          <c:yMode val="edge"/>
          <c:x val="0.352378395229332"/>
          <c:y val="0.0305949256342957"/>
        </c:manualLayout>
      </c:layout>
      <c:overlay val="0"/>
      <c:spPr>
        <a:solidFill>
          <a:srgbClr val="FFFFFF"/>
        </a:solidFill>
        <a:ln w="12700">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2448148300536"/>
          <c:y val="0.185269531846521"/>
          <c:w val="0.83306838626664"/>
          <c:h val="0.603400768857934"/>
        </c:manualLayout>
      </c:layout>
      <c:scatterChart>
        <c:scatterStyle val="lineMarker"/>
        <c:varyColors val="0"/>
        <c:ser>
          <c:idx val="0"/>
          <c:order val="0"/>
          <c:tx>
            <c:v>Replacement Line</c:v>
          </c:tx>
          <c:spPr>
            <a:ln w="12700">
              <a:solidFill>
                <a:srgbClr val="000000"/>
              </a:solidFill>
              <a:prstDash val="solid"/>
            </a:ln>
          </c:spPr>
          <c:marker>
            <c:symbol val="none"/>
          </c:marker>
          <c:xVal>
            <c:numRef>
              <c:f>broodtab!$AE$11:$AE$38</c:f>
              <c:numCache>
                <c:formatCode>#,##0_);\(#,##0\)</c:formatCode>
                <c:ptCount val="28"/>
                <c:pt idx="0">
                  <c:v>68129.0</c:v>
                </c:pt>
                <c:pt idx="1">
                  <c:v>108963.0</c:v>
                </c:pt>
                <c:pt idx="2">
                  <c:v>26593.0</c:v>
                </c:pt>
                <c:pt idx="3">
                  <c:v>10821.0</c:v>
                </c:pt>
                <c:pt idx="4">
                  <c:v>68048.0</c:v>
                </c:pt>
                <c:pt idx="5">
                  <c:v>61196.0</c:v>
                </c:pt>
                <c:pt idx="6">
                  <c:v>11460.0</c:v>
                </c:pt>
                <c:pt idx="7">
                  <c:v>954.0</c:v>
                </c:pt>
                <c:pt idx="8">
                  <c:v>28683.0</c:v>
                </c:pt>
                <c:pt idx="9">
                  <c:v>10202.0</c:v>
                </c:pt>
                <c:pt idx="10">
                  <c:v>633.0</c:v>
                </c:pt>
                <c:pt idx="11">
                  <c:v>1724.0</c:v>
                </c:pt>
                <c:pt idx="12">
                  <c:v>19367.0</c:v>
                </c:pt>
                <c:pt idx="13">
                  <c:v>11746.0</c:v>
                </c:pt>
                <c:pt idx="14">
                  <c:v>12580.0</c:v>
                </c:pt>
                <c:pt idx="15">
                  <c:v>12169.0</c:v>
                </c:pt>
                <c:pt idx="16">
                  <c:v>44263.0</c:v>
                </c:pt>
                <c:pt idx="17">
                  <c:v>23048.0</c:v>
                </c:pt>
                <c:pt idx="18">
                  <c:v>6782.0</c:v>
                </c:pt>
                <c:pt idx="19">
                  <c:v>10348.0</c:v>
                </c:pt>
                <c:pt idx="20">
                  <c:v>36121.0</c:v>
                </c:pt>
                <c:pt idx="21">
                  <c:v>26178.0</c:v>
                </c:pt>
                <c:pt idx="22">
                  <c:v>6949.0</c:v>
                </c:pt>
                <c:pt idx="23">
                  <c:v>31747.0</c:v>
                </c:pt>
                <c:pt idx="24">
                  <c:v>57106.0</c:v>
                </c:pt>
                <c:pt idx="25">
                  <c:v>14191.0</c:v>
                </c:pt>
                <c:pt idx="26">
                  <c:v>45814.0</c:v>
                </c:pt>
                <c:pt idx="27">
                  <c:v>30627.0</c:v>
                </c:pt>
              </c:numCache>
            </c:numRef>
          </c:xVal>
          <c:yVal>
            <c:numRef>
              <c:f>broodtab!$AE$11:$AE$38</c:f>
              <c:numCache>
                <c:formatCode>#,##0_);\(#,##0\)</c:formatCode>
                <c:ptCount val="28"/>
                <c:pt idx="0">
                  <c:v>68129.0</c:v>
                </c:pt>
                <c:pt idx="1">
                  <c:v>108963.0</c:v>
                </c:pt>
                <c:pt idx="2">
                  <c:v>26593.0</c:v>
                </c:pt>
                <c:pt idx="3">
                  <c:v>10821.0</c:v>
                </c:pt>
                <c:pt idx="4">
                  <c:v>68048.0</c:v>
                </c:pt>
                <c:pt idx="5">
                  <c:v>61196.0</c:v>
                </c:pt>
                <c:pt idx="6">
                  <c:v>11460.0</c:v>
                </c:pt>
                <c:pt idx="7">
                  <c:v>954.0</c:v>
                </c:pt>
                <c:pt idx="8">
                  <c:v>28683.0</c:v>
                </c:pt>
                <c:pt idx="9">
                  <c:v>10202.0</c:v>
                </c:pt>
                <c:pt idx="10">
                  <c:v>633.0</c:v>
                </c:pt>
                <c:pt idx="11">
                  <c:v>1724.0</c:v>
                </c:pt>
                <c:pt idx="12">
                  <c:v>19367.0</c:v>
                </c:pt>
                <c:pt idx="13">
                  <c:v>11746.0</c:v>
                </c:pt>
                <c:pt idx="14">
                  <c:v>12580.0</c:v>
                </c:pt>
                <c:pt idx="15">
                  <c:v>12169.0</c:v>
                </c:pt>
                <c:pt idx="16">
                  <c:v>44263.0</c:v>
                </c:pt>
                <c:pt idx="17">
                  <c:v>23048.0</c:v>
                </c:pt>
                <c:pt idx="18">
                  <c:v>6782.0</c:v>
                </c:pt>
                <c:pt idx="19">
                  <c:v>10348.0</c:v>
                </c:pt>
                <c:pt idx="20">
                  <c:v>36121.0</c:v>
                </c:pt>
                <c:pt idx="21">
                  <c:v>26178.0</c:v>
                </c:pt>
                <c:pt idx="22">
                  <c:v>6949.0</c:v>
                </c:pt>
                <c:pt idx="23">
                  <c:v>31747.0</c:v>
                </c:pt>
                <c:pt idx="24">
                  <c:v>57106.0</c:v>
                </c:pt>
                <c:pt idx="25">
                  <c:v>14191.0</c:v>
                </c:pt>
                <c:pt idx="26">
                  <c:v>45814.0</c:v>
                </c:pt>
                <c:pt idx="27">
                  <c:v>30627.0</c:v>
                </c:pt>
              </c:numCache>
            </c:numRef>
          </c:yVal>
          <c:smooth val="0"/>
        </c:ser>
        <c:dLbls>
          <c:showLegendKey val="0"/>
          <c:showVal val="0"/>
          <c:showCatName val="0"/>
          <c:showSerName val="0"/>
          <c:showPercent val="0"/>
          <c:showBubbleSize val="0"/>
        </c:dLbls>
        <c:axId val="-2104846952"/>
        <c:axId val="-2104840808"/>
      </c:scatterChart>
      <c:valAx>
        <c:axId val="-2104846952"/>
        <c:scaling>
          <c:orientation val="minMax"/>
        </c:scaling>
        <c:delete val="0"/>
        <c:axPos val="b"/>
        <c:title>
          <c:tx>
            <c:rich>
              <a:bodyPr/>
              <a:lstStyle/>
              <a:p>
                <a:pPr>
                  <a:defRPr sz="1800" b="0" i="0" u="none" strike="noStrike" baseline="0">
                    <a:solidFill>
                      <a:srgbClr val="000000"/>
                    </a:solidFill>
                    <a:latin typeface="Arial"/>
                    <a:ea typeface="Arial"/>
                    <a:cs typeface="Arial"/>
                  </a:defRPr>
                </a:pPr>
                <a:r>
                  <a:t>Brood Year Escapement</a:t>
                </a:r>
              </a:p>
            </c:rich>
          </c:tx>
          <c:layout>
            <c:manualLayout>
              <c:xMode val="edge"/>
              <c:yMode val="edge"/>
              <c:x val="0.411746462726642"/>
              <c:y val="0.848160587069473"/>
            </c:manualLayout>
          </c:layout>
          <c:overlay val="0"/>
          <c:spPr>
            <a:noFill/>
            <a:ln w="25400">
              <a:noFill/>
            </a:ln>
          </c:spPr>
        </c:title>
        <c:numFmt formatCode="#,##0_);\(#,##0\)" sourceLinked="1"/>
        <c:majorTickMark val="in"/>
        <c:minorTickMark val="none"/>
        <c:tickLblPos val="low"/>
        <c:spPr>
          <a:ln w="12700">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04840808"/>
        <c:crosses val="autoZero"/>
        <c:crossBetween val="midCat"/>
        <c:majorUnit val="10000.0"/>
        <c:minorUnit val="5000.0"/>
      </c:valAx>
      <c:valAx>
        <c:axId val="-2104840808"/>
        <c:scaling>
          <c:orientation val="minMax"/>
          <c:max val="350000.0"/>
        </c:scaling>
        <c:delete val="0"/>
        <c:axPos val="l"/>
        <c:majorGridlines>
          <c:spPr>
            <a:ln w="12700">
              <a:pattFill prst="pct75">
                <a:fgClr>
                  <a:srgbClr val="000000"/>
                </a:fgClr>
                <a:bgClr>
                  <a:srgbClr val="FFFFFF"/>
                </a:bgClr>
              </a:pattFill>
              <a:prstDash val="solid"/>
            </a:ln>
          </c:spPr>
        </c:majorGridlines>
        <c:title>
          <c:tx>
            <c:rich>
              <a:bodyPr/>
              <a:lstStyle/>
              <a:p>
                <a:pPr>
                  <a:defRPr sz="1800" b="0" i="0" u="none" strike="noStrike" baseline="0">
                    <a:solidFill>
                      <a:srgbClr val="000000"/>
                    </a:solidFill>
                    <a:latin typeface="Arial"/>
                    <a:ea typeface="Arial"/>
                    <a:cs typeface="Arial"/>
                  </a:defRPr>
                </a:pPr>
                <a:r>
                  <a:t>Total Brood Year Return</a:t>
                </a:r>
              </a:p>
            </c:rich>
          </c:tx>
          <c:layout>
            <c:manualLayout>
              <c:xMode val="edge"/>
              <c:yMode val="edge"/>
              <c:x val="0.0153208435152502"/>
              <c:y val="0.258357526737729"/>
            </c:manualLayout>
          </c:layout>
          <c:overlay val="0"/>
          <c:spPr>
            <a:noFill/>
            <a:ln w="25400">
              <a:noFill/>
            </a:ln>
          </c:spPr>
        </c:title>
        <c:numFmt formatCode="#,##0_);\(#,##0\)" sourceLinked="1"/>
        <c:majorTickMark val="in"/>
        <c:minorTickMark val="none"/>
        <c:tickLblPos val="nextTo"/>
        <c:spPr>
          <a:ln w="12700">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04846952"/>
        <c:crosses val="autoZero"/>
        <c:crossBetween val="midCat"/>
        <c:majorUnit val="50000.0"/>
        <c:minorUnit val="350000.0"/>
      </c:valAx>
      <c:spPr>
        <a:solidFill>
          <a:srgbClr val="FFFFFF"/>
        </a:solidFill>
        <a:ln w="12700">
          <a:solidFill>
            <a:srgbClr val="000000"/>
          </a:solidFill>
          <a:prstDash val="solid"/>
        </a:ln>
      </c:spPr>
    </c:plotArea>
    <c:legend>
      <c:legendPos val="r"/>
      <c:layout>
        <c:manualLayout>
          <c:xMode val="edge"/>
          <c:yMode val="edge"/>
          <c:x val="0.458236364651668"/>
          <c:y val="0.937415277362111"/>
          <c:w val="0.166276568434081"/>
          <c:h val="0.0448979740971693"/>
        </c:manualLayout>
      </c:layout>
      <c:overlay val="0"/>
      <c:spPr>
        <a:solidFill>
          <a:srgbClr val="FFFFFF"/>
        </a:solidFill>
        <a:ln w="12700">
          <a:solidFill>
            <a:srgbClr val="000000"/>
          </a:solidFill>
          <a:prstDash val="solid"/>
        </a:ln>
        <a:effectLst>
          <a:outerShdw dist="35921" dir="2700000" algn="br">
            <a:srgbClr val="000000"/>
          </a:outerShdw>
        </a:effectLst>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47791611509511"/>
          <c:y val="0.0444445186373508"/>
          <c:w val="0.915704818821193"/>
          <c:h val="0.82222359479099"/>
        </c:manualLayout>
      </c:layout>
      <c:lineChart>
        <c:grouping val="standard"/>
        <c:varyColors val="0"/>
        <c:ser>
          <c:idx val="0"/>
          <c:order val="0"/>
          <c:spPr>
            <a:ln w="12700">
              <a:solidFill>
                <a:srgbClr val="000000"/>
              </a:solidFill>
              <a:prstDash val="solid"/>
            </a:ln>
          </c:spPr>
          <c:marker>
            <c:symbol val="square"/>
            <c:size val="3"/>
            <c:spPr>
              <a:solidFill>
                <a:srgbClr val="000000"/>
              </a:solidFill>
              <a:ln>
                <a:solidFill>
                  <a:srgbClr val="000000"/>
                </a:solidFill>
                <a:prstDash val="solid"/>
              </a:ln>
            </c:spPr>
          </c:marker>
          <c:cat>
            <c:numRef>
              <c:f>broodtab!$Q$15:$Q$40</c:f>
              <c:numCache>
                <c:formatCode>0_)</c:formatCode>
                <c:ptCount val="26"/>
                <c:pt idx="0">
                  <c:v>1968.0</c:v>
                </c:pt>
                <c:pt idx="1">
                  <c:v>1969.0</c:v>
                </c:pt>
                <c:pt idx="2">
                  <c:v>1970.0</c:v>
                </c:pt>
                <c:pt idx="3">
                  <c:v>1971.0</c:v>
                </c:pt>
                <c:pt idx="4">
                  <c:v>1972.0</c:v>
                </c:pt>
                <c:pt idx="5">
                  <c:v>1973.0</c:v>
                </c:pt>
                <c:pt idx="6">
                  <c:v>1974.0</c:v>
                </c:pt>
                <c:pt idx="7">
                  <c:v>1975.0</c:v>
                </c:pt>
                <c:pt idx="8">
                  <c:v>1976.0</c:v>
                </c:pt>
                <c:pt idx="9">
                  <c:v>1977.0</c:v>
                </c:pt>
                <c:pt idx="10">
                  <c:v>1978.0</c:v>
                </c:pt>
                <c:pt idx="11">
                  <c:v>1979.0</c:v>
                </c:pt>
                <c:pt idx="12">
                  <c:v>1980.0</c:v>
                </c:pt>
                <c:pt idx="13">
                  <c:v>1981.0</c:v>
                </c:pt>
                <c:pt idx="14">
                  <c:v>1982.0</c:v>
                </c:pt>
                <c:pt idx="15">
                  <c:v>1983.0</c:v>
                </c:pt>
                <c:pt idx="16">
                  <c:v>1984.0</c:v>
                </c:pt>
                <c:pt idx="17">
                  <c:v>1985.0</c:v>
                </c:pt>
                <c:pt idx="18">
                  <c:v>1986.0</c:v>
                </c:pt>
                <c:pt idx="19">
                  <c:v>1987.0</c:v>
                </c:pt>
                <c:pt idx="20">
                  <c:v>1988.0</c:v>
                </c:pt>
                <c:pt idx="21">
                  <c:v>1989.0</c:v>
                </c:pt>
                <c:pt idx="22">
                  <c:v>1990.0</c:v>
                </c:pt>
                <c:pt idx="23">
                  <c:v>1991.0</c:v>
                </c:pt>
                <c:pt idx="24">
                  <c:v>1992.0</c:v>
                </c:pt>
                <c:pt idx="25">
                  <c:v>1993.0</c:v>
                </c:pt>
              </c:numCache>
            </c:numRef>
          </c:cat>
          <c:val>
            <c:numRef>
              <c:f>broodtab!$R$15:$R$40</c:f>
              <c:numCache>
                <c:formatCode>#,##0_);\(#,##0\)</c:formatCode>
                <c:ptCount val="26"/>
                <c:pt idx="0">
                  <c:v>83749.0</c:v>
                </c:pt>
                <c:pt idx="1">
                  <c:v>32435.0</c:v>
                </c:pt>
                <c:pt idx="2">
                  <c:v>11690.0</c:v>
                </c:pt>
                <c:pt idx="3">
                  <c:v>6667.0</c:v>
                </c:pt>
                <c:pt idx="4">
                  <c:v>59976.0</c:v>
                </c:pt>
                <c:pt idx="5">
                  <c:v>34411.0</c:v>
                </c:pt>
                <c:pt idx="6">
                  <c:v>15946.0</c:v>
                </c:pt>
                <c:pt idx="7">
                  <c:v>31355.0</c:v>
                </c:pt>
                <c:pt idx="8">
                  <c:v>178061.0</c:v>
                </c:pt>
                <c:pt idx="9">
                  <c:v>38453.0</c:v>
                </c:pt>
                <c:pt idx="10">
                  <c:v>36904.0</c:v>
                </c:pt>
                <c:pt idx="11">
                  <c:v>39724.0</c:v>
                </c:pt>
                <c:pt idx="12">
                  <c:v>270623.0</c:v>
                </c:pt>
                <c:pt idx="13">
                  <c:v>30841.0</c:v>
                </c:pt>
                <c:pt idx="14">
                  <c:v>54208.40295</c:v>
                </c:pt>
                <c:pt idx="15">
                  <c:v>51112.19725</c:v>
                </c:pt>
                <c:pt idx="16">
                  <c:v>117133.0</c:v>
                </c:pt>
                <c:pt idx="17">
                  <c:v>58138.0</c:v>
                </c:pt>
                <c:pt idx="18">
                  <c:v>39946.0</c:v>
                </c:pt>
                <c:pt idx="19">
                  <c:v>60196.0</c:v>
                </c:pt>
                <c:pt idx="20">
                  <c:v>93876.0</c:v>
                </c:pt>
                <c:pt idx="21">
                  <c:v>70390.0</c:v>
                </c:pt>
                <c:pt idx="22">
                  <c:v>58447.0</c:v>
                </c:pt>
                <c:pt idx="23">
                  <c:v>23929.749</c:v>
                </c:pt>
                <c:pt idx="24">
                  <c:v>24570.89439837399</c:v>
                </c:pt>
                <c:pt idx="25">
                  <c:v>64449.06934837397</c:v>
                </c:pt>
              </c:numCache>
            </c:numRef>
          </c:val>
          <c:smooth val="0"/>
        </c:ser>
        <c:dLbls>
          <c:showLegendKey val="0"/>
          <c:showVal val="0"/>
          <c:showCatName val="0"/>
          <c:showSerName val="0"/>
          <c:showPercent val="0"/>
          <c:showBubbleSize val="0"/>
        </c:dLbls>
        <c:marker val="1"/>
        <c:smooth val="0"/>
        <c:axId val="-2105014984"/>
        <c:axId val="-2104922104"/>
      </c:lineChart>
      <c:catAx>
        <c:axId val="-2105014984"/>
        <c:scaling>
          <c:orientation val="minMax"/>
        </c:scaling>
        <c:delete val="0"/>
        <c:axPos val="b"/>
        <c:title>
          <c:tx>
            <c:rich>
              <a:bodyPr/>
              <a:lstStyle/>
              <a:p>
                <a:pPr>
                  <a:defRPr sz="1400" b="0" i="0" u="none" strike="noStrike" baseline="0">
                    <a:solidFill>
                      <a:srgbClr val="000000"/>
                    </a:solidFill>
                    <a:latin typeface="Arial"/>
                    <a:ea typeface="Arial"/>
                    <a:cs typeface="Arial"/>
                  </a:defRPr>
                </a:pPr>
                <a:r>
                  <a:t>Brood Year</a:t>
                </a:r>
              </a:p>
            </c:rich>
          </c:tx>
          <c:layout>
            <c:manualLayout>
              <c:xMode val="edge"/>
              <c:yMode val="edge"/>
              <c:x val="0.497621297337833"/>
              <c:y val="0.919659734840837"/>
            </c:manualLayout>
          </c:layout>
          <c:overlay val="0"/>
          <c:spPr>
            <a:noFill/>
            <a:ln w="25400">
              <a:noFill/>
            </a:ln>
          </c:spPr>
        </c:title>
        <c:numFmt formatCode="0_)" sourceLinked="1"/>
        <c:majorTickMark val="none"/>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4922104"/>
        <c:crosses val="autoZero"/>
        <c:auto val="1"/>
        <c:lblAlgn val="ctr"/>
        <c:lblOffset val="100"/>
        <c:tickLblSkip val="2"/>
        <c:tickMarkSkip val="1"/>
        <c:noMultiLvlLbl val="0"/>
      </c:catAx>
      <c:valAx>
        <c:axId val="-2104922104"/>
        <c:scaling>
          <c:orientation val="minMax"/>
        </c:scaling>
        <c:delete val="0"/>
        <c:axPos val="l"/>
        <c:majorGridlines>
          <c:spPr>
            <a:ln w="12700">
              <a:solidFill>
                <a:srgbClr val="C0C0C0"/>
              </a:solidFill>
              <a:prstDash val="lgDash"/>
            </a:ln>
          </c:spPr>
        </c:majorGridlines>
        <c:title>
          <c:tx>
            <c:rich>
              <a:bodyPr/>
              <a:lstStyle/>
              <a:p>
                <a:pPr>
                  <a:defRPr sz="1400" b="0" i="0" u="none" strike="noStrike" baseline="0">
                    <a:solidFill>
                      <a:srgbClr val="000000"/>
                    </a:solidFill>
                    <a:latin typeface="Arial"/>
                    <a:ea typeface="Arial"/>
                    <a:cs typeface="Arial"/>
                  </a:defRPr>
                </a:pPr>
                <a:r>
                  <a:t>Brood Year Returns</a:t>
                </a:r>
              </a:p>
            </c:rich>
          </c:tx>
          <c:layout>
            <c:manualLayout>
              <c:xMode val="edge"/>
              <c:yMode val="edge"/>
              <c:x val="0.0108769975181674"/>
              <c:y val="0.307692846086547"/>
            </c:manualLayout>
          </c:layout>
          <c:overlay val="0"/>
          <c:spPr>
            <a:noFill/>
            <a:ln w="25400">
              <a:noFill/>
            </a:ln>
          </c:spPr>
        </c:title>
        <c:numFmt formatCode="#,##0_);\(#,##0\)" sourceLinked="1"/>
        <c:majorTickMark val="out"/>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5014984"/>
        <c:crosses val="autoZero"/>
        <c:crossBetween val="between"/>
        <c:majorUnit val="50000.0"/>
        <c:minorUnit val="10000.0"/>
      </c:valAx>
      <c:spPr>
        <a:solidFill>
          <a:srgbClr val="FFFFFF"/>
        </a:solidFill>
        <a:ln w="25400">
          <a:noFill/>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0" l="0.75" r="0.75" t="1.0" header="0.5" footer="0.5"/>
    <c:pageSetup orientation="landscape" horizontalDpi="300" verticalDpi="30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54975978037063"/>
          <c:y val="0.0460178581922642"/>
          <c:w val="0.914893617021277"/>
          <c:h val="0.8159320241013"/>
        </c:manualLayout>
      </c:layout>
      <c:lineChart>
        <c:grouping val="standard"/>
        <c:varyColors val="0"/>
        <c:ser>
          <c:idx val="0"/>
          <c:order val="0"/>
          <c:spPr>
            <a:ln w="12700">
              <a:solidFill>
                <a:srgbClr val="000000"/>
              </a:solidFill>
              <a:prstDash val="solid"/>
            </a:ln>
          </c:spPr>
          <c:marker>
            <c:symbol val="square"/>
            <c:size val="3"/>
            <c:spPr>
              <a:solidFill>
                <a:srgbClr val="000000"/>
              </a:solidFill>
              <a:ln>
                <a:solidFill>
                  <a:srgbClr val="000000"/>
                </a:solidFill>
                <a:prstDash val="solid"/>
              </a:ln>
            </c:spPr>
          </c:marker>
          <c:cat>
            <c:numRef>
              <c:f>broodtab!$T$13:$T$42</c:f>
              <c:numCache>
                <c:formatCode>0_)</c:formatCode>
                <c:ptCount val="30"/>
                <c:pt idx="0">
                  <c:v>1968.0</c:v>
                </c:pt>
                <c:pt idx="1">
                  <c:v>1969.0</c:v>
                </c:pt>
                <c:pt idx="2">
                  <c:v>1970.0</c:v>
                </c:pt>
                <c:pt idx="3">
                  <c:v>1971.0</c:v>
                </c:pt>
                <c:pt idx="4">
                  <c:v>1972.0</c:v>
                </c:pt>
                <c:pt idx="5">
                  <c:v>1973.0</c:v>
                </c:pt>
                <c:pt idx="6">
                  <c:v>1974.0</c:v>
                </c:pt>
                <c:pt idx="7">
                  <c:v>1975.0</c:v>
                </c:pt>
                <c:pt idx="8">
                  <c:v>1976.0</c:v>
                </c:pt>
                <c:pt idx="9">
                  <c:v>1977.0</c:v>
                </c:pt>
                <c:pt idx="10">
                  <c:v>1978.0</c:v>
                </c:pt>
                <c:pt idx="11">
                  <c:v>1979.0</c:v>
                </c:pt>
                <c:pt idx="12">
                  <c:v>1980.0</c:v>
                </c:pt>
                <c:pt idx="13">
                  <c:v>1981.0</c:v>
                </c:pt>
                <c:pt idx="14">
                  <c:v>1982.0</c:v>
                </c:pt>
                <c:pt idx="15">
                  <c:v>1983.0</c:v>
                </c:pt>
                <c:pt idx="16">
                  <c:v>1984.0</c:v>
                </c:pt>
                <c:pt idx="17">
                  <c:v>1985.0</c:v>
                </c:pt>
                <c:pt idx="18">
                  <c:v>1986.0</c:v>
                </c:pt>
                <c:pt idx="19">
                  <c:v>1987.0</c:v>
                </c:pt>
                <c:pt idx="20">
                  <c:v>1988.0</c:v>
                </c:pt>
                <c:pt idx="21">
                  <c:v>1989.0</c:v>
                </c:pt>
                <c:pt idx="22">
                  <c:v>1990.0</c:v>
                </c:pt>
                <c:pt idx="23">
                  <c:v>1991.0</c:v>
                </c:pt>
                <c:pt idx="24">
                  <c:v>1992.0</c:v>
                </c:pt>
                <c:pt idx="25">
                  <c:v>1993.0</c:v>
                </c:pt>
                <c:pt idx="26">
                  <c:v>1994.0</c:v>
                </c:pt>
                <c:pt idx="27">
                  <c:v>1995.0</c:v>
                </c:pt>
                <c:pt idx="28">
                  <c:v>1996.0</c:v>
                </c:pt>
                <c:pt idx="29">
                  <c:v>1997.0</c:v>
                </c:pt>
              </c:numCache>
            </c:numRef>
          </c:cat>
          <c:val>
            <c:numRef>
              <c:f>broodtab!$U$13:$U$42</c:f>
              <c:numCache>
                <c:formatCode>#,##0_);\(#,##0\)</c:formatCode>
                <c:ptCount val="30"/>
                <c:pt idx="0">
                  <c:v>155832.0</c:v>
                </c:pt>
                <c:pt idx="1">
                  <c:v>188806.0</c:v>
                </c:pt>
                <c:pt idx="2">
                  <c:v>51954.0</c:v>
                </c:pt>
                <c:pt idx="3">
                  <c:v>19747.0</c:v>
                </c:pt>
                <c:pt idx="4">
                  <c:v>81571.0</c:v>
                </c:pt>
                <c:pt idx="5">
                  <c:v>31103.0</c:v>
                </c:pt>
                <c:pt idx="6">
                  <c:v>19686.0</c:v>
                </c:pt>
                <c:pt idx="7">
                  <c:v>9366.0</c:v>
                </c:pt>
                <c:pt idx="8">
                  <c:v>39147.0</c:v>
                </c:pt>
                <c:pt idx="9">
                  <c:v>55863.0</c:v>
                </c:pt>
                <c:pt idx="10">
                  <c:v>12580.0</c:v>
                </c:pt>
                <c:pt idx="11">
                  <c:v>33802.0</c:v>
                </c:pt>
                <c:pt idx="12">
                  <c:v>142557.0</c:v>
                </c:pt>
                <c:pt idx="13">
                  <c:v>65842.0</c:v>
                </c:pt>
                <c:pt idx="14">
                  <c:v>31574.0</c:v>
                </c:pt>
                <c:pt idx="15">
                  <c:v>43209.0</c:v>
                </c:pt>
                <c:pt idx="16">
                  <c:v>196674.0</c:v>
                </c:pt>
                <c:pt idx="17">
                  <c:v>105520.0</c:v>
                </c:pt>
                <c:pt idx="18">
                  <c:v>50226.0</c:v>
                </c:pt>
                <c:pt idx="19">
                  <c:v>0.0</c:v>
                </c:pt>
                <c:pt idx="20">
                  <c:v>112050.0</c:v>
                </c:pt>
                <c:pt idx="21">
                  <c:v>57107.0</c:v>
                </c:pt>
                <c:pt idx="22">
                  <c:v>43073.0</c:v>
                </c:pt>
                <c:pt idx="23">
                  <c:v>65241.0</c:v>
                </c:pt>
                <c:pt idx="24">
                  <c:v>70311.0</c:v>
                </c:pt>
                <c:pt idx="25">
                  <c:v>74765.0</c:v>
                </c:pt>
                <c:pt idx="26">
                  <c:v>77625.0</c:v>
                </c:pt>
                <c:pt idx="27">
                  <c:v>23672.0</c:v>
                </c:pt>
                <c:pt idx="28">
                  <c:v>19859.0</c:v>
                </c:pt>
                <c:pt idx="29">
                  <c:v>55583.00000000001</c:v>
                </c:pt>
              </c:numCache>
            </c:numRef>
          </c:val>
          <c:smooth val="0"/>
        </c:ser>
        <c:dLbls>
          <c:showLegendKey val="0"/>
          <c:showVal val="0"/>
          <c:showCatName val="0"/>
          <c:showSerName val="0"/>
          <c:showPercent val="0"/>
          <c:showBubbleSize val="0"/>
        </c:dLbls>
        <c:marker val="1"/>
        <c:smooth val="0"/>
        <c:axId val="2116906168"/>
        <c:axId val="-2105149048"/>
      </c:lineChart>
      <c:catAx>
        <c:axId val="2116906168"/>
        <c:scaling>
          <c:orientation val="minMax"/>
        </c:scaling>
        <c:delete val="0"/>
        <c:axPos val="b"/>
        <c:title>
          <c:tx>
            <c:rich>
              <a:bodyPr/>
              <a:lstStyle/>
              <a:p>
                <a:pPr>
                  <a:defRPr sz="1400" b="0" i="0" u="none" strike="noStrike" baseline="0">
                    <a:solidFill>
                      <a:srgbClr val="000000"/>
                    </a:solidFill>
                    <a:latin typeface="Arial"/>
                    <a:ea typeface="Arial"/>
                    <a:cs typeface="Arial"/>
                  </a:defRPr>
                </a:pPr>
                <a:r>
                  <a:t>Run Year</a:t>
                </a:r>
              </a:p>
            </c:rich>
          </c:tx>
          <c:layout>
            <c:manualLayout>
              <c:xMode val="edge"/>
              <c:yMode val="edge"/>
              <c:x val="0.503774912751291"/>
              <c:y val="0.916817318189209"/>
            </c:manualLayout>
          </c:layout>
          <c:overlay val="0"/>
          <c:spPr>
            <a:noFill/>
            <a:ln w="25400">
              <a:noFill/>
            </a:ln>
          </c:spPr>
        </c:title>
        <c:numFmt formatCode="0_)" sourceLinked="1"/>
        <c:majorTickMark val="none"/>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5149048"/>
        <c:crosses val="autoZero"/>
        <c:auto val="1"/>
        <c:lblAlgn val="ctr"/>
        <c:lblOffset val="100"/>
        <c:tickLblSkip val="1"/>
        <c:tickMarkSkip val="2"/>
        <c:noMultiLvlLbl val="0"/>
      </c:catAx>
      <c:valAx>
        <c:axId val="-2105149048"/>
        <c:scaling>
          <c:orientation val="minMax"/>
          <c:max val="200000.0"/>
        </c:scaling>
        <c:delete val="0"/>
        <c:axPos val="l"/>
        <c:majorGridlines>
          <c:spPr>
            <a:ln w="12700">
              <a:solidFill>
                <a:srgbClr val="C0C0C0"/>
              </a:solidFill>
              <a:prstDash val="lgDash"/>
            </a:ln>
          </c:spPr>
        </c:majorGridlines>
        <c:title>
          <c:tx>
            <c:rich>
              <a:bodyPr/>
              <a:lstStyle/>
              <a:p>
                <a:pPr>
                  <a:defRPr sz="1400" b="0" i="0" u="none" strike="noStrike" baseline="0">
                    <a:solidFill>
                      <a:srgbClr val="000000"/>
                    </a:solidFill>
                    <a:latin typeface="Arial"/>
                    <a:ea typeface="Arial"/>
                    <a:cs typeface="Arial"/>
                  </a:defRPr>
                </a:pPr>
                <a:r>
                  <a:t>Estimated Total Run Size</a:t>
                </a:r>
              </a:p>
            </c:rich>
          </c:tx>
          <c:layout>
            <c:manualLayout>
              <c:xMode val="edge"/>
              <c:yMode val="edge"/>
              <c:x val="0.0109814398200225"/>
              <c:y val="0.260177920237846"/>
            </c:manualLayout>
          </c:layout>
          <c:overlay val="0"/>
          <c:spPr>
            <a:noFill/>
            <a:ln w="25400">
              <a:noFill/>
            </a:ln>
          </c:spPr>
        </c:title>
        <c:numFmt formatCode="#,##0_);\(#,##0\)" sourceLinked="1"/>
        <c:majorTickMark val="out"/>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6906168"/>
        <c:crosses val="autoZero"/>
        <c:crossBetween val="between"/>
        <c:majorUnit val="50000.0"/>
      </c:valAx>
      <c:spPr>
        <a:solidFill>
          <a:srgbClr val="FFFFFF"/>
        </a:solidFill>
        <a:ln w="25400">
          <a:noFill/>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0" l="0.75" r="0.75" t="1.0" header="0.5" footer="0.5"/>
    <c:pageSetup orientation="landscape" horizontalDpi="300" verticalDpi="300"/>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33</xdr:col>
      <xdr:colOff>632460</xdr:colOff>
      <xdr:row>39</xdr:row>
      <xdr:rowOff>28575</xdr:rowOff>
    </xdr:from>
    <xdr:to>
      <xdr:col>38</xdr:col>
      <xdr:colOff>161933</xdr:colOff>
      <xdr:row>42</xdr:row>
      <xdr:rowOff>66675</xdr:rowOff>
    </xdr:to>
    <xdr:sp macro="" textlink="">
      <xdr:nvSpPr>
        <xdr:cNvPr id="2056" name="Text Box 8"/>
        <xdr:cNvSpPr txBox="1">
          <a:spLocks noChangeArrowheads="1"/>
        </xdr:cNvSpPr>
      </xdr:nvSpPr>
      <xdr:spPr bwMode="auto">
        <a:xfrm>
          <a:off x="27070050" y="7953375"/>
          <a:ext cx="3705225" cy="638175"/>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600" b="0" i="0" u="none" strike="noStrike" baseline="0">
              <a:solidFill>
                <a:srgbClr val="000000"/>
              </a:solidFill>
              <a:latin typeface="Arial"/>
              <a:cs typeface="Arial"/>
            </a:rPr>
            <a:t>Is this a reasonable way to forecast?????</a:t>
          </a:r>
        </a:p>
      </xdr:txBody>
    </xdr:sp>
    <xdr:clientData/>
  </xdr:twoCellAnchor>
  <xdr:twoCellAnchor>
    <xdr:from>
      <xdr:col>33</xdr:col>
      <xdr:colOff>723900</xdr:colOff>
      <xdr:row>43</xdr:row>
      <xdr:rowOff>91440</xdr:rowOff>
    </xdr:from>
    <xdr:to>
      <xdr:col>36</xdr:col>
      <xdr:colOff>723900</xdr:colOff>
      <xdr:row>68</xdr:row>
      <xdr:rowOff>91440</xdr:rowOff>
    </xdr:to>
    <xdr:sp macro="" textlink="">
      <xdr:nvSpPr>
        <xdr:cNvPr id="2261" name="Line 9"/>
        <xdr:cNvSpPr>
          <a:spLocks noChangeShapeType="1"/>
        </xdr:cNvSpPr>
      </xdr:nvSpPr>
      <xdr:spPr bwMode="auto">
        <a:xfrm flipH="1">
          <a:off x="26624280" y="8732520"/>
          <a:ext cx="2468880" cy="523494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129540</xdr:colOff>
      <xdr:row>27</xdr:row>
      <xdr:rowOff>76200</xdr:rowOff>
    </xdr:from>
    <xdr:to>
      <xdr:col>24</xdr:col>
      <xdr:colOff>121920</xdr:colOff>
      <xdr:row>51</xdr:row>
      <xdr:rowOff>167640</xdr:rowOff>
    </xdr:to>
    <xdr:graphicFrame macro="">
      <xdr:nvGraphicFramePr>
        <xdr:cNvPr id="416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1</xdr:row>
      <xdr:rowOff>76200</xdr:rowOff>
    </xdr:from>
    <xdr:to>
      <xdr:col>11</xdr:col>
      <xdr:colOff>784860</xdr:colOff>
      <xdr:row>30</xdr:row>
      <xdr:rowOff>152400</xdr:rowOff>
    </xdr:to>
    <xdr:graphicFrame macro="">
      <xdr:nvGraphicFramePr>
        <xdr:cNvPr id="5285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6</xdr:col>
      <xdr:colOff>537210</xdr:colOff>
      <xdr:row>12</xdr:row>
      <xdr:rowOff>19050</xdr:rowOff>
    </xdr:from>
    <xdr:to>
      <xdr:col>8</xdr:col>
      <xdr:colOff>421034</xdr:colOff>
      <xdr:row>13</xdr:row>
      <xdr:rowOff>123825</xdr:rowOff>
    </xdr:to>
    <xdr:sp macro="" textlink="" fLocksText="0">
      <xdr:nvSpPr>
        <xdr:cNvPr id="1026" name="Text 2"/>
        <xdr:cNvSpPr txBox="1">
          <a:spLocks noChangeArrowheads="1"/>
        </xdr:cNvSpPr>
      </xdr:nvSpPr>
      <xdr:spPr bwMode="auto">
        <a:xfrm>
          <a:off x="5581650" y="2305050"/>
          <a:ext cx="1552575" cy="2952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u="none" strike="noStrike" baseline="0">
              <a:solidFill>
                <a:srgbClr val="000000"/>
              </a:solidFill>
              <a:latin typeface="Arial"/>
              <a:cs typeface="Arial"/>
            </a:rPr>
            <a:t>No weir in 1987</a:t>
          </a:r>
        </a:p>
      </xdr:txBody>
    </xdr:sp>
    <xdr:clientData fLocksWithSheet="0"/>
  </xdr:twoCellAnchor>
  <xdr:twoCellAnchor>
    <xdr:from>
      <xdr:col>0</xdr:col>
      <xdr:colOff>76200</xdr:colOff>
      <xdr:row>33</xdr:row>
      <xdr:rowOff>76200</xdr:rowOff>
    </xdr:from>
    <xdr:to>
      <xdr:col>11</xdr:col>
      <xdr:colOff>784860</xdr:colOff>
      <xdr:row>62</xdr:row>
      <xdr:rowOff>152400</xdr:rowOff>
    </xdr:to>
    <xdr:graphicFrame macro="">
      <xdr:nvGraphicFramePr>
        <xdr:cNvPr id="52855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9</xdr:col>
      <xdr:colOff>76200</xdr:colOff>
      <xdr:row>44</xdr:row>
      <xdr:rowOff>47625</xdr:rowOff>
    </xdr:from>
    <xdr:to>
      <xdr:col>10</xdr:col>
      <xdr:colOff>594360</xdr:colOff>
      <xdr:row>46</xdr:row>
      <xdr:rowOff>28575</xdr:rowOff>
    </xdr:to>
    <xdr:sp macro="" textlink="" fLocksText="0">
      <xdr:nvSpPr>
        <xdr:cNvPr id="1029" name="Text 5"/>
        <xdr:cNvSpPr txBox="1">
          <a:spLocks noChangeArrowheads="1"/>
        </xdr:cNvSpPr>
      </xdr:nvSpPr>
      <xdr:spPr bwMode="auto">
        <a:xfrm>
          <a:off x="7620000" y="8467725"/>
          <a:ext cx="1371600" cy="36195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u="none" strike="noStrike" baseline="0">
              <a:solidFill>
                <a:srgbClr val="000000"/>
              </a:solidFill>
              <a:latin typeface="Arial"/>
              <a:cs typeface="Arial"/>
            </a:rPr>
            <a:t>No weir  in 1987</a:t>
          </a:r>
        </a:p>
      </xdr:txBody>
    </xdr:sp>
    <xdr:clientData fLocksWithSheet="0"/>
  </xdr:twoCellAnchor>
  <xdr:twoCellAnchor>
    <xdr:from>
      <xdr:col>9</xdr:col>
      <xdr:colOff>205740</xdr:colOff>
      <xdr:row>46</xdr:row>
      <xdr:rowOff>38100</xdr:rowOff>
    </xdr:from>
    <xdr:to>
      <xdr:col>9</xdr:col>
      <xdr:colOff>297180</xdr:colOff>
      <xdr:row>53</xdr:row>
      <xdr:rowOff>160020</xdr:rowOff>
    </xdr:to>
    <xdr:sp macro="" textlink="">
      <xdr:nvSpPr>
        <xdr:cNvPr id="528559" name="Line 6"/>
        <xdr:cNvSpPr>
          <a:spLocks noChangeShapeType="1"/>
        </xdr:cNvSpPr>
      </xdr:nvSpPr>
      <xdr:spPr bwMode="auto">
        <a:xfrm flipH="1">
          <a:off x="7612380" y="8831580"/>
          <a:ext cx="91440" cy="145542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0</xdr:col>
      <xdr:colOff>76200</xdr:colOff>
      <xdr:row>66</xdr:row>
      <xdr:rowOff>76200</xdr:rowOff>
    </xdr:from>
    <xdr:to>
      <xdr:col>11</xdr:col>
      <xdr:colOff>784860</xdr:colOff>
      <xdr:row>95</xdr:row>
      <xdr:rowOff>152400</xdr:rowOff>
    </xdr:to>
    <xdr:graphicFrame macro="">
      <xdr:nvGraphicFramePr>
        <xdr:cNvPr id="528560"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8</xdr:col>
      <xdr:colOff>392430</xdr:colOff>
      <xdr:row>77</xdr:row>
      <xdr:rowOff>76200</xdr:rowOff>
    </xdr:from>
    <xdr:to>
      <xdr:col>10</xdr:col>
      <xdr:colOff>59055</xdr:colOff>
      <xdr:row>80</xdr:row>
      <xdr:rowOff>85725</xdr:rowOff>
    </xdr:to>
    <xdr:sp macro="" textlink="" fLocksText="0">
      <xdr:nvSpPr>
        <xdr:cNvPr id="1032" name="Text 8"/>
        <xdr:cNvSpPr txBox="1">
          <a:spLocks noChangeArrowheads="1"/>
        </xdr:cNvSpPr>
      </xdr:nvSpPr>
      <xdr:spPr bwMode="auto">
        <a:xfrm>
          <a:off x="7105650" y="14820900"/>
          <a:ext cx="1343025" cy="5810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u="none" strike="noStrike" baseline="0">
              <a:solidFill>
                <a:srgbClr val="000000"/>
              </a:solidFill>
              <a:latin typeface="Arial"/>
              <a:cs typeface="Arial"/>
            </a:rPr>
            <a:t>n = 28</a:t>
          </a:r>
        </a:p>
        <a:p>
          <a:pPr algn="l" rtl="0">
            <a:defRPr sz="1000"/>
          </a:pPr>
          <a:r>
            <a:rPr lang="en-US" sz="1200" b="0" i="0" u="none" strike="noStrike" baseline="0">
              <a:solidFill>
                <a:srgbClr val="000000"/>
              </a:solidFill>
              <a:latin typeface="Arial"/>
              <a:cs typeface="Arial"/>
            </a:rPr>
            <a:t>r squared = 0.22</a:t>
          </a:r>
        </a:p>
      </xdr:txBody>
    </xdr:sp>
    <xdr:clientData fLocksWithSheet="0"/>
  </xdr:twoCellAnchor>
  <xdr:twoCellAnchor>
    <xdr:from>
      <xdr:col>2</xdr:col>
      <xdr:colOff>373380</xdr:colOff>
      <xdr:row>46</xdr:row>
      <xdr:rowOff>9525</xdr:rowOff>
    </xdr:from>
    <xdr:to>
      <xdr:col>3</xdr:col>
      <xdr:colOff>525780</xdr:colOff>
      <xdr:row>47</xdr:row>
      <xdr:rowOff>114300</xdr:rowOff>
    </xdr:to>
    <xdr:sp macro="" textlink="" fLocksText="0">
      <xdr:nvSpPr>
        <xdr:cNvPr id="1033" name="Text 9"/>
        <xdr:cNvSpPr txBox="1">
          <a:spLocks noChangeArrowheads="1"/>
        </xdr:cNvSpPr>
      </xdr:nvSpPr>
      <xdr:spPr bwMode="auto">
        <a:xfrm>
          <a:off x="2057400" y="8810625"/>
          <a:ext cx="990600" cy="2952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0" i="0" u="none" strike="noStrike" baseline="0">
              <a:solidFill>
                <a:srgbClr val="000000"/>
              </a:solidFill>
              <a:latin typeface="Arial"/>
              <a:cs typeface="Arial"/>
            </a:rPr>
            <a:t>Mean = 4.7</a:t>
          </a:r>
        </a:p>
      </xdr:txBody>
    </xdr:sp>
    <xdr:clientData fLocksWithSheet="0"/>
  </xdr:twoCellAnchor>
  <xdr:twoCellAnchor>
    <xdr:from>
      <xdr:col>3</xdr:col>
      <xdr:colOff>152400</xdr:colOff>
      <xdr:row>47</xdr:row>
      <xdr:rowOff>152400</xdr:rowOff>
    </xdr:from>
    <xdr:to>
      <xdr:col>3</xdr:col>
      <xdr:colOff>220980</xdr:colOff>
      <xdr:row>53</xdr:row>
      <xdr:rowOff>38100</xdr:rowOff>
    </xdr:to>
    <xdr:sp macro="" textlink="">
      <xdr:nvSpPr>
        <xdr:cNvPr id="528563" name="Line 10"/>
        <xdr:cNvSpPr>
          <a:spLocks noChangeShapeType="1"/>
        </xdr:cNvSpPr>
      </xdr:nvSpPr>
      <xdr:spPr bwMode="auto">
        <a:xfrm>
          <a:off x="2621280" y="9136380"/>
          <a:ext cx="68580" cy="1028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fLocksWithSheet="0"/>
  </xdr:twoCellAnchor>
  <xdr:twoCellAnchor>
    <xdr:from>
      <xdr:col>13</xdr:col>
      <xdr:colOff>76200</xdr:colOff>
      <xdr:row>1</xdr:row>
      <xdr:rowOff>76200</xdr:rowOff>
    </xdr:from>
    <xdr:to>
      <xdr:col>24</xdr:col>
      <xdr:colOff>784860</xdr:colOff>
      <xdr:row>30</xdr:row>
      <xdr:rowOff>152400</xdr:rowOff>
    </xdr:to>
    <xdr:graphicFrame macro="">
      <xdr:nvGraphicFramePr>
        <xdr:cNvPr id="528564"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0</xdr:col>
      <xdr:colOff>68580</xdr:colOff>
      <xdr:row>99</xdr:row>
      <xdr:rowOff>7620</xdr:rowOff>
    </xdr:from>
    <xdr:to>
      <xdr:col>15</xdr:col>
      <xdr:colOff>632460</xdr:colOff>
      <xdr:row>128</xdr:row>
      <xdr:rowOff>60960</xdr:rowOff>
    </xdr:to>
    <xdr:graphicFrame macro="">
      <xdr:nvGraphicFramePr>
        <xdr:cNvPr id="528565"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0</xdr:col>
      <xdr:colOff>160020</xdr:colOff>
      <xdr:row>131</xdr:row>
      <xdr:rowOff>160020</xdr:rowOff>
    </xdr:from>
    <xdr:to>
      <xdr:col>15</xdr:col>
      <xdr:colOff>601980</xdr:colOff>
      <xdr:row>160</xdr:row>
      <xdr:rowOff>22860</xdr:rowOff>
    </xdr:to>
    <xdr:graphicFrame macro="">
      <xdr:nvGraphicFramePr>
        <xdr:cNvPr id="528566"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topLeftCell="A4" workbookViewId="0">
      <selection activeCell="D23" sqref="D23"/>
    </sheetView>
  </sheetViews>
  <sheetFormatPr baseColWidth="10" defaultColWidth="8.7109375" defaultRowHeight="15" x14ac:dyDescent="0"/>
  <sheetData>
    <row r="1" spans="1:3">
      <c r="A1" s="184" t="s">
        <v>125</v>
      </c>
    </row>
    <row r="4" spans="1:3">
      <c r="B4" t="s">
        <v>117</v>
      </c>
    </row>
    <row r="5" spans="1:3">
      <c r="C5" t="s">
        <v>118</v>
      </c>
    </row>
    <row r="6" spans="1:3">
      <c r="C6" t="s">
        <v>119</v>
      </c>
    </row>
    <row r="7" spans="1:3">
      <c r="C7" s="185" t="s">
        <v>126</v>
      </c>
    </row>
    <row r="9" spans="1:3">
      <c r="B9" t="s">
        <v>120</v>
      </c>
    </row>
    <row r="12" spans="1:3"/>
  </sheetData>
  <phoneticPr fontId="9"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3"/>
  <sheetViews>
    <sheetView topLeftCell="A10" workbookViewId="0">
      <selection activeCell="A34" sqref="A34"/>
    </sheetView>
  </sheetViews>
  <sheetFormatPr baseColWidth="10" defaultColWidth="8.7109375" defaultRowHeight="15" x14ac:dyDescent="0"/>
  <sheetData>
    <row r="1" spans="1:5">
      <c r="B1" s="216" t="s">
        <v>133</v>
      </c>
      <c r="C1" s="216"/>
    </row>
    <row r="2" spans="1:5">
      <c r="B2" s="217" t="s">
        <v>134</v>
      </c>
      <c r="C2" s="217"/>
    </row>
    <row r="3" spans="1:5">
      <c r="B3" s="194" t="s">
        <v>135</v>
      </c>
      <c r="C3" s="195" t="s">
        <v>136</v>
      </c>
    </row>
    <row r="4" spans="1:5">
      <c r="A4" s="199">
        <v>1983</v>
      </c>
      <c r="B4" s="196"/>
      <c r="C4" s="197">
        <v>1315</v>
      </c>
    </row>
    <row r="5" spans="1:5">
      <c r="A5" s="199">
        <v>1984</v>
      </c>
      <c r="B5" s="196"/>
      <c r="C5" s="197">
        <v>1048</v>
      </c>
    </row>
    <row r="6" spans="1:5">
      <c r="A6" s="199">
        <v>1985</v>
      </c>
      <c r="B6" s="196"/>
      <c r="C6" s="197">
        <v>836</v>
      </c>
    </row>
    <row r="7" spans="1:5">
      <c r="A7" s="199">
        <v>1986</v>
      </c>
      <c r="B7" s="196"/>
      <c r="C7" s="197">
        <v>688</v>
      </c>
    </row>
    <row r="8" spans="1:5">
      <c r="A8" s="199">
        <v>1987</v>
      </c>
      <c r="B8" s="196"/>
      <c r="C8" s="197">
        <v>634</v>
      </c>
    </row>
    <row r="9" spans="1:5">
      <c r="A9" s="199">
        <v>1988</v>
      </c>
      <c r="B9" s="196"/>
      <c r="C9" s="197">
        <v>637</v>
      </c>
    </row>
    <row r="10" spans="1:5">
      <c r="A10" s="199">
        <v>1989</v>
      </c>
      <c r="B10" s="196"/>
      <c r="C10" s="197">
        <v>352</v>
      </c>
    </row>
    <row r="11" spans="1:5">
      <c r="A11" s="199">
        <v>1990</v>
      </c>
      <c r="B11" s="197">
        <v>340</v>
      </c>
      <c r="C11" s="197">
        <v>175</v>
      </c>
    </row>
    <row r="12" spans="1:5">
      <c r="A12" s="199">
        <v>1991</v>
      </c>
      <c r="B12" s="197">
        <v>247</v>
      </c>
      <c r="C12" s="197">
        <v>152</v>
      </c>
    </row>
    <row r="13" spans="1:5">
      <c r="A13" s="199">
        <v>1992</v>
      </c>
      <c r="B13" s="197">
        <v>1019</v>
      </c>
      <c r="C13" s="197">
        <v>649</v>
      </c>
    </row>
    <row r="14" spans="1:5">
      <c r="A14" s="199">
        <v>1993</v>
      </c>
      <c r="B14" s="197">
        <v>793</v>
      </c>
      <c r="C14" s="197">
        <v>581</v>
      </c>
    </row>
    <row r="15" spans="1:5">
      <c r="A15" s="200">
        <v>1994</v>
      </c>
      <c r="B15" s="197">
        <v>189</v>
      </c>
      <c r="C15" s="197">
        <v>148</v>
      </c>
    </row>
    <row r="16" spans="1:5">
      <c r="A16" s="200">
        <v>1995</v>
      </c>
      <c r="B16" s="197">
        <v>735</v>
      </c>
      <c r="C16" s="197">
        <v>350</v>
      </c>
    </row>
    <row r="17" spans="1:3">
      <c r="A17" s="200">
        <v>1996</v>
      </c>
      <c r="B17" s="197">
        <v>834</v>
      </c>
      <c r="C17" s="197">
        <v>206</v>
      </c>
    </row>
    <row r="18" spans="1:3">
      <c r="A18" s="200">
        <v>1997</v>
      </c>
      <c r="B18" s="197">
        <v>510</v>
      </c>
      <c r="C18" s="197">
        <v>310</v>
      </c>
    </row>
    <row r="19" spans="1:3">
      <c r="A19" s="200">
        <v>1998</v>
      </c>
      <c r="B19" s="197">
        <v>561</v>
      </c>
      <c r="C19" s="197">
        <v>276</v>
      </c>
    </row>
    <row r="20" spans="1:3">
      <c r="A20" s="200">
        <v>1999</v>
      </c>
      <c r="B20" s="197">
        <v>443</v>
      </c>
      <c r="C20" s="197">
        <v>248</v>
      </c>
    </row>
    <row r="21" spans="1:3">
      <c r="A21" s="200">
        <v>2000</v>
      </c>
      <c r="B21" s="197">
        <v>505</v>
      </c>
      <c r="C21" s="197">
        <v>219</v>
      </c>
    </row>
    <row r="22" spans="1:3">
      <c r="A22" s="200">
        <v>2001</v>
      </c>
      <c r="B22" s="197">
        <v>87</v>
      </c>
      <c r="C22" s="197">
        <v>87</v>
      </c>
    </row>
    <row r="23" spans="1:3">
      <c r="A23" s="200">
        <v>2002</v>
      </c>
      <c r="B23" s="197">
        <v>469</v>
      </c>
      <c r="C23" s="197">
        <v>390</v>
      </c>
    </row>
    <row r="24" spans="1:3">
      <c r="A24" s="200">
        <v>2003</v>
      </c>
      <c r="B24" s="197">
        <v>135</v>
      </c>
      <c r="C24" s="197">
        <v>104</v>
      </c>
    </row>
    <row r="25" spans="1:3">
      <c r="A25" s="200">
        <v>2004</v>
      </c>
      <c r="B25" s="197">
        <v>665</v>
      </c>
      <c r="C25" s="197">
        <v>296</v>
      </c>
    </row>
    <row r="26" spans="1:3">
      <c r="A26" s="200">
        <v>2005</v>
      </c>
      <c r="B26" s="197">
        <v>12</v>
      </c>
      <c r="C26" s="197">
        <v>0</v>
      </c>
    </row>
    <row r="27" spans="1:3">
      <c r="A27" s="200">
        <v>2006</v>
      </c>
      <c r="B27" s="197">
        <v>132</v>
      </c>
      <c r="C27" s="197">
        <v>132</v>
      </c>
    </row>
    <row r="28" spans="1:3">
      <c r="A28" s="200">
        <v>2007</v>
      </c>
      <c r="B28" s="197">
        <v>0</v>
      </c>
      <c r="C28" s="197">
        <v>0</v>
      </c>
    </row>
    <row r="29" spans="1:3">
      <c r="A29" s="200">
        <v>2008</v>
      </c>
      <c r="B29" s="198">
        <v>0</v>
      </c>
      <c r="C29" s="198">
        <v>0</v>
      </c>
    </row>
    <row r="30" spans="1:3">
      <c r="A30" s="200">
        <v>2009</v>
      </c>
      <c r="B30" s="197">
        <v>168</v>
      </c>
      <c r="C30" s="197">
        <v>126</v>
      </c>
    </row>
    <row r="31" spans="1:3">
      <c r="A31" s="200">
        <v>2010</v>
      </c>
      <c r="C31" s="197">
        <v>55</v>
      </c>
    </row>
    <row r="32" spans="1:3">
      <c r="A32" s="200">
        <v>2011</v>
      </c>
      <c r="B32" s="197"/>
    </row>
    <row r="33" spans="1:1">
      <c r="A33" s="200">
        <v>2012</v>
      </c>
    </row>
  </sheetData>
  <mergeCells count="2">
    <mergeCell ref="B1:C1"/>
    <mergeCell ref="B2:C2"/>
  </mergeCell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enableFormatConditionsCalculation="0">
    <pageSetUpPr fitToPage="1"/>
  </sheetPr>
  <dimension ref="A1:BB111"/>
  <sheetViews>
    <sheetView tabSelected="1" defaultGridColor="0" topLeftCell="I1" colorId="22" workbookViewId="0">
      <pane ySplit="7" topLeftCell="A8" activePane="bottomLeft" state="frozen"/>
      <selection pane="bottomLeft" activeCell="J9" sqref="J9"/>
    </sheetView>
  </sheetViews>
  <sheetFormatPr baseColWidth="10" defaultColWidth="9.85546875" defaultRowHeight="15" x14ac:dyDescent="0"/>
  <cols>
    <col min="1" max="1" width="7.5703125" style="3" customWidth="1"/>
    <col min="2" max="2" width="13.42578125" style="38" customWidth="1"/>
    <col min="3" max="5" width="7.85546875" style="3" customWidth="1"/>
    <col min="6" max="7" width="8.85546875" style="3" customWidth="1"/>
    <col min="8" max="8" width="7.85546875" style="3" customWidth="1"/>
    <col min="9" max="9" width="10.140625" style="3" customWidth="1"/>
    <col min="10" max="11" width="7.85546875" style="3" customWidth="1"/>
    <col min="12" max="12" width="9.140625" style="3" customWidth="1"/>
    <col min="13" max="13" width="9" style="3" customWidth="1"/>
    <col min="14" max="14" width="7.85546875" style="3" customWidth="1"/>
    <col min="15" max="15" width="8.42578125" style="3" customWidth="1"/>
    <col min="16" max="16" width="8.140625" style="3" customWidth="1"/>
    <col min="17" max="17" width="8" style="3" customWidth="1"/>
    <col min="18" max="18" width="10.85546875" style="3" customWidth="1"/>
    <col min="19" max="19" width="9.85546875" style="3"/>
    <col min="20" max="20" width="7.85546875" style="3" customWidth="1"/>
    <col min="21" max="21" width="11.5703125" style="3" customWidth="1"/>
    <col min="22" max="30" width="9.85546875" style="3"/>
    <col min="31" max="31" width="11.85546875" style="3" customWidth="1"/>
    <col min="32" max="32" width="11.42578125" style="3" bestFit="1" customWidth="1"/>
    <col min="33" max="33" width="11.140625" style="3" bestFit="1" customWidth="1"/>
    <col min="34" max="50" width="9.85546875" style="3"/>
    <col min="51" max="51" width="12.85546875" style="3" customWidth="1"/>
    <col min="52" max="16384" width="9.85546875" style="3"/>
  </cols>
  <sheetData>
    <row r="1" spans="1:54">
      <c r="A1" s="3" t="str">
        <f ca="1">CELL("filename",A1)</f>
        <v>NWCLM04072996:Users:eric.ward:Documents:NCEAS-covariation:data:salmon data:[2013_Eshamy Wild Sockeye forecast-DRAFT.xlsx]broodtab</v>
      </c>
    </row>
    <row r="3" spans="1:54" ht="21">
      <c r="A3" s="64" t="s">
        <v>112</v>
      </c>
    </row>
    <row r="4" spans="1:54" ht="16" thickBot="1">
      <c r="AV4" s="9"/>
      <c r="AW4" s="9"/>
      <c r="AX4" s="9"/>
      <c r="AY4" s="9"/>
      <c r="AZ4" s="9"/>
      <c r="BA4" s="9"/>
      <c r="BB4" s="9"/>
    </row>
    <row r="5" spans="1:54" ht="16" thickTop="1">
      <c r="A5" s="65"/>
      <c r="B5" s="66"/>
      <c r="C5" s="67"/>
      <c r="D5" s="68" t="s">
        <v>0</v>
      </c>
      <c r="E5" s="68"/>
      <c r="F5" s="68"/>
      <c r="G5" s="68"/>
      <c r="H5" s="68"/>
      <c r="I5" s="68"/>
      <c r="J5" s="68"/>
      <c r="K5" s="68"/>
      <c r="L5" s="68"/>
      <c r="M5" s="68"/>
      <c r="N5" s="68"/>
      <c r="O5" s="68"/>
      <c r="P5" s="68"/>
      <c r="Q5" s="69"/>
      <c r="R5" s="69" t="s">
        <v>1</v>
      </c>
      <c r="S5" s="70"/>
      <c r="T5" s="69"/>
      <c r="U5" s="71" t="s">
        <v>2</v>
      </c>
      <c r="AV5" s="9"/>
      <c r="AW5" s="8"/>
      <c r="AX5" s="8"/>
      <c r="AY5" s="8"/>
      <c r="AZ5" s="9"/>
      <c r="BA5" s="9"/>
      <c r="BB5" s="9"/>
    </row>
    <row r="6" spans="1:54">
      <c r="A6" s="72" t="s">
        <v>3</v>
      </c>
      <c r="B6" s="73" t="s">
        <v>4</v>
      </c>
      <c r="C6" s="74" t="s">
        <v>5</v>
      </c>
      <c r="D6" s="75" t="s">
        <v>6</v>
      </c>
      <c r="E6" s="74" t="s">
        <v>5</v>
      </c>
      <c r="F6" s="76" t="s">
        <v>7</v>
      </c>
      <c r="G6" s="77"/>
      <c r="H6" s="74" t="s">
        <v>5</v>
      </c>
      <c r="I6" s="76" t="s">
        <v>8</v>
      </c>
      <c r="J6" s="77"/>
      <c r="K6" s="74" t="s">
        <v>5</v>
      </c>
      <c r="L6" s="76" t="s">
        <v>9</v>
      </c>
      <c r="M6" s="77"/>
      <c r="N6" s="74" t="s">
        <v>5</v>
      </c>
      <c r="O6" s="76" t="s">
        <v>10</v>
      </c>
      <c r="P6" s="77"/>
      <c r="Q6" s="72" t="s">
        <v>11</v>
      </c>
      <c r="R6" s="72" t="s">
        <v>4</v>
      </c>
      <c r="S6" s="78" t="s">
        <v>12</v>
      </c>
      <c r="T6" s="72" t="s">
        <v>5</v>
      </c>
      <c r="U6" s="78" t="s">
        <v>13</v>
      </c>
      <c r="AV6" s="9"/>
      <c r="AW6" s="8"/>
      <c r="AX6" s="8"/>
      <c r="AY6" s="8"/>
      <c r="AZ6" s="9"/>
      <c r="BA6" s="9"/>
      <c r="BB6" s="9"/>
    </row>
    <row r="7" spans="1:54" ht="16" thickBot="1">
      <c r="A7" s="79" t="s">
        <v>14</v>
      </c>
      <c r="B7" s="80" t="s">
        <v>15</v>
      </c>
      <c r="C7" s="79" t="s">
        <v>14</v>
      </c>
      <c r="D7" s="81">
        <v>0.1</v>
      </c>
      <c r="E7" s="79" t="s">
        <v>14</v>
      </c>
      <c r="F7" s="81">
        <v>0.2</v>
      </c>
      <c r="G7" s="81">
        <v>1.1000000000000001</v>
      </c>
      <c r="H7" s="79" t="s">
        <v>14</v>
      </c>
      <c r="I7" s="81">
        <v>1.2</v>
      </c>
      <c r="J7" s="81">
        <v>2.1</v>
      </c>
      <c r="K7" s="79" t="s">
        <v>14</v>
      </c>
      <c r="L7" s="81">
        <v>1.3</v>
      </c>
      <c r="M7" s="81">
        <v>2.2000000000000002</v>
      </c>
      <c r="N7" s="79" t="s">
        <v>14</v>
      </c>
      <c r="O7" s="81">
        <v>2.2999999999999998</v>
      </c>
      <c r="P7" s="81">
        <v>3.2</v>
      </c>
      <c r="Q7" s="79" t="s">
        <v>14</v>
      </c>
      <c r="R7" s="79" t="s">
        <v>16</v>
      </c>
      <c r="S7" s="82" t="s">
        <v>17</v>
      </c>
      <c r="T7" s="79" t="s">
        <v>14</v>
      </c>
      <c r="U7" s="82" t="s">
        <v>18</v>
      </c>
      <c r="Y7" s="3" t="s">
        <v>19</v>
      </c>
      <c r="AV7" s="9"/>
      <c r="AW7" s="8"/>
      <c r="AX7" s="8"/>
      <c r="AY7" s="8"/>
      <c r="AZ7" s="9"/>
      <c r="BA7" s="9"/>
      <c r="BB7" s="9"/>
    </row>
    <row r="8" spans="1:54" ht="16" thickTop="1">
      <c r="A8" s="153">
        <v>1961</v>
      </c>
      <c r="B8" s="83">
        <v>47275</v>
      </c>
      <c r="C8" s="84">
        <f t="shared" ref="C8:C47" si="0">A8+2</f>
        <v>1963</v>
      </c>
      <c r="D8" s="85"/>
      <c r="E8" s="84">
        <f t="shared" ref="E8:E47" si="1">A8+3</f>
        <v>1964</v>
      </c>
      <c r="F8" s="85"/>
      <c r="G8" s="85"/>
      <c r="H8" s="84">
        <f t="shared" ref="H8:H47" si="2">A8+4</f>
        <v>1965</v>
      </c>
      <c r="I8" s="85"/>
      <c r="J8" s="85"/>
      <c r="K8" s="84">
        <f t="shared" ref="K8:K47" si="3">A8+5</f>
        <v>1966</v>
      </c>
      <c r="L8" s="85"/>
      <c r="M8" s="85"/>
      <c r="N8" s="84">
        <f t="shared" ref="N8:N49" si="4">A8+6</f>
        <v>1967</v>
      </c>
      <c r="O8" s="85"/>
      <c r="P8" s="85"/>
      <c r="Q8" s="84">
        <f t="shared" ref="Q8:Q38" si="5">A8</f>
        <v>1961</v>
      </c>
      <c r="R8" s="86"/>
      <c r="S8" s="70"/>
      <c r="T8" s="84">
        <f t="shared" ref="T8:T44" si="6">C8</f>
        <v>1963</v>
      </c>
      <c r="U8" s="87"/>
      <c r="AA8" s="3" t="s">
        <v>20</v>
      </c>
      <c r="AB8" s="3" t="s">
        <v>20</v>
      </c>
      <c r="AC8" s="3" t="s">
        <v>21</v>
      </c>
      <c r="AD8" s="88"/>
      <c r="AF8" s="3" t="s">
        <v>20</v>
      </c>
      <c r="AG8" s="3" t="s">
        <v>22</v>
      </c>
      <c r="AV8" s="9"/>
      <c r="AW8" s="89"/>
      <c r="AX8" s="13"/>
      <c r="AY8" s="8"/>
      <c r="AZ8" s="9"/>
      <c r="BA8" s="9"/>
      <c r="BB8" s="9"/>
    </row>
    <row r="9" spans="1:54">
      <c r="A9" s="154">
        <v>1962</v>
      </c>
      <c r="B9" s="91">
        <v>9390</v>
      </c>
      <c r="C9" s="92">
        <f t="shared" si="0"/>
        <v>1964</v>
      </c>
      <c r="D9" s="93"/>
      <c r="E9" s="92">
        <f t="shared" si="1"/>
        <v>1965</v>
      </c>
      <c r="F9" s="93"/>
      <c r="G9" s="93"/>
      <c r="H9" s="92">
        <f t="shared" si="2"/>
        <v>1966</v>
      </c>
      <c r="I9" s="93"/>
      <c r="J9" s="93"/>
      <c r="K9" s="92">
        <f t="shared" si="3"/>
        <v>1967</v>
      </c>
      <c r="L9" s="93"/>
      <c r="M9" s="93"/>
      <c r="N9" s="92">
        <f t="shared" si="4"/>
        <v>1968</v>
      </c>
      <c r="O9" s="93">
        <v>467</v>
      </c>
      <c r="P9" s="93"/>
      <c r="Q9" s="92">
        <f t="shared" si="5"/>
        <v>1962</v>
      </c>
      <c r="R9" s="94"/>
      <c r="S9" s="95"/>
      <c r="T9" s="92">
        <f t="shared" si="6"/>
        <v>1964</v>
      </c>
      <c r="U9" s="96"/>
      <c r="Y9" s="3" t="s">
        <v>11</v>
      </c>
      <c r="AA9" s="3" t="s">
        <v>23</v>
      </c>
      <c r="AB9" s="3" t="s">
        <v>24</v>
      </c>
      <c r="AC9" s="3" t="s">
        <v>12</v>
      </c>
      <c r="AD9" s="72" t="s">
        <v>11</v>
      </c>
      <c r="AE9" s="3" t="s">
        <v>4</v>
      </c>
      <c r="AF9" s="3" t="s">
        <v>24</v>
      </c>
      <c r="AG9" s="3" t="s">
        <v>12</v>
      </c>
      <c r="AV9" s="9"/>
      <c r="AW9" s="89"/>
      <c r="AX9" s="13"/>
      <c r="AY9" s="9"/>
      <c r="AZ9" s="9"/>
      <c r="BA9" s="9"/>
      <c r="BB9" s="9"/>
    </row>
    <row r="10" spans="1:54">
      <c r="A10" s="154">
        <v>1963</v>
      </c>
      <c r="B10" s="91">
        <v>3092</v>
      </c>
      <c r="C10" s="92">
        <f t="shared" si="0"/>
        <v>1965</v>
      </c>
      <c r="D10" s="93"/>
      <c r="E10" s="92">
        <f t="shared" si="1"/>
        <v>1966</v>
      </c>
      <c r="F10" s="93"/>
      <c r="G10" s="93"/>
      <c r="H10" s="92">
        <f t="shared" si="2"/>
        <v>1967</v>
      </c>
      <c r="I10" s="93"/>
      <c r="J10" s="93"/>
      <c r="K10" s="92">
        <f t="shared" si="3"/>
        <v>1968</v>
      </c>
      <c r="L10" s="93">
        <v>2181</v>
      </c>
      <c r="M10" s="93">
        <v>2961</v>
      </c>
      <c r="N10" s="92">
        <f t="shared" si="4"/>
        <v>1969</v>
      </c>
      <c r="O10" s="93">
        <v>0</v>
      </c>
      <c r="P10" s="93"/>
      <c r="Q10" s="97">
        <f t="shared" si="5"/>
        <v>1963</v>
      </c>
      <c r="R10" s="98">
        <f t="shared" ref="R10:R28" si="7">D10+F10+G10+I10+J10+L10+M10+O10+P10</f>
        <v>5142</v>
      </c>
      <c r="S10" s="95"/>
      <c r="T10" s="92">
        <f t="shared" si="6"/>
        <v>1965</v>
      </c>
      <c r="U10" s="96"/>
      <c r="Y10" s="99" t="s">
        <v>14</v>
      </c>
      <c r="Z10" s="99"/>
      <c r="AA10" s="99" t="s">
        <v>16</v>
      </c>
      <c r="AB10" s="99" t="s">
        <v>17</v>
      </c>
      <c r="AC10" s="99" t="s">
        <v>17</v>
      </c>
      <c r="AD10" s="100" t="s">
        <v>14</v>
      </c>
      <c r="AE10" s="99" t="s">
        <v>15</v>
      </c>
      <c r="AF10" s="99" t="s">
        <v>17</v>
      </c>
      <c r="AG10" s="99" t="s">
        <v>17</v>
      </c>
      <c r="AJ10" s="3" t="s">
        <v>25</v>
      </c>
      <c r="AV10" s="9"/>
      <c r="AW10" s="89"/>
      <c r="AX10" s="13"/>
      <c r="AY10" s="9"/>
      <c r="AZ10" s="9"/>
      <c r="BA10" s="9"/>
      <c r="BB10" s="9"/>
    </row>
    <row r="11" spans="1:54">
      <c r="A11" s="154">
        <v>1964</v>
      </c>
      <c r="B11" s="91">
        <v>68129</v>
      </c>
      <c r="C11" s="92">
        <f t="shared" si="0"/>
        <v>1966</v>
      </c>
      <c r="D11" s="93"/>
      <c r="E11" s="92">
        <f t="shared" si="1"/>
        <v>1967</v>
      </c>
      <c r="F11" s="93"/>
      <c r="G11" s="93"/>
      <c r="H11" s="92">
        <f t="shared" si="2"/>
        <v>1968</v>
      </c>
      <c r="I11" s="93">
        <v>148042</v>
      </c>
      <c r="J11" s="93">
        <v>1558</v>
      </c>
      <c r="K11" s="92">
        <f t="shared" si="3"/>
        <v>1969</v>
      </c>
      <c r="L11" s="93">
        <v>3973</v>
      </c>
      <c r="M11" s="93">
        <v>122402</v>
      </c>
      <c r="N11" s="101">
        <f t="shared" si="4"/>
        <v>1970</v>
      </c>
      <c r="O11" s="102" t="s">
        <v>26</v>
      </c>
      <c r="P11" s="102"/>
      <c r="Q11" s="103">
        <f t="shared" si="5"/>
        <v>1964</v>
      </c>
      <c r="R11" s="104">
        <f>D11+F11+G11+I11+J11+L11+M11+O11+P11</f>
        <v>275975</v>
      </c>
      <c r="S11" s="105">
        <f t="shared" ref="S11:S33" si="8">R11/B11</f>
        <v>4.0507713308576374</v>
      </c>
      <c r="T11" s="92">
        <f t="shared" si="6"/>
        <v>1966</v>
      </c>
      <c r="U11" s="96"/>
      <c r="Y11" s="106">
        <v>1964</v>
      </c>
      <c r="Z11" s="3">
        <v>64</v>
      </c>
      <c r="AA11" s="44">
        <f>R11+SUM(O62:P62)</f>
        <v>276518.776398374</v>
      </c>
      <c r="AB11" s="107">
        <f>AA11/B11</f>
        <v>4.0587529010901964</v>
      </c>
      <c r="AC11" s="107">
        <v>4.6220291645437426</v>
      </c>
      <c r="AD11" s="88">
        <v>1964</v>
      </c>
      <c r="AE11" s="34">
        <v>68129</v>
      </c>
      <c r="AF11" s="107">
        <v>4.0328613027096782</v>
      </c>
      <c r="AG11" s="108">
        <f t="shared" ref="AG11:AG38" si="9">AE11*$AK$17+$AL$11</f>
        <v>0.68760496005866933</v>
      </c>
      <c r="AI11" s="3" t="s">
        <v>27</v>
      </c>
      <c r="AL11" s="3">
        <v>7.4294964620908042</v>
      </c>
      <c r="AV11" s="9"/>
      <c r="AW11" s="89"/>
      <c r="AX11" s="13"/>
      <c r="AY11" s="9"/>
      <c r="AZ11" s="9"/>
      <c r="BA11" s="9"/>
      <c r="BB11" s="9"/>
    </row>
    <row r="12" spans="1:54">
      <c r="A12" s="154">
        <v>1965</v>
      </c>
      <c r="B12" s="91">
        <v>108963</v>
      </c>
      <c r="C12" s="92">
        <f t="shared" si="0"/>
        <v>1967</v>
      </c>
      <c r="D12" s="93"/>
      <c r="E12" s="92">
        <f t="shared" si="1"/>
        <v>1968</v>
      </c>
      <c r="F12" s="93">
        <v>156</v>
      </c>
      <c r="G12" s="93">
        <v>467</v>
      </c>
      <c r="H12" s="92">
        <f t="shared" si="2"/>
        <v>1969</v>
      </c>
      <c r="I12" s="93">
        <v>58836</v>
      </c>
      <c r="J12" s="93">
        <v>3027</v>
      </c>
      <c r="K12" s="101">
        <f t="shared" si="3"/>
        <v>1970</v>
      </c>
      <c r="L12" s="102" t="s">
        <v>26</v>
      </c>
      <c r="M12" s="102" t="s">
        <v>28</v>
      </c>
      <c r="N12" s="101">
        <f t="shared" si="4"/>
        <v>1971</v>
      </c>
      <c r="O12" s="102" t="s">
        <v>26</v>
      </c>
      <c r="P12" s="102"/>
      <c r="Q12" s="97">
        <f t="shared" si="5"/>
        <v>1965</v>
      </c>
      <c r="R12" s="98">
        <f t="shared" si="7"/>
        <v>62486</v>
      </c>
      <c r="S12" s="109">
        <f>R12/B12</f>
        <v>0.57346071602287019</v>
      </c>
      <c r="T12" s="92">
        <f t="shared" si="6"/>
        <v>1967</v>
      </c>
      <c r="U12" s="96"/>
      <c r="Y12" s="3">
        <f t="shared" ref="Y12:Y39" si="10">Y11+1</f>
        <v>1965</v>
      </c>
      <c r="Z12" s="3">
        <f t="shared" ref="Z12:Z39" si="11">Z11+1</f>
        <v>65</v>
      </c>
      <c r="AA12" s="110">
        <f>R12+SUM(L62:P62)</f>
        <v>80007.179348373989</v>
      </c>
      <c r="AB12" s="107">
        <f t="shared" ref="AB12:AB33" si="12">AA12/B12</f>
        <v>0.73426006395174503</v>
      </c>
      <c r="AC12" s="107">
        <v>4.6220291645437426</v>
      </c>
      <c r="AD12" s="88">
        <f t="shared" ref="AD12:AD33" si="13">AD11+1</f>
        <v>1965</v>
      </c>
      <c r="AE12" s="34">
        <v>108963</v>
      </c>
      <c r="AF12" s="107">
        <v>0.71557458812765662</v>
      </c>
      <c r="AG12" s="108">
        <f t="shared" si="9"/>
        <v>-3.3532351754780363</v>
      </c>
      <c r="AI12" s="3" t="s">
        <v>29</v>
      </c>
      <c r="AL12" s="3">
        <v>4.8979586306314884</v>
      </c>
      <c r="AV12" s="9"/>
      <c r="AW12" s="89"/>
      <c r="AX12" s="13"/>
      <c r="AY12" s="9"/>
      <c r="AZ12" s="9"/>
      <c r="BA12" s="9"/>
      <c r="BB12" s="9"/>
    </row>
    <row r="13" spans="1:54">
      <c r="A13" s="154">
        <v>1966</v>
      </c>
      <c r="B13" s="91">
        <v>26593</v>
      </c>
      <c r="C13" s="92">
        <f t="shared" si="0"/>
        <v>1968</v>
      </c>
      <c r="D13" s="93"/>
      <c r="E13" s="92">
        <f t="shared" si="1"/>
        <v>1969</v>
      </c>
      <c r="F13" s="93">
        <v>0</v>
      </c>
      <c r="G13" s="93">
        <v>568</v>
      </c>
      <c r="H13" s="101">
        <f t="shared" si="2"/>
        <v>1970</v>
      </c>
      <c r="I13" s="102" t="s">
        <v>28</v>
      </c>
      <c r="J13" s="102" t="s">
        <v>26</v>
      </c>
      <c r="K13" s="101">
        <f t="shared" si="3"/>
        <v>1971</v>
      </c>
      <c r="L13" s="102" t="s">
        <v>26</v>
      </c>
      <c r="M13" s="102" t="s">
        <v>28</v>
      </c>
      <c r="N13" s="92">
        <f t="shared" si="4"/>
        <v>1972</v>
      </c>
      <c r="O13" s="93">
        <v>0</v>
      </c>
      <c r="P13" s="93"/>
      <c r="Q13" s="97">
        <f t="shared" si="5"/>
        <v>1966</v>
      </c>
      <c r="R13" s="98">
        <f t="shared" si="7"/>
        <v>568</v>
      </c>
      <c r="S13" s="109">
        <f t="shared" si="8"/>
        <v>2.1359004249238523E-2</v>
      </c>
      <c r="T13" s="92">
        <f t="shared" si="6"/>
        <v>1968</v>
      </c>
      <c r="U13" s="162">
        <f>D13+F12+G12+I11+J11+L10+M10+O9+P9</f>
        <v>155832</v>
      </c>
      <c r="Y13" s="3">
        <f t="shared" si="10"/>
        <v>1966</v>
      </c>
      <c r="Z13" s="3">
        <f t="shared" si="11"/>
        <v>66</v>
      </c>
      <c r="AA13" s="110">
        <f>R13+SUM(I62:M62)</f>
        <v>62847.600199999993</v>
      </c>
      <c r="AB13" s="107">
        <f t="shared" si="12"/>
        <v>2.3633136614898653</v>
      </c>
      <c r="AC13" s="107">
        <v>4.6220291645437426</v>
      </c>
      <c r="AD13" s="88">
        <f t="shared" si="13"/>
        <v>1966</v>
      </c>
      <c r="AE13" s="34">
        <v>26593</v>
      </c>
      <c r="AF13" s="107">
        <v>0.71065115458376837</v>
      </c>
      <c r="AG13" s="108">
        <f t="shared" si="9"/>
        <v>4.7979134252997078</v>
      </c>
      <c r="AI13" s="3" t="s">
        <v>30</v>
      </c>
      <c r="AL13" s="3">
        <v>0.21742187810791655</v>
      </c>
      <c r="AV13" s="9"/>
      <c r="AW13" s="89"/>
      <c r="AX13" s="13"/>
      <c r="AY13" s="9"/>
      <c r="AZ13" s="9"/>
      <c r="BA13" s="9"/>
      <c r="BB13" s="9"/>
    </row>
    <row r="14" spans="1:54">
      <c r="A14" s="154">
        <v>1967</v>
      </c>
      <c r="B14" s="91">
        <v>10821</v>
      </c>
      <c r="C14" s="92">
        <f t="shared" si="0"/>
        <v>1969</v>
      </c>
      <c r="D14" s="93"/>
      <c r="E14" s="101">
        <f t="shared" si="1"/>
        <v>1970</v>
      </c>
      <c r="F14" s="102" t="s">
        <v>31</v>
      </c>
      <c r="G14" s="102" t="s">
        <v>28</v>
      </c>
      <c r="H14" s="101">
        <f t="shared" si="2"/>
        <v>1971</v>
      </c>
      <c r="I14" s="102" t="s">
        <v>28</v>
      </c>
      <c r="J14" s="102" t="s">
        <v>26</v>
      </c>
      <c r="K14" s="92">
        <f t="shared" si="3"/>
        <v>1972</v>
      </c>
      <c r="L14" s="93">
        <v>4976</v>
      </c>
      <c r="M14" s="93">
        <v>4976</v>
      </c>
      <c r="N14" s="92">
        <f t="shared" si="4"/>
        <v>1973</v>
      </c>
      <c r="O14" s="93">
        <v>0</v>
      </c>
      <c r="P14" s="93"/>
      <c r="Q14" s="97">
        <f t="shared" si="5"/>
        <v>1967</v>
      </c>
      <c r="R14" s="98">
        <f t="shared" si="7"/>
        <v>9952</v>
      </c>
      <c r="S14" s="109">
        <f t="shared" si="8"/>
        <v>0.91969318916920806</v>
      </c>
      <c r="T14" s="92">
        <f t="shared" si="6"/>
        <v>1969</v>
      </c>
      <c r="U14" s="162">
        <f>D14+F13+G13+I12+J12+L11+M11+O10+P10</f>
        <v>188806</v>
      </c>
      <c r="Y14" s="3">
        <f t="shared" si="10"/>
        <v>1967</v>
      </c>
      <c r="Z14" s="3">
        <f t="shared" si="11"/>
        <v>67</v>
      </c>
      <c r="AA14" s="110">
        <f>R14+SUM(F62:J62)</f>
        <v>55746.953324999995</v>
      </c>
      <c r="AB14" s="107">
        <f t="shared" si="12"/>
        <v>5.1517376698087052</v>
      </c>
      <c r="AC14" s="107">
        <v>4.6220291645437426</v>
      </c>
      <c r="AD14" s="88">
        <f t="shared" si="13"/>
        <v>1967</v>
      </c>
      <c r="AE14" s="34">
        <v>10821</v>
      </c>
      <c r="AF14" s="107">
        <v>5.5783732485978117</v>
      </c>
      <c r="AG14" s="108">
        <f t="shared" si="9"/>
        <v>6.3586748157509234</v>
      </c>
      <c r="AI14" s="3" t="s">
        <v>32</v>
      </c>
      <c r="AL14" s="3">
        <v>28</v>
      </c>
      <c r="AV14" s="9"/>
      <c r="AW14" s="89"/>
      <c r="AX14" s="13"/>
      <c r="AY14" s="9"/>
      <c r="AZ14" s="9"/>
      <c r="BA14" s="9"/>
      <c r="BB14" s="9"/>
    </row>
    <row r="15" spans="1:54">
      <c r="A15" s="154">
        <v>1968</v>
      </c>
      <c r="B15" s="91">
        <v>68048</v>
      </c>
      <c r="C15" s="101">
        <f t="shared" si="0"/>
        <v>1970</v>
      </c>
      <c r="D15" s="102" t="s">
        <v>33</v>
      </c>
      <c r="E15" s="101">
        <f t="shared" si="1"/>
        <v>1971</v>
      </c>
      <c r="F15" s="102" t="s">
        <v>31</v>
      </c>
      <c r="G15" s="102" t="s">
        <v>28</v>
      </c>
      <c r="H15" s="92">
        <f t="shared" si="2"/>
        <v>1972</v>
      </c>
      <c r="I15" s="93">
        <v>71619</v>
      </c>
      <c r="J15" s="93">
        <v>0</v>
      </c>
      <c r="K15" s="92">
        <f t="shared" si="3"/>
        <v>1973</v>
      </c>
      <c r="L15" s="93">
        <v>1151</v>
      </c>
      <c r="M15" s="93">
        <v>10979</v>
      </c>
      <c r="N15" s="92">
        <f t="shared" si="4"/>
        <v>1974</v>
      </c>
      <c r="O15" s="93">
        <v>0</v>
      </c>
      <c r="P15" s="93"/>
      <c r="Q15" s="103">
        <f t="shared" si="5"/>
        <v>1968</v>
      </c>
      <c r="R15" s="104">
        <f t="shared" si="7"/>
        <v>83749</v>
      </c>
      <c r="S15" s="105">
        <f t="shared" si="8"/>
        <v>1.2307341876322595</v>
      </c>
      <c r="T15" s="111">
        <f t="shared" si="6"/>
        <v>1970</v>
      </c>
      <c r="U15" s="162">
        <v>51954</v>
      </c>
      <c r="V15" s="112" t="s">
        <v>34</v>
      </c>
      <c r="Y15" s="106">
        <f t="shared" si="10"/>
        <v>1968</v>
      </c>
      <c r="Z15" s="3">
        <f t="shared" si="11"/>
        <v>68</v>
      </c>
      <c r="AA15" s="44">
        <f>R15+SUM(D62:G62)</f>
        <v>84250.398932142853</v>
      </c>
      <c r="AB15" s="107">
        <f t="shared" si="12"/>
        <v>1.2381025001784454</v>
      </c>
      <c r="AC15" s="107">
        <v>4.6220291645437426</v>
      </c>
      <c r="AD15" s="88">
        <f t="shared" si="13"/>
        <v>1968</v>
      </c>
      <c r="AE15" s="34">
        <v>68048</v>
      </c>
      <c r="AF15" s="107">
        <v>1.238230027672774</v>
      </c>
      <c r="AG15" s="108">
        <f t="shared" si="9"/>
        <v>0.69562053656301526</v>
      </c>
      <c r="AI15" s="3" t="s">
        <v>35</v>
      </c>
      <c r="AL15" s="3">
        <v>26</v>
      </c>
      <c r="AV15" s="9"/>
      <c r="AW15" s="113"/>
      <c r="AX15" s="114"/>
      <c r="AY15" s="9"/>
      <c r="AZ15" s="9"/>
      <c r="BA15" s="9"/>
      <c r="BB15" s="9"/>
    </row>
    <row r="16" spans="1:54">
      <c r="A16" s="154">
        <v>1969</v>
      </c>
      <c r="B16" s="91">
        <v>61196</v>
      </c>
      <c r="C16" s="101">
        <f t="shared" si="0"/>
        <v>1971</v>
      </c>
      <c r="D16" s="102" t="s">
        <v>33</v>
      </c>
      <c r="E16" s="92">
        <f t="shared" si="1"/>
        <v>1972</v>
      </c>
      <c r="F16" s="93">
        <v>0</v>
      </c>
      <c r="G16" s="93">
        <v>0</v>
      </c>
      <c r="H16" s="92">
        <f t="shared" si="2"/>
        <v>1973</v>
      </c>
      <c r="I16" s="93">
        <v>17853</v>
      </c>
      <c r="J16" s="93">
        <v>218</v>
      </c>
      <c r="K16" s="92">
        <f t="shared" si="3"/>
        <v>1974</v>
      </c>
      <c r="L16" s="93">
        <v>1475</v>
      </c>
      <c r="M16" s="93">
        <v>12626</v>
      </c>
      <c r="N16" s="92">
        <f t="shared" si="4"/>
        <v>1975</v>
      </c>
      <c r="O16" s="93">
        <v>263</v>
      </c>
      <c r="P16" s="93"/>
      <c r="Q16" s="103">
        <f t="shared" si="5"/>
        <v>1969</v>
      </c>
      <c r="R16" s="104">
        <f t="shared" si="7"/>
        <v>32435</v>
      </c>
      <c r="S16" s="105">
        <f t="shared" si="8"/>
        <v>0.53001830184979415</v>
      </c>
      <c r="T16" s="111">
        <f t="shared" si="6"/>
        <v>1971</v>
      </c>
      <c r="U16" s="162">
        <v>19747</v>
      </c>
      <c r="V16" s="112" t="s">
        <v>34</v>
      </c>
      <c r="Y16" s="3">
        <f t="shared" si="10"/>
        <v>1969</v>
      </c>
      <c r="Z16" s="3">
        <f t="shared" si="11"/>
        <v>69</v>
      </c>
      <c r="AA16" s="44">
        <f>R16+D62</f>
        <v>32443.642857142859</v>
      </c>
      <c r="AB16" s="107">
        <f t="shared" si="12"/>
        <v>0.53015953423659812</v>
      </c>
      <c r="AC16" s="107">
        <v>4.6220291645437426</v>
      </c>
      <c r="AD16" s="88">
        <f t="shared" si="13"/>
        <v>1969</v>
      </c>
      <c r="AE16" s="34">
        <v>61196</v>
      </c>
      <c r="AF16" s="107">
        <v>0.52645597751487028</v>
      </c>
      <c r="AG16" s="108">
        <f t="shared" si="9"/>
        <v>1.3736789341899316</v>
      </c>
      <c r="AV16" s="9"/>
      <c r="AW16" s="113"/>
      <c r="AX16" s="114"/>
      <c r="AY16" s="9"/>
      <c r="AZ16" s="9"/>
      <c r="BA16" s="9"/>
      <c r="BB16" s="9"/>
    </row>
    <row r="17" spans="1:54">
      <c r="A17" s="154">
        <v>1970</v>
      </c>
      <c r="B17" s="91">
        <v>11460</v>
      </c>
      <c r="C17" s="92">
        <f t="shared" si="0"/>
        <v>1972</v>
      </c>
      <c r="D17" s="93"/>
      <c r="E17" s="92">
        <f t="shared" si="1"/>
        <v>1973</v>
      </c>
      <c r="F17" s="93">
        <v>0</v>
      </c>
      <c r="G17" s="93">
        <v>902</v>
      </c>
      <c r="H17" s="92">
        <f t="shared" si="2"/>
        <v>1974</v>
      </c>
      <c r="I17" s="93">
        <v>5290</v>
      </c>
      <c r="J17" s="93">
        <v>295</v>
      </c>
      <c r="K17" s="92">
        <f t="shared" si="3"/>
        <v>1975</v>
      </c>
      <c r="L17" s="93">
        <v>778</v>
      </c>
      <c r="M17" s="93">
        <v>4425</v>
      </c>
      <c r="N17" s="92">
        <f t="shared" si="4"/>
        <v>1976</v>
      </c>
      <c r="O17" s="93">
        <v>0</v>
      </c>
      <c r="P17" s="93"/>
      <c r="Q17" s="103">
        <f t="shared" si="5"/>
        <v>1970</v>
      </c>
      <c r="R17" s="104">
        <f t="shared" si="7"/>
        <v>11690</v>
      </c>
      <c r="S17" s="105">
        <f t="shared" si="8"/>
        <v>1.0200698080279231</v>
      </c>
      <c r="T17" s="92">
        <f t="shared" si="6"/>
        <v>1972</v>
      </c>
      <c r="U17" s="162">
        <f t="shared" ref="U17:U31" si="14">D17+F16+G16+I15+J15+L14+M14+O13+P13</f>
        <v>81571</v>
      </c>
      <c r="Y17" s="3">
        <f t="shared" si="10"/>
        <v>1970</v>
      </c>
      <c r="Z17" s="3">
        <f t="shared" si="11"/>
        <v>70</v>
      </c>
      <c r="AA17" s="34">
        <f t="shared" ref="AA17:AA27" si="15">R17</f>
        <v>11690</v>
      </c>
      <c r="AB17" s="107">
        <f t="shared" si="12"/>
        <v>1.0200698080279231</v>
      </c>
      <c r="AC17" s="107">
        <v>4.6220291645437426</v>
      </c>
      <c r="AD17" s="88">
        <f t="shared" si="13"/>
        <v>1970</v>
      </c>
      <c r="AE17" s="34">
        <v>11460</v>
      </c>
      <c r="AF17" s="107">
        <v>0.99432809773123909</v>
      </c>
      <c r="AG17" s="108">
        <f t="shared" si="9"/>
        <v>6.2954408233277483</v>
      </c>
      <c r="AI17" s="3" t="s">
        <v>36</v>
      </c>
      <c r="AK17" s="3">
        <v>-9.8957734621558146E-5</v>
      </c>
      <c r="AV17" s="9"/>
      <c r="AW17" s="89"/>
      <c r="AX17" s="13"/>
      <c r="AY17" s="9"/>
      <c r="AZ17" s="9"/>
      <c r="BA17" s="9"/>
      <c r="BB17" s="9"/>
    </row>
    <row r="18" spans="1:54">
      <c r="A18" s="154">
        <v>1971</v>
      </c>
      <c r="B18" s="91">
        <v>954</v>
      </c>
      <c r="C18" s="92">
        <f t="shared" si="0"/>
        <v>1973</v>
      </c>
      <c r="D18" s="93"/>
      <c r="E18" s="92">
        <f t="shared" si="1"/>
        <v>1974</v>
      </c>
      <c r="F18" s="93">
        <v>0</v>
      </c>
      <c r="G18" s="93">
        <v>0</v>
      </c>
      <c r="H18" s="92">
        <f t="shared" si="2"/>
        <v>1975</v>
      </c>
      <c r="I18" s="93">
        <v>3122</v>
      </c>
      <c r="J18" s="93">
        <v>0</v>
      </c>
      <c r="K18" s="92">
        <f t="shared" si="3"/>
        <v>1976</v>
      </c>
      <c r="L18" s="93">
        <v>157</v>
      </c>
      <c r="M18" s="93">
        <v>2662</v>
      </c>
      <c r="N18" s="92">
        <f t="shared" si="4"/>
        <v>1977</v>
      </c>
      <c r="O18" s="93">
        <v>726</v>
      </c>
      <c r="P18" s="93"/>
      <c r="Q18" s="103">
        <f>A18</f>
        <v>1971</v>
      </c>
      <c r="R18" s="104">
        <f t="shared" si="7"/>
        <v>6667</v>
      </c>
      <c r="S18" s="105">
        <f t="shared" si="8"/>
        <v>6.9884696016771493</v>
      </c>
      <c r="T18" s="92">
        <f t="shared" si="6"/>
        <v>1973</v>
      </c>
      <c r="U18" s="162">
        <f t="shared" si="14"/>
        <v>31103</v>
      </c>
      <c r="Y18" s="3">
        <f t="shared" si="10"/>
        <v>1971</v>
      </c>
      <c r="Z18" s="3">
        <f t="shared" si="11"/>
        <v>71</v>
      </c>
      <c r="AA18" s="34">
        <f t="shared" si="15"/>
        <v>6667</v>
      </c>
      <c r="AB18" s="107">
        <f t="shared" si="12"/>
        <v>6.9884696016771493</v>
      </c>
      <c r="AC18" s="107">
        <v>4.6220291645437426</v>
      </c>
      <c r="AD18" s="88">
        <f t="shared" si="13"/>
        <v>1971</v>
      </c>
      <c r="AE18" s="34">
        <v>954</v>
      </c>
      <c r="AF18" s="107">
        <v>6.9884696016771493</v>
      </c>
      <c r="AG18" s="108">
        <f t="shared" si="9"/>
        <v>7.3350907832618377</v>
      </c>
      <c r="AI18" s="3" t="s">
        <v>37</v>
      </c>
      <c r="AK18" s="3">
        <v>3.6819280748827216E-5</v>
      </c>
      <c r="AV18" s="9"/>
      <c r="AW18" s="89"/>
      <c r="AX18" s="13"/>
      <c r="AY18" s="9"/>
      <c r="AZ18" s="9"/>
      <c r="BA18" s="9"/>
      <c r="BB18" s="9"/>
    </row>
    <row r="19" spans="1:54">
      <c r="A19" s="154">
        <v>1972</v>
      </c>
      <c r="B19" s="91">
        <v>28683</v>
      </c>
      <c r="C19" s="92">
        <f t="shared" si="0"/>
        <v>1974</v>
      </c>
      <c r="D19" s="93"/>
      <c r="E19" s="92">
        <f t="shared" si="1"/>
        <v>1975</v>
      </c>
      <c r="F19" s="93">
        <v>0</v>
      </c>
      <c r="G19" s="93">
        <v>778</v>
      </c>
      <c r="H19" s="92">
        <f t="shared" si="2"/>
        <v>1976</v>
      </c>
      <c r="I19" s="93">
        <v>36054</v>
      </c>
      <c r="J19" s="93">
        <v>274</v>
      </c>
      <c r="K19" s="92">
        <f t="shared" si="3"/>
        <v>1977</v>
      </c>
      <c r="L19" s="93">
        <v>12445</v>
      </c>
      <c r="M19" s="93">
        <v>10324</v>
      </c>
      <c r="N19" s="92">
        <f t="shared" si="4"/>
        <v>1978</v>
      </c>
      <c r="O19" s="93">
        <v>101</v>
      </c>
      <c r="P19" s="93"/>
      <c r="Q19" s="103">
        <f t="shared" si="5"/>
        <v>1972</v>
      </c>
      <c r="R19" s="104">
        <f t="shared" si="7"/>
        <v>59976</v>
      </c>
      <c r="S19" s="105">
        <f t="shared" si="8"/>
        <v>2.0909946658299341</v>
      </c>
      <c r="T19" s="92">
        <f t="shared" si="6"/>
        <v>1974</v>
      </c>
      <c r="U19" s="162">
        <f t="shared" si="14"/>
        <v>19686</v>
      </c>
      <c r="Y19" s="106">
        <f t="shared" si="10"/>
        <v>1972</v>
      </c>
      <c r="Z19" s="3">
        <f t="shared" si="11"/>
        <v>72</v>
      </c>
      <c r="AA19" s="34">
        <f t="shared" si="15"/>
        <v>59976</v>
      </c>
      <c r="AB19" s="107">
        <f t="shared" si="12"/>
        <v>2.0909946658299341</v>
      </c>
      <c r="AC19" s="107">
        <v>4.6220291645437426</v>
      </c>
      <c r="AD19" s="88">
        <f t="shared" si="13"/>
        <v>1972</v>
      </c>
      <c r="AE19" s="34">
        <v>28683</v>
      </c>
      <c r="AF19" s="107">
        <v>2.0814419691106232</v>
      </c>
      <c r="AG19" s="108">
        <f t="shared" si="9"/>
        <v>4.5910917599406513</v>
      </c>
      <c r="AV19" s="9"/>
      <c r="AW19" s="89"/>
      <c r="AX19" s="13"/>
      <c r="AY19" s="9"/>
      <c r="AZ19" s="9"/>
      <c r="BA19" s="9"/>
      <c r="BB19" s="9"/>
    </row>
    <row r="20" spans="1:54">
      <c r="A20" s="154">
        <v>1973</v>
      </c>
      <c r="B20" s="91">
        <v>10202</v>
      </c>
      <c r="C20" s="92">
        <f t="shared" si="0"/>
        <v>1975</v>
      </c>
      <c r="D20" s="93"/>
      <c r="E20" s="92">
        <f t="shared" si="1"/>
        <v>1976</v>
      </c>
      <c r="F20" s="93">
        <v>0</v>
      </c>
      <c r="G20" s="93">
        <v>0</v>
      </c>
      <c r="H20" s="92">
        <f t="shared" si="2"/>
        <v>1977</v>
      </c>
      <c r="I20" s="93">
        <v>32145</v>
      </c>
      <c r="J20" s="93">
        <v>0</v>
      </c>
      <c r="K20" s="92">
        <f t="shared" si="3"/>
        <v>1978</v>
      </c>
      <c r="L20" s="93">
        <v>201</v>
      </c>
      <c r="M20" s="93">
        <v>1862</v>
      </c>
      <c r="N20" s="92">
        <f t="shared" si="4"/>
        <v>1979</v>
      </c>
      <c r="O20" s="93">
        <v>203</v>
      </c>
      <c r="P20" s="93"/>
      <c r="Q20" s="103">
        <f t="shared" si="5"/>
        <v>1973</v>
      </c>
      <c r="R20" s="104">
        <f t="shared" si="7"/>
        <v>34411</v>
      </c>
      <c r="S20" s="105">
        <f t="shared" si="8"/>
        <v>3.3729660850813565</v>
      </c>
      <c r="T20" s="92">
        <f t="shared" si="6"/>
        <v>1975</v>
      </c>
      <c r="U20" s="162">
        <f t="shared" si="14"/>
        <v>9366</v>
      </c>
      <c r="Y20" s="3">
        <f t="shared" si="10"/>
        <v>1973</v>
      </c>
      <c r="Z20" s="3">
        <f t="shared" si="11"/>
        <v>73</v>
      </c>
      <c r="AA20" s="34">
        <f t="shared" si="15"/>
        <v>34411</v>
      </c>
      <c r="AB20" s="107">
        <f t="shared" si="12"/>
        <v>3.3729660850813565</v>
      </c>
      <c r="AC20" s="107">
        <v>4.6220291645437426</v>
      </c>
      <c r="AD20" s="88">
        <f t="shared" si="13"/>
        <v>1973</v>
      </c>
      <c r="AE20" s="34">
        <v>10202</v>
      </c>
      <c r="AF20" s="107">
        <v>3.3729660850813565</v>
      </c>
      <c r="AG20" s="108">
        <f t="shared" si="9"/>
        <v>6.4199296534816677</v>
      </c>
      <c r="AV20" s="9"/>
      <c r="AW20" s="89"/>
      <c r="AX20" s="13"/>
      <c r="AY20" s="9"/>
      <c r="AZ20" s="9"/>
      <c r="BA20" s="9"/>
      <c r="BB20" s="9"/>
    </row>
    <row r="21" spans="1:54">
      <c r="A21" s="154">
        <v>1974</v>
      </c>
      <c r="B21" s="91">
        <v>633</v>
      </c>
      <c r="C21" s="92">
        <f t="shared" si="0"/>
        <v>1976</v>
      </c>
      <c r="D21" s="93"/>
      <c r="E21" s="92">
        <f t="shared" si="1"/>
        <v>1977</v>
      </c>
      <c r="F21" s="93">
        <v>0</v>
      </c>
      <c r="G21" s="93">
        <v>223</v>
      </c>
      <c r="H21" s="92">
        <f t="shared" si="2"/>
        <v>1978</v>
      </c>
      <c r="I21" s="93">
        <v>10265</v>
      </c>
      <c r="J21" s="93">
        <v>50</v>
      </c>
      <c r="K21" s="92">
        <f t="shared" si="3"/>
        <v>1979</v>
      </c>
      <c r="L21" s="93">
        <v>1656</v>
      </c>
      <c r="M21" s="93">
        <v>3752</v>
      </c>
      <c r="N21" s="92">
        <f t="shared" si="4"/>
        <v>1980</v>
      </c>
      <c r="O21" s="93">
        <v>0</v>
      </c>
      <c r="P21" s="93"/>
      <c r="Q21" s="103">
        <f t="shared" si="5"/>
        <v>1974</v>
      </c>
      <c r="R21" s="104">
        <f t="shared" si="7"/>
        <v>15946</v>
      </c>
      <c r="S21" s="105">
        <f t="shared" si="8"/>
        <v>25.191153238546605</v>
      </c>
      <c r="T21" s="92">
        <f t="shared" si="6"/>
        <v>1976</v>
      </c>
      <c r="U21" s="162">
        <f t="shared" si="14"/>
        <v>39147</v>
      </c>
      <c r="Y21" s="3">
        <f t="shared" si="10"/>
        <v>1974</v>
      </c>
      <c r="Z21" s="3">
        <f t="shared" si="11"/>
        <v>74</v>
      </c>
      <c r="AA21" s="34">
        <f t="shared" si="15"/>
        <v>15946</v>
      </c>
      <c r="AB21" s="107">
        <f t="shared" si="12"/>
        <v>25.191153238546605</v>
      </c>
      <c r="AC21" s="107">
        <v>4.6220291645437426</v>
      </c>
      <c r="AD21" s="88">
        <f t="shared" si="13"/>
        <v>1974</v>
      </c>
      <c r="AE21" s="34">
        <v>633</v>
      </c>
      <c r="AF21" s="107">
        <v>25.112164296998419</v>
      </c>
      <c r="AG21" s="108">
        <f t="shared" si="9"/>
        <v>7.3668562160753579</v>
      </c>
      <c r="AV21" s="9"/>
      <c r="AW21" s="89"/>
      <c r="AX21" s="13"/>
      <c r="AY21" s="9"/>
      <c r="AZ21" s="9"/>
      <c r="BA21" s="9"/>
      <c r="BB21" s="9"/>
    </row>
    <row r="22" spans="1:54">
      <c r="A22" s="154">
        <v>1975</v>
      </c>
      <c r="B22" s="91">
        <v>1724</v>
      </c>
      <c r="C22" s="92">
        <f t="shared" si="0"/>
        <v>1977</v>
      </c>
      <c r="D22" s="93"/>
      <c r="E22" s="92">
        <f t="shared" si="1"/>
        <v>1978</v>
      </c>
      <c r="F22" s="93">
        <v>0</v>
      </c>
      <c r="G22" s="93">
        <v>101</v>
      </c>
      <c r="H22" s="92">
        <f t="shared" si="2"/>
        <v>1979</v>
      </c>
      <c r="I22" s="93">
        <v>27042</v>
      </c>
      <c r="J22" s="93">
        <v>0</v>
      </c>
      <c r="K22" s="92">
        <f t="shared" si="3"/>
        <v>1980</v>
      </c>
      <c r="L22" s="93">
        <v>0</v>
      </c>
      <c r="M22" s="93">
        <v>2566</v>
      </c>
      <c r="N22" s="92">
        <f t="shared" si="4"/>
        <v>1981</v>
      </c>
      <c r="O22" s="93">
        <v>1646</v>
      </c>
      <c r="P22" s="93"/>
      <c r="Q22" s="103">
        <f t="shared" si="5"/>
        <v>1975</v>
      </c>
      <c r="R22" s="104">
        <f t="shared" si="7"/>
        <v>31355</v>
      </c>
      <c r="S22" s="105">
        <f t="shared" si="8"/>
        <v>18.187354988399072</v>
      </c>
      <c r="T22" s="92">
        <f t="shared" si="6"/>
        <v>1977</v>
      </c>
      <c r="U22" s="162">
        <f t="shared" si="14"/>
        <v>55863</v>
      </c>
      <c r="Y22" s="3">
        <f t="shared" si="10"/>
        <v>1975</v>
      </c>
      <c r="Z22" s="3">
        <f t="shared" si="11"/>
        <v>75</v>
      </c>
      <c r="AA22" s="34">
        <f t="shared" si="15"/>
        <v>31355</v>
      </c>
      <c r="AB22" s="107">
        <f t="shared" si="12"/>
        <v>18.187354988399072</v>
      </c>
      <c r="AC22" s="107">
        <v>4.6220291645437426</v>
      </c>
      <c r="AD22" s="88">
        <f t="shared" si="13"/>
        <v>1975</v>
      </c>
      <c r="AE22" s="34">
        <v>1724</v>
      </c>
      <c r="AF22" s="107">
        <v>18.187354988399072</v>
      </c>
      <c r="AG22" s="108">
        <f t="shared" si="9"/>
        <v>7.2588933276032375</v>
      </c>
      <c r="AV22" s="9"/>
      <c r="AW22" s="89"/>
      <c r="AX22" s="13"/>
      <c r="AY22" s="9"/>
      <c r="AZ22" s="9"/>
      <c r="BA22" s="9"/>
      <c r="BB22" s="9"/>
    </row>
    <row r="23" spans="1:54">
      <c r="A23" s="154">
        <v>1976</v>
      </c>
      <c r="B23" s="91">
        <v>19367</v>
      </c>
      <c r="C23" s="92">
        <f t="shared" si="0"/>
        <v>1978</v>
      </c>
      <c r="D23" s="93"/>
      <c r="E23" s="92">
        <f t="shared" si="1"/>
        <v>1979</v>
      </c>
      <c r="F23" s="93">
        <v>0</v>
      </c>
      <c r="G23" s="93">
        <v>1149</v>
      </c>
      <c r="H23" s="92">
        <f t="shared" si="2"/>
        <v>1980</v>
      </c>
      <c r="I23" s="93">
        <v>139991</v>
      </c>
      <c r="J23" s="93">
        <v>0</v>
      </c>
      <c r="K23" s="92">
        <f t="shared" si="3"/>
        <v>1981</v>
      </c>
      <c r="L23" s="93">
        <v>20872</v>
      </c>
      <c r="M23" s="93">
        <v>15670</v>
      </c>
      <c r="N23" s="92">
        <f t="shared" si="4"/>
        <v>1982</v>
      </c>
      <c r="O23" s="93">
        <v>379</v>
      </c>
      <c r="P23" s="93"/>
      <c r="Q23" s="103">
        <f t="shared" si="5"/>
        <v>1976</v>
      </c>
      <c r="R23" s="104">
        <f>D23+F23+G23+I23+J23+L23+M23+O23+P23</f>
        <v>178061</v>
      </c>
      <c r="S23" s="105">
        <f t="shared" si="8"/>
        <v>9.1940414106469763</v>
      </c>
      <c r="T23" s="92">
        <f t="shared" si="6"/>
        <v>1978</v>
      </c>
      <c r="U23" s="162">
        <f t="shared" si="14"/>
        <v>12580</v>
      </c>
      <c r="Y23" s="106">
        <f t="shared" si="10"/>
        <v>1976</v>
      </c>
      <c r="Z23" s="3">
        <f t="shared" si="11"/>
        <v>76</v>
      </c>
      <c r="AA23" s="34">
        <f t="shared" si="15"/>
        <v>178061</v>
      </c>
      <c r="AB23" s="107">
        <f t="shared" si="12"/>
        <v>9.1940414106469763</v>
      </c>
      <c r="AC23" s="107">
        <v>4.6220291645437426</v>
      </c>
      <c r="AD23" s="88">
        <f t="shared" si="13"/>
        <v>1976</v>
      </c>
      <c r="AE23" s="34">
        <v>19367</v>
      </c>
      <c r="AF23" s="107">
        <v>9.1940414106469763</v>
      </c>
      <c r="AG23" s="108">
        <f t="shared" si="9"/>
        <v>5.5129820156750871</v>
      </c>
      <c r="AV23" s="9"/>
      <c r="AW23" s="89"/>
      <c r="AX23" s="13"/>
      <c r="AY23" s="9"/>
      <c r="AZ23" s="9"/>
      <c r="BA23" s="9"/>
      <c r="BB23" s="9"/>
    </row>
    <row r="24" spans="1:54">
      <c r="A24" s="154">
        <v>1977</v>
      </c>
      <c r="B24" s="91">
        <v>11746</v>
      </c>
      <c r="C24" s="92">
        <f t="shared" si="0"/>
        <v>1979</v>
      </c>
      <c r="D24" s="93"/>
      <c r="E24" s="92">
        <f t="shared" si="1"/>
        <v>1980</v>
      </c>
      <c r="F24" s="93">
        <v>0</v>
      </c>
      <c r="G24" s="93">
        <v>0</v>
      </c>
      <c r="H24" s="92">
        <f t="shared" si="2"/>
        <v>1981</v>
      </c>
      <c r="I24" s="93">
        <v>27654</v>
      </c>
      <c r="J24" s="93">
        <v>0</v>
      </c>
      <c r="K24" s="92">
        <f t="shared" si="3"/>
        <v>1982</v>
      </c>
      <c r="L24" s="93">
        <v>8800</v>
      </c>
      <c r="M24" s="93">
        <v>1956</v>
      </c>
      <c r="N24" s="92">
        <f t="shared" si="4"/>
        <v>1983</v>
      </c>
      <c r="O24" s="93">
        <v>43</v>
      </c>
      <c r="P24" s="93"/>
      <c r="Q24" s="103">
        <f t="shared" si="5"/>
        <v>1977</v>
      </c>
      <c r="R24" s="104">
        <f t="shared" si="7"/>
        <v>38453</v>
      </c>
      <c r="S24" s="105">
        <f t="shared" si="8"/>
        <v>3.2737101992167545</v>
      </c>
      <c r="T24" s="92">
        <f t="shared" si="6"/>
        <v>1979</v>
      </c>
      <c r="U24" s="162">
        <f t="shared" si="14"/>
        <v>33802</v>
      </c>
      <c r="Y24" s="3">
        <f t="shared" si="10"/>
        <v>1977</v>
      </c>
      <c r="Z24" s="3">
        <f t="shared" si="11"/>
        <v>77</v>
      </c>
      <c r="AA24" s="34">
        <f t="shared" si="15"/>
        <v>38453</v>
      </c>
      <c r="AB24" s="107">
        <f t="shared" si="12"/>
        <v>3.2737101992167545</v>
      </c>
      <c r="AC24" s="107">
        <v>4.6220291645437426</v>
      </c>
      <c r="AD24" s="88">
        <f t="shared" si="13"/>
        <v>1977</v>
      </c>
      <c r="AE24" s="34">
        <v>11746</v>
      </c>
      <c r="AF24" s="107">
        <v>3.2737101992167545</v>
      </c>
      <c r="AG24" s="108">
        <f t="shared" si="9"/>
        <v>6.2671389112259819</v>
      </c>
      <c r="AV24" s="9"/>
      <c r="AW24" s="89"/>
      <c r="AX24" s="13"/>
      <c r="AY24" s="9"/>
      <c r="AZ24" s="9"/>
      <c r="BA24" s="9"/>
      <c r="BB24" s="9"/>
    </row>
    <row r="25" spans="1:54">
      <c r="A25" s="154">
        <v>1978</v>
      </c>
      <c r="B25" s="91">
        <v>12580</v>
      </c>
      <c r="C25" s="92">
        <f t="shared" si="0"/>
        <v>1980</v>
      </c>
      <c r="D25" s="93"/>
      <c r="E25" s="92">
        <f t="shared" si="1"/>
        <v>1981</v>
      </c>
      <c r="F25" s="93">
        <v>0</v>
      </c>
      <c r="G25" s="93">
        <v>0</v>
      </c>
      <c r="H25" s="92">
        <f t="shared" si="2"/>
        <v>1982</v>
      </c>
      <c r="I25" s="93">
        <v>19524</v>
      </c>
      <c r="J25" s="93">
        <v>221</v>
      </c>
      <c r="K25" s="92">
        <f t="shared" si="3"/>
        <v>1983</v>
      </c>
      <c r="L25" s="93">
        <v>2549</v>
      </c>
      <c r="M25" s="93">
        <v>14216</v>
      </c>
      <c r="N25" s="92">
        <f t="shared" si="4"/>
        <v>1984</v>
      </c>
      <c r="O25" s="93">
        <v>197</v>
      </c>
      <c r="P25" s="93">
        <v>197</v>
      </c>
      <c r="Q25" s="103">
        <f t="shared" si="5"/>
        <v>1978</v>
      </c>
      <c r="R25" s="104">
        <f t="shared" si="7"/>
        <v>36904</v>
      </c>
      <c r="S25" s="105">
        <f t="shared" si="8"/>
        <v>2.9335453100158984</v>
      </c>
      <c r="T25" s="92">
        <f t="shared" si="6"/>
        <v>1980</v>
      </c>
      <c r="U25" s="162">
        <f>D25+F24+G24+I23+J23+L22+M22+O21+P21</f>
        <v>142557</v>
      </c>
      <c r="Y25" s="3">
        <f t="shared" si="10"/>
        <v>1978</v>
      </c>
      <c r="Z25" s="3">
        <f t="shared" si="11"/>
        <v>78</v>
      </c>
      <c r="AA25" s="34">
        <f t="shared" si="15"/>
        <v>36904</v>
      </c>
      <c r="AB25" s="107">
        <f t="shared" si="12"/>
        <v>2.9335453100158984</v>
      </c>
      <c r="AC25" s="107">
        <v>4.6220291645437426</v>
      </c>
      <c r="AD25" s="88">
        <f t="shared" si="13"/>
        <v>1978</v>
      </c>
      <c r="AE25" s="34">
        <v>12580</v>
      </c>
      <c r="AF25" s="107">
        <v>2.9003179650238473</v>
      </c>
      <c r="AG25" s="108">
        <f t="shared" si="9"/>
        <v>6.184608160551603</v>
      </c>
      <c r="AV25" s="9"/>
      <c r="AW25" s="89"/>
      <c r="AX25" s="13"/>
      <c r="AY25" s="9"/>
      <c r="AZ25" s="9"/>
      <c r="BA25" s="9"/>
      <c r="BB25" s="9"/>
    </row>
    <row r="26" spans="1:54">
      <c r="A26" s="154">
        <v>1979</v>
      </c>
      <c r="B26" s="91">
        <v>12169</v>
      </c>
      <c r="C26" s="92">
        <f t="shared" si="0"/>
        <v>1981</v>
      </c>
      <c r="D26" s="93"/>
      <c r="E26" s="92">
        <f t="shared" si="1"/>
        <v>1982</v>
      </c>
      <c r="F26" s="93">
        <v>0</v>
      </c>
      <c r="G26" s="93">
        <v>694</v>
      </c>
      <c r="H26" s="92">
        <f t="shared" si="2"/>
        <v>1983</v>
      </c>
      <c r="I26" s="93">
        <v>25191</v>
      </c>
      <c r="J26" s="93">
        <v>0</v>
      </c>
      <c r="K26" s="92">
        <f t="shared" si="3"/>
        <v>1984</v>
      </c>
      <c r="L26" s="93">
        <v>1180</v>
      </c>
      <c r="M26" s="93">
        <v>11604</v>
      </c>
      <c r="N26" s="92">
        <f t="shared" si="4"/>
        <v>1985</v>
      </c>
      <c r="O26" s="93">
        <v>1055</v>
      </c>
      <c r="P26" s="93"/>
      <c r="Q26" s="103">
        <f t="shared" si="5"/>
        <v>1979</v>
      </c>
      <c r="R26" s="104">
        <f t="shared" si="7"/>
        <v>39724</v>
      </c>
      <c r="S26" s="105">
        <f t="shared" si="8"/>
        <v>3.2643602596762267</v>
      </c>
      <c r="T26" s="92">
        <f t="shared" si="6"/>
        <v>1981</v>
      </c>
      <c r="U26" s="162">
        <f t="shared" si="14"/>
        <v>65842</v>
      </c>
      <c r="Y26" s="3">
        <f t="shared" si="10"/>
        <v>1979</v>
      </c>
      <c r="Z26" s="3">
        <f t="shared" si="11"/>
        <v>79</v>
      </c>
      <c r="AA26" s="34">
        <f t="shared" si="15"/>
        <v>39724</v>
      </c>
      <c r="AB26" s="107">
        <f t="shared" si="12"/>
        <v>3.2643602596762267</v>
      </c>
      <c r="AC26" s="107">
        <v>4.6220291645437426</v>
      </c>
      <c r="AD26" s="88">
        <f t="shared" si="13"/>
        <v>1979</v>
      </c>
      <c r="AE26" s="34">
        <v>12169</v>
      </c>
      <c r="AF26" s="107">
        <v>3.2643602596762267</v>
      </c>
      <c r="AG26" s="108">
        <f t="shared" si="9"/>
        <v>6.2252797894810632</v>
      </c>
      <c r="AV26" s="9"/>
      <c r="AW26" s="89"/>
      <c r="AX26" s="13"/>
      <c r="AY26" s="9"/>
      <c r="AZ26" s="9"/>
      <c r="BA26" s="9"/>
      <c r="BB26" s="9"/>
    </row>
    <row r="27" spans="1:54">
      <c r="A27" s="154">
        <v>1980</v>
      </c>
      <c r="B27" s="91">
        <v>44263</v>
      </c>
      <c r="C27" s="92">
        <f t="shared" si="0"/>
        <v>1982</v>
      </c>
      <c r="D27" s="93"/>
      <c r="E27" s="92">
        <f t="shared" si="1"/>
        <v>1983</v>
      </c>
      <c r="F27" s="93">
        <v>0</v>
      </c>
      <c r="G27" s="93">
        <v>1210</v>
      </c>
      <c r="H27" s="92">
        <f t="shared" si="2"/>
        <v>1984</v>
      </c>
      <c r="I27" s="93">
        <v>182513</v>
      </c>
      <c r="J27" s="93">
        <v>983</v>
      </c>
      <c r="K27" s="92">
        <f t="shared" si="3"/>
        <v>1985</v>
      </c>
      <c r="L27" s="93">
        <v>15511</v>
      </c>
      <c r="M27" s="93">
        <v>69854</v>
      </c>
      <c r="N27" s="92">
        <f t="shared" si="4"/>
        <v>1986</v>
      </c>
      <c r="O27" s="93">
        <v>552</v>
      </c>
      <c r="P27" s="93"/>
      <c r="Q27" s="103">
        <f t="shared" si="5"/>
        <v>1980</v>
      </c>
      <c r="R27" s="104">
        <f>D27+F27+G27+I27+J27+L27+M27+O27+P27</f>
        <v>270623</v>
      </c>
      <c r="S27" s="105">
        <f t="shared" si="8"/>
        <v>6.1139778144273995</v>
      </c>
      <c r="T27" s="92">
        <f t="shared" si="6"/>
        <v>1982</v>
      </c>
      <c r="U27" s="163">
        <f>D27+F26+G26+I25+J25+L24+M24+O23+P23</f>
        <v>31574</v>
      </c>
      <c r="Y27" s="106">
        <f t="shared" si="10"/>
        <v>1980</v>
      </c>
      <c r="Z27" s="3">
        <f t="shared" si="11"/>
        <v>80</v>
      </c>
      <c r="AA27" s="34">
        <f t="shared" si="15"/>
        <v>270623</v>
      </c>
      <c r="AB27" s="107">
        <f t="shared" si="12"/>
        <v>6.1139778144273995</v>
      </c>
      <c r="AC27" s="107">
        <v>4.6220291645437426</v>
      </c>
      <c r="AD27" s="88">
        <f t="shared" si="13"/>
        <v>1980</v>
      </c>
      <c r="AE27" s="34">
        <v>44263</v>
      </c>
      <c r="AF27" s="107">
        <v>6.0917696495944691</v>
      </c>
      <c r="AG27" s="108">
        <f t="shared" si="9"/>
        <v>3.049330254536776</v>
      </c>
      <c r="AV27" s="9"/>
      <c r="AW27" s="89"/>
      <c r="AX27" s="13"/>
      <c r="AY27" s="9"/>
      <c r="AZ27" s="9"/>
      <c r="BA27" s="9"/>
      <c r="BB27" s="9"/>
    </row>
    <row r="28" spans="1:54">
      <c r="A28" s="154">
        <v>1981</v>
      </c>
      <c r="B28" s="91">
        <v>23048</v>
      </c>
      <c r="C28" s="92">
        <f t="shared" si="0"/>
        <v>1983</v>
      </c>
      <c r="D28" s="93"/>
      <c r="E28" s="92">
        <f t="shared" si="1"/>
        <v>1984</v>
      </c>
      <c r="F28" s="93">
        <v>0</v>
      </c>
      <c r="G28" s="93">
        <v>0</v>
      </c>
      <c r="H28" s="92">
        <f t="shared" si="2"/>
        <v>1985</v>
      </c>
      <c r="I28" s="93">
        <v>18994</v>
      </c>
      <c r="J28" s="93">
        <v>106</v>
      </c>
      <c r="K28" s="92">
        <f t="shared" si="3"/>
        <v>1986</v>
      </c>
      <c r="L28" s="93">
        <v>3713</v>
      </c>
      <c r="M28" s="93">
        <v>8028</v>
      </c>
      <c r="N28" s="115">
        <f t="shared" si="4"/>
        <v>1987</v>
      </c>
      <c r="O28" s="102" t="s">
        <v>38</v>
      </c>
      <c r="P28" s="102"/>
      <c r="Q28" s="103">
        <f t="shared" si="5"/>
        <v>1981</v>
      </c>
      <c r="R28" s="104">
        <f t="shared" si="7"/>
        <v>30841</v>
      </c>
      <c r="S28" s="105">
        <f t="shared" si="8"/>
        <v>1.3381204442901771</v>
      </c>
      <c r="T28" s="92">
        <f t="shared" si="6"/>
        <v>1983</v>
      </c>
      <c r="U28" s="163">
        <f t="shared" si="14"/>
        <v>43209</v>
      </c>
      <c r="Y28" s="3">
        <f t="shared" si="10"/>
        <v>1981</v>
      </c>
      <c r="Z28" s="3">
        <f t="shared" si="11"/>
        <v>81</v>
      </c>
      <c r="AA28" s="44">
        <f>R28+SUM(O62:P62)</f>
        <v>31384.776398373982</v>
      </c>
      <c r="AB28" s="107">
        <f t="shared" si="12"/>
        <v>1.3617136583813771</v>
      </c>
      <c r="AC28" s="107">
        <v>4.6220291645437426</v>
      </c>
      <c r="AD28" s="88">
        <f t="shared" si="13"/>
        <v>1981</v>
      </c>
      <c r="AE28" s="34">
        <v>23048</v>
      </c>
      <c r="AF28" s="107">
        <v>1.348178049822444</v>
      </c>
      <c r="AG28" s="108">
        <f t="shared" si="9"/>
        <v>5.1487185945331326</v>
      </c>
      <c r="AV28" s="9"/>
      <c r="AW28" s="89"/>
      <c r="AX28" s="13"/>
      <c r="AY28" s="9"/>
      <c r="AZ28" s="9"/>
      <c r="BA28" s="9"/>
      <c r="BB28" s="9"/>
    </row>
    <row r="29" spans="1:54">
      <c r="A29" s="154">
        <v>1982</v>
      </c>
      <c r="B29" s="91">
        <v>6782</v>
      </c>
      <c r="C29" s="92">
        <f t="shared" si="0"/>
        <v>1984</v>
      </c>
      <c r="D29" s="93"/>
      <c r="E29" s="92">
        <f t="shared" si="1"/>
        <v>1985</v>
      </c>
      <c r="F29" s="93">
        <v>0</v>
      </c>
      <c r="G29" s="93">
        <v>0</v>
      </c>
      <c r="H29" s="92">
        <f t="shared" si="2"/>
        <v>1986</v>
      </c>
      <c r="I29" s="93">
        <v>37030</v>
      </c>
      <c r="J29" s="93">
        <v>201</v>
      </c>
      <c r="K29" s="115">
        <f t="shared" si="3"/>
        <v>1987</v>
      </c>
      <c r="L29" s="102" t="s">
        <v>26</v>
      </c>
      <c r="M29" s="102" t="s">
        <v>28</v>
      </c>
      <c r="N29" s="92">
        <f t="shared" si="4"/>
        <v>1988</v>
      </c>
      <c r="O29" s="93">
        <v>0</v>
      </c>
      <c r="P29" s="93"/>
      <c r="Q29" s="97">
        <f t="shared" si="5"/>
        <v>1982</v>
      </c>
      <c r="R29" s="98">
        <f>D29+F29+G29+I29+J29+L62+M62+O29+P29</f>
        <v>54208.402949999996</v>
      </c>
      <c r="S29" s="109">
        <f t="shared" si="8"/>
        <v>7.9929818563845467</v>
      </c>
      <c r="T29" s="92">
        <f t="shared" si="6"/>
        <v>1984</v>
      </c>
      <c r="U29" s="163">
        <f>D29+F28+G28+I27+J27+L26+M26+O25+P25</f>
        <v>196674</v>
      </c>
      <c r="Y29" s="3">
        <f t="shared" si="10"/>
        <v>1982</v>
      </c>
      <c r="Z29" s="3">
        <f t="shared" si="11"/>
        <v>82</v>
      </c>
      <c r="AA29" s="110">
        <f>R29+SUM(L62:M62)</f>
        <v>71185.805899999992</v>
      </c>
      <c r="AB29" s="107">
        <f t="shared" si="12"/>
        <v>10.496285151872602</v>
      </c>
      <c r="AC29" s="107">
        <v>4.6220291645437426</v>
      </c>
      <c r="AD29" s="88">
        <f t="shared" si="13"/>
        <v>1982</v>
      </c>
      <c r="AE29" s="34">
        <v>6782</v>
      </c>
      <c r="AF29" s="107">
        <v>8.1628348796588259</v>
      </c>
      <c r="AG29" s="108">
        <f t="shared" si="9"/>
        <v>6.758365105887397</v>
      </c>
      <c r="AV29" s="9"/>
      <c r="AW29" s="89"/>
      <c r="AX29" s="13"/>
      <c r="AY29" s="9"/>
      <c r="AZ29" s="9"/>
      <c r="BA29" s="9"/>
      <c r="BB29" s="9"/>
    </row>
    <row r="30" spans="1:54">
      <c r="A30" s="154">
        <v>1983</v>
      </c>
      <c r="B30" s="91">
        <v>10348</v>
      </c>
      <c r="C30" s="92">
        <f t="shared" si="0"/>
        <v>1985</v>
      </c>
      <c r="D30" s="93"/>
      <c r="E30" s="92">
        <f t="shared" si="1"/>
        <v>1986</v>
      </c>
      <c r="F30" s="93">
        <v>0</v>
      </c>
      <c r="G30" s="93">
        <v>702</v>
      </c>
      <c r="H30" s="115">
        <f t="shared" si="2"/>
        <v>1987</v>
      </c>
      <c r="I30" s="102" t="s">
        <v>28</v>
      </c>
      <c r="J30" s="102" t="s">
        <v>26</v>
      </c>
      <c r="K30" s="92">
        <f t="shared" si="3"/>
        <v>1988</v>
      </c>
      <c r="L30" s="93">
        <v>2689</v>
      </c>
      <c r="M30" s="93">
        <v>1905</v>
      </c>
      <c r="N30" s="92">
        <f t="shared" si="4"/>
        <v>1989</v>
      </c>
      <c r="O30" s="93">
        <v>514</v>
      </c>
      <c r="P30" s="93"/>
      <c r="Q30" s="97">
        <f t="shared" si="5"/>
        <v>1983</v>
      </c>
      <c r="R30" s="98">
        <f>D30+F30+G30+I62+J62+L30+M30+O30+P30</f>
        <v>51112.197249999997</v>
      </c>
      <c r="S30" s="109">
        <f t="shared" si="8"/>
        <v>4.9393310059914954</v>
      </c>
      <c r="T30" s="92">
        <f t="shared" si="6"/>
        <v>1985</v>
      </c>
      <c r="U30" s="163">
        <f>D30+F29+G29+I28+J28+L27+M27+O26+P26</f>
        <v>105520</v>
      </c>
      <c r="Y30" s="3">
        <f t="shared" si="10"/>
        <v>1983</v>
      </c>
      <c r="Z30" s="3">
        <f t="shared" si="11"/>
        <v>83</v>
      </c>
      <c r="AA30" s="110">
        <f>R30+SUM(I62:J62)</f>
        <v>96414.394499999995</v>
      </c>
      <c r="AB30" s="107">
        <f t="shared" si="12"/>
        <v>9.3172008600695779</v>
      </c>
      <c r="AC30" s="107">
        <v>4.6220291645437426</v>
      </c>
      <c r="AD30" s="88">
        <f t="shared" si="13"/>
        <v>1983</v>
      </c>
      <c r="AE30" s="34">
        <v>10348</v>
      </c>
      <c r="AF30" s="107">
        <v>5.3837939698492461</v>
      </c>
      <c r="AG30" s="108">
        <f t="shared" si="9"/>
        <v>6.4054818242269205</v>
      </c>
      <c r="AV30" s="9"/>
      <c r="AW30" s="89"/>
      <c r="AX30" s="13"/>
      <c r="AY30" s="9"/>
      <c r="AZ30" s="9"/>
      <c r="BA30" s="9"/>
      <c r="BB30" s="9"/>
    </row>
    <row r="31" spans="1:54">
      <c r="A31" s="154">
        <v>1984</v>
      </c>
      <c r="B31" s="91">
        <v>36121</v>
      </c>
      <c r="C31" s="92">
        <f t="shared" si="0"/>
        <v>1986</v>
      </c>
      <c r="D31" s="93"/>
      <c r="E31" s="115">
        <f t="shared" si="1"/>
        <v>1987</v>
      </c>
      <c r="F31" s="102" t="s">
        <v>31</v>
      </c>
      <c r="G31" s="102" t="s">
        <v>28</v>
      </c>
      <c r="H31" s="92">
        <f t="shared" si="2"/>
        <v>1988</v>
      </c>
      <c r="I31" s="93">
        <v>106111</v>
      </c>
      <c r="J31" s="93">
        <v>0</v>
      </c>
      <c r="K31" s="92">
        <f t="shared" si="3"/>
        <v>1989</v>
      </c>
      <c r="L31" s="93">
        <v>3712</v>
      </c>
      <c r="M31" s="93">
        <v>7310</v>
      </c>
      <c r="N31" s="92">
        <f t="shared" si="4"/>
        <v>1990</v>
      </c>
      <c r="O31" s="93">
        <v>0</v>
      </c>
      <c r="P31" s="93"/>
      <c r="Q31" s="103">
        <f t="shared" si="5"/>
        <v>1984</v>
      </c>
      <c r="R31" s="104">
        <f>D31+F31+G31+I31+J31+L31+M31+O31+P31</f>
        <v>117133</v>
      </c>
      <c r="S31" s="105">
        <f t="shared" si="8"/>
        <v>3.242795049970931</v>
      </c>
      <c r="T31" s="92">
        <f t="shared" si="6"/>
        <v>1986</v>
      </c>
      <c r="U31" s="163">
        <f t="shared" si="14"/>
        <v>50226</v>
      </c>
      <c r="Y31" s="106">
        <f t="shared" si="10"/>
        <v>1984</v>
      </c>
      <c r="Z31" s="3">
        <f t="shared" si="11"/>
        <v>84</v>
      </c>
      <c r="AA31" s="44">
        <f>R31+SUM(F62:G62)</f>
        <v>117625.756075</v>
      </c>
      <c r="AB31" s="107">
        <f t="shared" si="12"/>
        <v>3.256436867057944</v>
      </c>
      <c r="AC31" s="107">
        <v>4.6220291645437426</v>
      </c>
      <c r="AD31" s="88">
        <f t="shared" si="13"/>
        <v>1984</v>
      </c>
      <c r="AE31" s="34">
        <v>36121</v>
      </c>
      <c r="AF31" s="107">
        <v>3.2569163899968694</v>
      </c>
      <c r="AG31" s="108">
        <f t="shared" si="9"/>
        <v>3.8550441298255023</v>
      </c>
      <c r="AV31" s="9"/>
      <c r="AW31" s="89"/>
      <c r="AX31" s="13"/>
      <c r="AY31" s="9"/>
      <c r="AZ31" s="9"/>
      <c r="BA31" s="9"/>
      <c r="BB31" s="9"/>
    </row>
    <row r="32" spans="1:54">
      <c r="A32" s="154">
        <v>1985</v>
      </c>
      <c r="B32" s="91">
        <v>26178</v>
      </c>
      <c r="C32" s="115">
        <f t="shared" si="0"/>
        <v>1987</v>
      </c>
      <c r="D32" s="102" t="s">
        <v>33</v>
      </c>
      <c r="E32" s="92">
        <f t="shared" si="1"/>
        <v>1988</v>
      </c>
      <c r="F32" s="93">
        <v>224</v>
      </c>
      <c r="G32" s="93">
        <v>1121</v>
      </c>
      <c r="H32" s="92">
        <f t="shared" si="2"/>
        <v>1989</v>
      </c>
      <c r="I32" s="93">
        <v>45000</v>
      </c>
      <c r="J32" s="93">
        <v>0</v>
      </c>
      <c r="K32" s="92">
        <f t="shared" si="3"/>
        <v>1990</v>
      </c>
      <c r="L32" s="93">
        <v>8692</v>
      </c>
      <c r="M32" s="93">
        <v>2840</v>
      </c>
      <c r="N32" s="92">
        <f t="shared" si="4"/>
        <v>1991</v>
      </c>
      <c r="O32" s="93">
        <v>261</v>
      </c>
      <c r="P32" s="93"/>
      <c r="Q32" s="103">
        <f t="shared" si="5"/>
        <v>1985</v>
      </c>
      <c r="R32" s="104">
        <f t="shared" ref="R32:R38" si="16">D32+F32+G32+I32+J32+L32+M32+O32+P32</f>
        <v>58138</v>
      </c>
      <c r="S32" s="105">
        <f t="shared" si="8"/>
        <v>2.2208724883489954</v>
      </c>
      <c r="T32" s="111">
        <f t="shared" si="6"/>
        <v>1987</v>
      </c>
      <c r="U32" s="155" t="s">
        <v>39</v>
      </c>
      <c r="V32" s="116"/>
      <c r="Y32" s="3">
        <f t="shared" si="10"/>
        <v>1985</v>
      </c>
      <c r="Z32" s="3">
        <f t="shared" si="11"/>
        <v>85</v>
      </c>
      <c r="AA32" s="44">
        <f>R32+D62</f>
        <v>58146.642857142855</v>
      </c>
      <c r="AB32" s="107">
        <f t="shared" si="12"/>
        <v>2.2212026456239151</v>
      </c>
      <c r="AC32" s="107">
        <v>4.6220291645437426</v>
      </c>
      <c r="AD32" s="88">
        <f t="shared" si="13"/>
        <v>1985</v>
      </c>
      <c r="AE32" s="34">
        <v>26178</v>
      </c>
      <c r="AF32" s="107">
        <v>2.2123156849262742</v>
      </c>
      <c r="AG32" s="108">
        <f t="shared" si="9"/>
        <v>4.838980885167655</v>
      </c>
      <c r="AV32" s="9"/>
      <c r="AW32" s="113"/>
      <c r="AX32" s="13"/>
      <c r="AY32" s="9"/>
      <c r="AZ32" s="9"/>
      <c r="BA32" s="9"/>
      <c r="BB32" s="9"/>
    </row>
    <row r="33" spans="1:54">
      <c r="A33" s="154">
        <v>1986</v>
      </c>
      <c r="B33" s="91">
        <v>6949</v>
      </c>
      <c r="C33" s="92">
        <f t="shared" si="0"/>
        <v>1988</v>
      </c>
      <c r="D33" s="93"/>
      <c r="E33" s="92">
        <f t="shared" si="1"/>
        <v>1989</v>
      </c>
      <c r="F33" s="93">
        <v>0</v>
      </c>
      <c r="G33" s="93">
        <v>571</v>
      </c>
      <c r="H33" s="92">
        <f t="shared" si="2"/>
        <v>1990</v>
      </c>
      <c r="I33" s="93">
        <v>31498</v>
      </c>
      <c r="J33" s="93">
        <v>43</v>
      </c>
      <c r="K33" s="92">
        <f t="shared" si="3"/>
        <v>1991</v>
      </c>
      <c r="L33" s="93">
        <v>1762</v>
      </c>
      <c r="M33" s="93">
        <v>6002</v>
      </c>
      <c r="N33" s="92">
        <f t="shared" si="4"/>
        <v>1992</v>
      </c>
      <c r="O33" s="93">
        <v>70</v>
      </c>
      <c r="P33" s="93"/>
      <c r="Q33" s="103">
        <f t="shared" si="5"/>
        <v>1986</v>
      </c>
      <c r="R33" s="104">
        <f t="shared" si="16"/>
        <v>39946</v>
      </c>
      <c r="S33" s="105">
        <f t="shared" si="8"/>
        <v>5.7484530148222763</v>
      </c>
      <c r="T33" s="92">
        <f t="shared" si="6"/>
        <v>1988</v>
      </c>
      <c r="U33" s="163">
        <f t="shared" ref="U33:U41" si="17">D33+F32+G32+I31+J31+L30+M30+O29+P29</f>
        <v>112050</v>
      </c>
      <c r="Y33" s="3">
        <f t="shared" si="10"/>
        <v>1986</v>
      </c>
      <c r="Z33" s="3">
        <f t="shared" si="11"/>
        <v>86</v>
      </c>
      <c r="AA33" s="34">
        <f t="shared" ref="AA33:AA38" si="18">R33</f>
        <v>39946</v>
      </c>
      <c r="AB33" s="107">
        <f t="shared" si="12"/>
        <v>5.7484530148222763</v>
      </c>
      <c r="AC33" s="107">
        <v>4.6220291645437426</v>
      </c>
      <c r="AD33" s="88">
        <f t="shared" si="13"/>
        <v>1986</v>
      </c>
      <c r="AE33" s="34">
        <v>6949</v>
      </c>
      <c r="AF33" s="107">
        <v>5.7422650741113825</v>
      </c>
      <c r="AG33" s="108">
        <f t="shared" si="9"/>
        <v>6.7418391642055964</v>
      </c>
      <c r="AV33" s="9"/>
      <c r="AW33" s="89"/>
      <c r="AX33" s="13"/>
      <c r="AY33" s="9"/>
      <c r="AZ33" s="9"/>
      <c r="BA33" s="9"/>
      <c r="BB33" s="9"/>
    </row>
    <row r="34" spans="1:54">
      <c r="A34" s="154">
        <v>1987</v>
      </c>
      <c r="B34" s="117" t="s">
        <v>39</v>
      </c>
      <c r="C34" s="92">
        <f t="shared" si="0"/>
        <v>1989</v>
      </c>
      <c r="D34" s="93"/>
      <c r="E34" s="92">
        <f t="shared" si="1"/>
        <v>1990</v>
      </c>
      <c r="F34" s="93">
        <v>0</v>
      </c>
      <c r="G34" s="93">
        <v>0</v>
      </c>
      <c r="H34" s="92">
        <f t="shared" si="2"/>
        <v>1991</v>
      </c>
      <c r="I34" s="93">
        <v>56108</v>
      </c>
      <c r="J34" s="93">
        <v>261</v>
      </c>
      <c r="K34" s="92">
        <f t="shared" si="3"/>
        <v>1992</v>
      </c>
      <c r="L34" s="93">
        <v>1617</v>
      </c>
      <c r="M34" s="93">
        <v>1687</v>
      </c>
      <c r="N34" s="92">
        <f t="shared" si="4"/>
        <v>1993</v>
      </c>
      <c r="O34" s="93">
        <v>523</v>
      </c>
      <c r="P34" s="93"/>
      <c r="Q34" s="103">
        <f t="shared" si="5"/>
        <v>1987</v>
      </c>
      <c r="R34" s="104">
        <f t="shared" si="16"/>
        <v>60196</v>
      </c>
      <c r="S34" s="105"/>
      <c r="T34" s="92">
        <f t="shared" si="6"/>
        <v>1989</v>
      </c>
      <c r="U34" s="163">
        <f t="shared" si="17"/>
        <v>57107</v>
      </c>
      <c r="Y34" s="3">
        <f t="shared" si="10"/>
        <v>1987</v>
      </c>
      <c r="Z34" s="3">
        <f t="shared" si="11"/>
        <v>87</v>
      </c>
      <c r="AA34" s="34">
        <f t="shared" si="18"/>
        <v>60196</v>
      </c>
      <c r="AB34" s="118" t="s">
        <v>40</v>
      </c>
      <c r="AC34" s="107">
        <v>4.6220291645437426</v>
      </c>
      <c r="AD34" s="88">
        <f>AD33+2</f>
        <v>1988</v>
      </c>
      <c r="AE34" s="34">
        <v>31747</v>
      </c>
      <c r="AF34" s="107">
        <v>2.9418212744511294</v>
      </c>
      <c r="AG34" s="108">
        <f t="shared" si="9"/>
        <v>4.2878852610601976</v>
      </c>
      <c r="AV34" s="9"/>
      <c r="AW34" s="89"/>
      <c r="AX34" s="13"/>
      <c r="AY34" s="9"/>
      <c r="AZ34" s="9"/>
      <c r="BA34" s="9"/>
      <c r="BB34" s="9"/>
    </row>
    <row r="35" spans="1:54">
      <c r="A35" s="154">
        <v>1988</v>
      </c>
      <c r="B35" s="91">
        <v>31747</v>
      </c>
      <c r="C35" s="92">
        <f t="shared" si="0"/>
        <v>1990</v>
      </c>
      <c r="D35" s="93"/>
      <c r="E35" s="92">
        <f t="shared" si="1"/>
        <v>1991</v>
      </c>
      <c r="F35" s="93">
        <v>130</v>
      </c>
      <c r="G35" s="93">
        <v>652</v>
      </c>
      <c r="H35" s="92">
        <f t="shared" si="2"/>
        <v>1992</v>
      </c>
      <c r="I35" s="93">
        <v>65109</v>
      </c>
      <c r="J35" s="93">
        <v>352</v>
      </c>
      <c r="K35" s="92">
        <f t="shared" si="3"/>
        <v>1993</v>
      </c>
      <c r="L35" s="93">
        <v>7925</v>
      </c>
      <c r="M35" s="93">
        <v>18542</v>
      </c>
      <c r="N35" s="92">
        <f t="shared" si="4"/>
        <v>1994</v>
      </c>
      <c r="O35" s="93">
        <v>1166</v>
      </c>
      <c r="P35" s="93"/>
      <c r="Q35" s="103">
        <f t="shared" si="5"/>
        <v>1988</v>
      </c>
      <c r="R35" s="104">
        <f t="shared" si="16"/>
        <v>93876</v>
      </c>
      <c r="S35" s="105">
        <f>R35/B35</f>
        <v>2.9570038113837529</v>
      </c>
      <c r="T35" s="92">
        <f t="shared" si="6"/>
        <v>1990</v>
      </c>
      <c r="U35" s="163">
        <f t="shared" si="17"/>
        <v>43073</v>
      </c>
      <c r="Y35" s="106">
        <f t="shared" si="10"/>
        <v>1988</v>
      </c>
      <c r="Z35" s="3">
        <f t="shared" si="11"/>
        <v>88</v>
      </c>
      <c r="AA35" s="34">
        <f t="shared" si="18"/>
        <v>93876</v>
      </c>
      <c r="AB35" s="107">
        <f t="shared" ref="AB35:AB40" si="19">AA35/B35</f>
        <v>2.9570038113837529</v>
      </c>
      <c r="AC35" s="107">
        <v>4.6220291645437426</v>
      </c>
      <c r="AD35" s="88">
        <f>AD34+1</f>
        <v>1989</v>
      </c>
      <c r="AE35" s="34">
        <v>57106</v>
      </c>
      <c r="AF35" s="107">
        <v>1.2154764823311035</v>
      </c>
      <c r="AG35" s="108">
        <f t="shared" si="9"/>
        <v>1.7784160687921045</v>
      </c>
      <c r="AV35" s="9"/>
      <c r="AW35" s="89"/>
      <c r="AX35" s="13"/>
      <c r="AY35" s="9"/>
      <c r="AZ35" s="9"/>
      <c r="BA35" s="9"/>
      <c r="BB35" s="9"/>
    </row>
    <row r="36" spans="1:54">
      <c r="A36" s="154">
        <v>1989</v>
      </c>
      <c r="B36" s="91">
        <v>57106</v>
      </c>
      <c r="C36" s="92">
        <f t="shared" si="0"/>
        <v>1991</v>
      </c>
      <c r="D36" s="93">
        <v>65</v>
      </c>
      <c r="E36" s="92">
        <f t="shared" si="1"/>
        <v>1992</v>
      </c>
      <c r="F36" s="93">
        <v>914</v>
      </c>
      <c r="G36" s="93">
        <v>562</v>
      </c>
      <c r="H36" s="92">
        <f t="shared" si="2"/>
        <v>1993</v>
      </c>
      <c r="I36" s="93">
        <v>47102</v>
      </c>
      <c r="J36" s="93">
        <v>0</v>
      </c>
      <c r="K36" s="92">
        <f t="shared" si="3"/>
        <v>1994</v>
      </c>
      <c r="L36" s="93">
        <v>1554</v>
      </c>
      <c r="M36" s="93">
        <v>19814</v>
      </c>
      <c r="N36" s="92">
        <f t="shared" si="4"/>
        <v>1995</v>
      </c>
      <c r="O36" s="93">
        <v>379</v>
      </c>
      <c r="P36" s="93"/>
      <c r="Q36" s="103">
        <f t="shared" si="5"/>
        <v>1989</v>
      </c>
      <c r="R36" s="104">
        <f t="shared" si="16"/>
        <v>70390</v>
      </c>
      <c r="S36" s="105">
        <f>R36/B36</f>
        <v>1.2326200399257521</v>
      </c>
      <c r="T36" s="92">
        <f t="shared" si="6"/>
        <v>1991</v>
      </c>
      <c r="U36" s="163">
        <f t="shared" si="17"/>
        <v>65241</v>
      </c>
      <c r="Y36" s="3">
        <f t="shared" si="10"/>
        <v>1989</v>
      </c>
      <c r="Z36" s="3">
        <f t="shared" si="11"/>
        <v>89</v>
      </c>
      <c r="AA36" s="34">
        <f t="shared" si="18"/>
        <v>70390</v>
      </c>
      <c r="AB36" s="107">
        <f t="shared" si="19"/>
        <v>1.2326200399257521</v>
      </c>
      <c r="AC36" s="107">
        <v>4.6220291645437426</v>
      </c>
      <c r="AD36" s="88">
        <f>AD35+1</f>
        <v>1990</v>
      </c>
      <c r="AE36" s="34">
        <v>14191</v>
      </c>
      <c r="AF36" s="107">
        <v>4.0434077936720456</v>
      </c>
      <c r="AG36" s="108">
        <f t="shared" si="9"/>
        <v>6.0251872500762724</v>
      </c>
      <c r="AV36" s="9"/>
      <c r="AW36" s="89"/>
      <c r="AX36" s="13"/>
      <c r="AY36" s="9"/>
      <c r="AZ36" s="9"/>
      <c r="BA36" s="9"/>
      <c r="BB36" s="9"/>
    </row>
    <row r="37" spans="1:54">
      <c r="A37" s="154">
        <v>1990</v>
      </c>
      <c r="B37" s="91">
        <v>14191</v>
      </c>
      <c r="C37" s="92">
        <f t="shared" si="0"/>
        <v>1992</v>
      </c>
      <c r="D37" s="93"/>
      <c r="E37" s="92">
        <f t="shared" si="1"/>
        <v>1993</v>
      </c>
      <c r="F37" s="93">
        <v>523</v>
      </c>
      <c r="G37" s="93">
        <v>150</v>
      </c>
      <c r="H37" s="92">
        <f t="shared" si="2"/>
        <v>1994</v>
      </c>
      <c r="I37" s="93">
        <v>52371</v>
      </c>
      <c r="J37" s="93">
        <v>544</v>
      </c>
      <c r="K37" s="92">
        <f t="shared" si="3"/>
        <v>1995</v>
      </c>
      <c r="L37" s="93">
        <v>2441</v>
      </c>
      <c r="M37" s="93">
        <v>2180</v>
      </c>
      <c r="N37" s="92">
        <f t="shared" si="4"/>
        <v>1996</v>
      </c>
      <c r="O37" s="93">
        <v>238</v>
      </c>
      <c r="P37" s="93"/>
      <c r="Q37" s="103">
        <f t="shared" si="5"/>
        <v>1990</v>
      </c>
      <c r="R37" s="104">
        <f t="shared" si="16"/>
        <v>58447</v>
      </c>
      <c r="S37" s="105">
        <f>R37/B37</f>
        <v>4.1185962934254103</v>
      </c>
      <c r="T37" s="92">
        <f t="shared" si="6"/>
        <v>1992</v>
      </c>
      <c r="U37" s="163">
        <f t="shared" si="17"/>
        <v>70311</v>
      </c>
      <c r="Y37" s="3">
        <f t="shared" si="10"/>
        <v>1990</v>
      </c>
      <c r="Z37" s="3">
        <f t="shared" si="11"/>
        <v>90</v>
      </c>
      <c r="AA37" s="34">
        <f t="shared" si="18"/>
        <v>58447</v>
      </c>
      <c r="AB37" s="107">
        <f t="shared" si="19"/>
        <v>4.1185962934254103</v>
      </c>
      <c r="AC37" s="107">
        <v>4.6220291645437426</v>
      </c>
      <c r="AD37" s="88">
        <f>AD36+1</f>
        <v>1991</v>
      </c>
      <c r="AE37" s="34">
        <v>45814</v>
      </c>
      <c r="AF37" s="107">
        <v>0.51453704107914611</v>
      </c>
      <c r="AG37" s="108">
        <f t="shared" si="9"/>
        <v>2.8958468081387396</v>
      </c>
      <c r="AV37" s="9"/>
      <c r="AW37" s="89"/>
      <c r="AX37" s="13"/>
      <c r="AY37" s="9"/>
      <c r="AZ37" s="9"/>
      <c r="BA37" s="9"/>
      <c r="BB37" s="9"/>
    </row>
    <row r="38" spans="1:54">
      <c r="A38" s="154">
        <v>1991</v>
      </c>
      <c r="B38" s="91">
        <v>45814</v>
      </c>
      <c r="C38" s="92">
        <f t="shared" si="0"/>
        <v>1993</v>
      </c>
      <c r="D38" s="93"/>
      <c r="E38" s="92">
        <f t="shared" si="1"/>
        <v>1994</v>
      </c>
      <c r="F38" s="93">
        <v>0</v>
      </c>
      <c r="G38" s="93">
        <v>2176</v>
      </c>
      <c r="H38" s="92">
        <f t="shared" si="2"/>
        <v>1995</v>
      </c>
      <c r="I38" s="93">
        <v>17961</v>
      </c>
      <c r="J38" s="93">
        <v>190</v>
      </c>
      <c r="K38" s="92">
        <f t="shared" si="3"/>
        <v>1996</v>
      </c>
      <c r="L38" s="93">
        <v>1549</v>
      </c>
      <c r="M38" s="93">
        <v>1887</v>
      </c>
      <c r="N38" s="92">
        <f t="shared" si="4"/>
        <v>1997</v>
      </c>
      <c r="O38" s="93">
        <f>0.003*55583</f>
        <v>166.749</v>
      </c>
      <c r="P38" s="93"/>
      <c r="Q38" s="103">
        <f t="shared" si="5"/>
        <v>1991</v>
      </c>
      <c r="R38" s="104">
        <f t="shared" si="16"/>
        <v>23929.749</v>
      </c>
      <c r="S38" s="105">
        <f>R38/B38</f>
        <v>0.52232394028026363</v>
      </c>
      <c r="T38" s="103">
        <f t="shared" si="6"/>
        <v>1993</v>
      </c>
      <c r="U38" s="163">
        <f t="shared" si="17"/>
        <v>74765</v>
      </c>
      <c r="Y38" s="3">
        <f t="shared" si="10"/>
        <v>1991</v>
      </c>
      <c r="Z38" s="3">
        <f t="shared" si="11"/>
        <v>91</v>
      </c>
      <c r="AA38" s="34">
        <f t="shared" si="18"/>
        <v>23929.749</v>
      </c>
      <c r="AB38" s="107">
        <f t="shared" si="19"/>
        <v>0.52232394028026363</v>
      </c>
      <c r="AC38" s="107">
        <v>4.6220291645437426</v>
      </c>
      <c r="AD38" s="88">
        <f>AD37+1</f>
        <v>1992</v>
      </c>
      <c r="AE38" s="34">
        <v>30627</v>
      </c>
      <c r="AF38" s="119">
        <v>1.1167647450339193</v>
      </c>
      <c r="AG38" s="108">
        <f t="shared" si="9"/>
        <v>4.398717923836343</v>
      </c>
      <c r="AV38" s="9"/>
      <c r="AW38" s="120"/>
      <c r="AX38" s="13"/>
      <c r="AY38" s="9"/>
      <c r="AZ38" s="9"/>
      <c r="BA38" s="9"/>
      <c r="BB38" s="9"/>
    </row>
    <row r="39" spans="1:54">
      <c r="A39" s="154">
        <v>1992</v>
      </c>
      <c r="B39" s="91">
        <v>30627</v>
      </c>
      <c r="C39" s="92">
        <f t="shared" si="0"/>
        <v>1994</v>
      </c>
      <c r="D39" s="93"/>
      <c r="E39" s="92">
        <f t="shared" si="1"/>
        <v>1995</v>
      </c>
      <c r="F39" s="93">
        <v>0</v>
      </c>
      <c r="G39" s="93">
        <v>521</v>
      </c>
      <c r="H39" s="92">
        <f t="shared" si="2"/>
        <v>1996</v>
      </c>
      <c r="I39" s="93">
        <v>15014</v>
      </c>
      <c r="J39" s="93">
        <v>377</v>
      </c>
      <c r="K39" s="92">
        <f t="shared" si="3"/>
        <v>1997</v>
      </c>
      <c r="L39" s="93">
        <f>0.016*55583</f>
        <v>889.32799999999997</v>
      </c>
      <c r="M39" s="93">
        <f>0.13*55583</f>
        <v>7225.79</v>
      </c>
      <c r="N39" s="121">
        <f t="shared" si="4"/>
        <v>1998</v>
      </c>
      <c r="O39" s="122"/>
      <c r="P39" s="122"/>
      <c r="Q39" s="103">
        <v>1992</v>
      </c>
      <c r="R39" s="104">
        <f>D39+F39+G39+I39+J39+L39+M39+O62+P62</f>
        <v>24570.894398373988</v>
      </c>
      <c r="S39" s="105">
        <f t="shared" ref="S39:S50" si="20">R39/B39</f>
        <v>0.802262526475789</v>
      </c>
      <c r="T39" s="92">
        <f t="shared" si="6"/>
        <v>1994</v>
      </c>
      <c r="U39" s="163">
        <f t="shared" si="17"/>
        <v>77625</v>
      </c>
      <c r="Y39" s="106">
        <f t="shared" si="10"/>
        <v>1992</v>
      </c>
      <c r="Z39" s="3">
        <f t="shared" si="11"/>
        <v>92</v>
      </c>
      <c r="AA39" s="44">
        <f>R39+SUM(O62:P62)</f>
        <v>25114.670796747971</v>
      </c>
      <c r="AB39" s="107">
        <f t="shared" si="19"/>
        <v>0.82001733100688834</v>
      </c>
      <c r="AC39" s="107">
        <v>4.6220291645437426</v>
      </c>
      <c r="AD39" s="88"/>
      <c r="AG39" s="34"/>
      <c r="AV39" s="9"/>
      <c r="AW39" s="89"/>
      <c r="AX39" s="13"/>
      <c r="AY39" s="9"/>
      <c r="AZ39" s="9"/>
      <c r="BA39" s="9"/>
      <c r="BB39" s="9"/>
    </row>
    <row r="40" spans="1:54">
      <c r="A40" s="154">
        <v>1993</v>
      </c>
      <c r="B40" s="91">
        <v>34657</v>
      </c>
      <c r="C40" s="92">
        <f t="shared" si="0"/>
        <v>1995</v>
      </c>
      <c r="D40" s="93"/>
      <c r="E40" s="92">
        <f t="shared" si="1"/>
        <v>1996</v>
      </c>
      <c r="F40" s="93">
        <v>79</v>
      </c>
      <c r="G40" s="93">
        <v>715</v>
      </c>
      <c r="H40" s="92">
        <f t="shared" si="2"/>
        <v>1997</v>
      </c>
      <c r="I40" s="93">
        <f>0.778*55583</f>
        <v>43243.574000000001</v>
      </c>
      <c r="J40" s="93">
        <f>0.052*55583</f>
        <v>2890.3159999999998</v>
      </c>
      <c r="K40" s="121">
        <f t="shared" si="3"/>
        <v>1998</v>
      </c>
      <c r="L40" s="122"/>
      <c r="M40" s="122"/>
      <c r="N40" s="92">
        <f t="shared" si="4"/>
        <v>1999</v>
      </c>
      <c r="O40" s="93">
        <v>833</v>
      </c>
      <c r="P40" s="93"/>
      <c r="Q40" s="103">
        <v>1993</v>
      </c>
      <c r="R40" s="104">
        <f>D40+F40+G40+I40+J40+L62+M62+O62+P62</f>
        <v>64449.069348373974</v>
      </c>
      <c r="S40" s="105">
        <f t="shared" si="20"/>
        <v>1.8596263193113649</v>
      </c>
      <c r="T40" s="92">
        <f t="shared" si="6"/>
        <v>1995</v>
      </c>
      <c r="U40" s="163">
        <f t="shared" si="17"/>
        <v>23672</v>
      </c>
      <c r="Y40" s="99">
        <v>1993</v>
      </c>
      <c r="Z40" s="99">
        <v>93</v>
      </c>
      <c r="AA40" s="123">
        <f>R40+SUM(L62:P62)</f>
        <v>81970.248696747964</v>
      </c>
      <c r="AB40" s="119">
        <f t="shared" si="19"/>
        <v>2.3651859277129574</v>
      </c>
      <c r="AC40" s="119">
        <v>4.6220291645437426</v>
      </c>
      <c r="AD40" s="124"/>
      <c r="AE40" s="99"/>
      <c r="AF40" s="99"/>
      <c r="AG40" s="99"/>
      <c r="AV40" s="9"/>
      <c r="AW40" s="89"/>
      <c r="AX40" s="13"/>
      <c r="AY40" s="9"/>
      <c r="AZ40" s="9"/>
      <c r="BA40" s="9"/>
      <c r="BB40" s="9"/>
    </row>
    <row r="41" spans="1:54">
      <c r="A41" s="154">
        <v>1994</v>
      </c>
      <c r="B41" s="91">
        <v>23910</v>
      </c>
      <c r="C41" s="92">
        <f t="shared" si="0"/>
        <v>1996</v>
      </c>
      <c r="D41" s="93"/>
      <c r="E41" s="92">
        <f t="shared" si="1"/>
        <v>1997</v>
      </c>
      <c r="F41" s="93">
        <v>0</v>
      </c>
      <c r="G41" s="93">
        <f>0.021*55583</f>
        <v>1167.2430000000002</v>
      </c>
      <c r="H41" s="121">
        <f t="shared" si="2"/>
        <v>1998</v>
      </c>
      <c r="I41" s="122"/>
      <c r="J41" s="122"/>
      <c r="K41" s="92">
        <f t="shared" si="3"/>
        <v>1999</v>
      </c>
      <c r="L41" s="93">
        <v>778</v>
      </c>
      <c r="M41" s="93">
        <v>7193</v>
      </c>
      <c r="N41" s="92">
        <f t="shared" si="4"/>
        <v>2000</v>
      </c>
      <c r="O41" s="93">
        <v>260</v>
      </c>
      <c r="P41" s="93">
        <v>0</v>
      </c>
      <c r="Q41" s="103">
        <v>1994</v>
      </c>
      <c r="R41" s="104">
        <f>D41+F41+G41+I62+J62+L41+M41+O41+P41</f>
        <v>54700.44025</v>
      </c>
      <c r="S41" s="105">
        <f t="shared" si="20"/>
        <v>2.2877641258887493</v>
      </c>
      <c r="T41" s="92">
        <f t="shared" si="6"/>
        <v>1996</v>
      </c>
      <c r="U41" s="163">
        <f t="shared" si="17"/>
        <v>19859</v>
      </c>
      <c r="Y41" s="9"/>
      <c r="Z41" s="9"/>
      <c r="AA41" s="202"/>
      <c r="AB41" s="203"/>
      <c r="AC41" s="203"/>
      <c r="AD41" s="9"/>
      <c r="AE41" s="9"/>
      <c r="AF41" s="9"/>
      <c r="AG41" s="9"/>
      <c r="AV41" s="9"/>
      <c r="AW41" s="89"/>
      <c r="AX41" s="13"/>
      <c r="AY41" s="9"/>
      <c r="AZ41" s="9"/>
      <c r="BA41" s="9"/>
      <c r="BB41" s="9"/>
    </row>
    <row r="42" spans="1:54">
      <c r="A42" s="154">
        <v>1995</v>
      </c>
      <c r="B42" s="117">
        <f>(21701+5000)*0.5727</f>
        <v>15291.662699999999</v>
      </c>
      <c r="C42" s="92">
        <f t="shared" si="0"/>
        <v>1997</v>
      </c>
      <c r="D42" s="93"/>
      <c r="E42" s="121">
        <f t="shared" si="1"/>
        <v>1998</v>
      </c>
      <c r="F42" s="122"/>
      <c r="G42" s="122"/>
      <c r="H42" s="92">
        <f t="shared" si="2"/>
        <v>1999</v>
      </c>
      <c r="I42" s="93">
        <v>21168</v>
      </c>
      <c r="J42" s="93">
        <v>30</v>
      </c>
      <c r="K42" s="92">
        <f t="shared" si="3"/>
        <v>2000</v>
      </c>
      <c r="L42" s="93">
        <v>3236</v>
      </c>
      <c r="M42" s="93">
        <v>2691</v>
      </c>
      <c r="N42" s="92">
        <f t="shared" si="4"/>
        <v>2001</v>
      </c>
      <c r="O42" s="93">
        <v>233</v>
      </c>
      <c r="P42" s="93"/>
      <c r="Q42" s="92">
        <v>1995</v>
      </c>
      <c r="R42" s="104">
        <f>D42+F62+G62+I42+J42+L42+M42+O42+P42</f>
        <v>27850.756075000001</v>
      </c>
      <c r="S42" s="105">
        <f t="shared" si="20"/>
        <v>1.8213033220383552</v>
      </c>
      <c r="T42" s="92">
        <f t="shared" si="6"/>
        <v>1997</v>
      </c>
      <c r="U42" s="163">
        <f>D42+F41+G41+I40+J40+L39+M39+O38+P38</f>
        <v>55583.000000000007</v>
      </c>
      <c r="Y42" s="9"/>
      <c r="Z42" s="9"/>
      <c r="AA42" s="202"/>
      <c r="AB42" s="203"/>
      <c r="AC42" s="203"/>
      <c r="AD42" s="9"/>
      <c r="AE42" s="9"/>
      <c r="AF42" s="9"/>
      <c r="AG42" s="9"/>
      <c r="AV42" s="9"/>
      <c r="AW42" s="89"/>
      <c r="AX42" s="13"/>
      <c r="AY42" s="9"/>
      <c r="AZ42" s="9"/>
      <c r="BA42" s="9"/>
      <c r="BB42" s="9"/>
    </row>
    <row r="43" spans="1:54">
      <c r="A43" s="154">
        <v>1996</v>
      </c>
      <c r="B43" s="117">
        <v>5271</v>
      </c>
      <c r="C43" s="121">
        <f>A43+2</f>
        <v>1998</v>
      </c>
      <c r="D43" s="122"/>
      <c r="E43" s="92">
        <f t="shared" si="1"/>
        <v>1999</v>
      </c>
      <c r="F43" s="93">
        <v>3</v>
      </c>
      <c r="G43" s="93">
        <v>726</v>
      </c>
      <c r="H43" s="92">
        <f t="shared" si="2"/>
        <v>2000</v>
      </c>
      <c r="I43" s="93">
        <f>56194+78</f>
        <v>56272</v>
      </c>
      <c r="J43" s="93">
        <v>666</v>
      </c>
      <c r="K43" s="92">
        <f t="shared" si="3"/>
        <v>2001</v>
      </c>
      <c r="L43" s="93">
        <v>3366</v>
      </c>
      <c r="M43" s="93">
        <v>4030</v>
      </c>
      <c r="N43" s="92">
        <f t="shared" si="4"/>
        <v>2002</v>
      </c>
      <c r="O43" s="93">
        <v>741</v>
      </c>
      <c r="P43" s="93">
        <v>0</v>
      </c>
      <c r="Q43" s="92">
        <v>1996</v>
      </c>
      <c r="R43" s="104">
        <f t="shared" ref="R43:R54" si="21">D43+F43+G43+I43+J43+L43+M43+O43+P43</f>
        <v>65804</v>
      </c>
      <c r="S43" s="105">
        <f>R43/B43</f>
        <v>12.484158603680516</v>
      </c>
      <c r="T43" s="92">
        <f t="shared" si="6"/>
        <v>1998</v>
      </c>
      <c r="U43" s="155" t="s">
        <v>39</v>
      </c>
      <c r="W43" s="3" t="s">
        <v>41</v>
      </c>
      <c r="Y43" s="9"/>
      <c r="Z43" s="9"/>
      <c r="AA43" s="202"/>
      <c r="AB43" s="203"/>
      <c r="AC43" s="203"/>
      <c r="AD43" s="9"/>
      <c r="AE43" s="9"/>
      <c r="AF43" s="9"/>
      <c r="AG43" s="9"/>
      <c r="AV43" s="9"/>
      <c r="AW43" s="89"/>
      <c r="AX43" s="13"/>
      <c r="AY43" s="9"/>
      <c r="AZ43" s="9"/>
      <c r="BA43" s="9"/>
      <c r="BB43" s="9"/>
    </row>
    <row r="44" spans="1:54">
      <c r="A44" s="154">
        <v>1997</v>
      </c>
      <c r="B44" s="91">
        <v>41299</v>
      </c>
      <c r="C44" s="92">
        <f t="shared" si="0"/>
        <v>1999</v>
      </c>
      <c r="D44" s="93">
        <v>0</v>
      </c>
      <c r="E44" s="92">
        <f t="shared" si="1"/>
        <v>2000</v>
      </c>
      <c r="F44" s="93">
        <v>0</v>
      </c>
      <c r="G44" s="93">
        <v>1236</v>
      </c>
      <c r="H44" s="92">
        <f t="shared" si="2"/>
        <v>2001</v>
      </c>
      <c r="I44" s="93">
        <v>47070</v>
      </c>
      <c r="J44" s="93">
        <v>68</v>
      </c>
      <c r="K44" s="92">
        <f t="shared" si="3"/>
        <v>2002</v>
      </c>
      <c r="L44" s="93">
        <v>11054</v>
      </c>
      <c r="M44" s="93">
        <v>1937</v>
      </c>
      <c r="N44" s="92">
        <f t="shared" si="4"/>
        <v>2003</v>
      </c>
      <c r="O44" s="93">
        <v>3148</v>
      </c>
      <c r="P44" s="93">
        <v>0</v>
      </c>
      <c r="Q44" s="92">
        <v>1997</v>
      </c>
      <c r="R44" s="104">
        <f t="shared" si="21"/>
        <v>64513</v>
      </c>
      <c r="S44" s="105">
        <f t="shared" si="20"/>
        <v>1.5620959345262597</v>
      </c>
      <c r="T44" s="92">
        <f t="shared" si="6"/>
        <v>1999</v>
      </c>
      <c r="U44" s="163">
        <f t="shared" ref="U44:U49" si="22">D44+F43+G43+I42+J42+L41+M41+O40+P40</f>
        <v>30731</v>
      </c>
      <c r="W44" s="3" t="s">
        <v>43</v>
      </c>
      <c r="Y44" s="9"/>
      <c r="Z44" s="9"/>
      <c r="AA44" s="202"/>
      <c r="AB44" s="203"/>
      <c r="AC44" s="203"/>
      <c r="AD44" s="9"/>
      <c r="AE44" s="9"/>
      <c r="AF44" s="9"/>
      <c r="AG44" s="9"/>
      <c r="AV44" s="9"/>
      <c r="AW44" s="89"/>
      <c r="AX44" s="13"/>
      <c r="AY44" s="9"/>
      <c r="AZ44" s="9"/>
      <c r="BA44" s="9"/>
      <c r="BB44" s="9"/>
    </row>
    <row r="45" spans="1:54">
      <c r="A45" s="154">
        <v>1998</v>
      </c>
      <c r="B45" s="117" t="s">
        <v>39</v>
      </c>
      <c r="C45" s="92">
        <v>2000</v>
      </c>
      <c r="D45" s="93">
        <v>34</v>
      </c>
      <c r="E45" s="92">
        <v>2001</v>
      </c>
      <c r="F45" s="93">
        <v>0</v>
      </c>
      <c r="G45" s="93">
        <v>420</v>
      </c>
      <c r="H45" s="92">
        <v>2002</v>
      </c>
      <c r="I45" s="93">
        <v>60805</v>
      </c>
      <c r="J45" s="93">
        <v>0</v>
      </c>
      <c r="K45" s="92">
        <v>2003</v>
      </c>
      <c r="L45" s="93">
        <v>16761</v>
      </c>
      <c r="M45" s="93">
        <v>13507</v>
      </c>
      <c r="N45" s="92">
        <v>2004</v>
      </c>
      <c r="O45" s="93">
        <v>376</v>
      </c>
      <c r="P45" s="93">
        <v>0</v>
      </c>
      <c r="Q45" s="92">
        <v>1998</v>
      </c>
      <c r="R45" s="104">
        <f t="shared" si="21"/>
        <v>91903</v>
      </c>
      <c r="S45" s="105" t="s">
        <v>40</v>
      </c>
      <c r="T45" s="92">
        <v>2000</v>
      </c>
      <c r="U45" s="163">
        <f t="shared" si="22"/>
        <v>64395</v>
      </c>
      <c r="W45" s="3" t="s">
        <v>44</v>
      </c>
      <c r="Y45" s="9"/>
      <c r="Z45" s="9"/>
      <c r="AA45" s="202"/>
      <c r="AB45" s="203"/>
      <c r="AC45" s="203"/>
      <c r="AD45" s="9"/>
      <c r="AE45" s="9"/>
      <c r="AF45" s="9"/>
      <c r="AG45" s="9"/>
      <c r="AV45" s="9"/>
      <c r="AW45" s="89"/>
      <c r="AX45" s="13"/>
      <c r="AY45" s="9"/>
      <c r="AZ45" s="9"/>
      <c r="BA45" s="9"/>
      <c r="BB45" s="9"/>
    </row>
    <row r="46" spans="1:54" ht="16" thickBot="1">
      <c r="A46" s="154">
        <v>1999</v>
      </c>
      <c r="B46" s="91">
        <v>27057</v>
      </c>
      <c r="C46" s="92">
        <v>2001</v>
      </c>
      <c r="D46" s="93">
        <v>0</v>
      </c>
      <c r="E46" s="92">
        <v>2002</v>
      </c>
      <c r="F46" s="93">
        <v>0</v>
      </c>
      <c r="G46" s="93">
        <v>245</v>
      </c>
      <c r="H46" s="92">
        <v>2003</v>
      </c>
      <c r="I46" s="93">
        <v>28345</v>
      </c>
      <c r="J46" s="93">
        <v>0</v>
      </c>
      <c r="K46" s="92">
        <v>2004</v>
      </c>
      <c r="L46" s="93">
        <v>11208</v>
      </c>
      <c r="M46" s="93">
        <v>340</v>
      </c>
      <c r="N46" s="92">
        <v>2005</v>
      </c>
      <c r="O46" s="93">
        <v>383</v>
      </c>
      <c r="P46" s="93">
        <v>0</v>
      </c>
      <c r="Q46" s="92">
        <v>1999</v>
      </c>
      <c r="R46" s="104">
        <f t="shared" si="21"/>
        <v>40521</v>
      </c>
      <c r="S46" s="105">
        <f t="shared" si="20"/>
        <v>1.4976161436966404</v>
      </c>
      <c r="T46" s="92">
        <v>2001</v>
      </c>
      <c r="U46" s="162">
        <f t="shared" si="22"/>
        <v>55187</v>
      </c>
      <c r="Y46" s="9"/>
      <c r="Z46" s="9"/>
      <c r="AA46" s="202"/>
      <c r="AB46" s="203"/>
      <c r="AC46" s="203"/>
      <c r="AD46" s="9"/>
      <c r="AE46" s="9"/>
      <c r="AF46" s="9"/>
      <c r="AG46" s="9"/>
      <c r="AV46" s="9"/>
      <c r="AW46" s="89"/>
      <c r="AX46" s="13"/>
      <c r="AY46" s="9"/>
      <c r="AZ46" s="9"/>
      <c r="BA46" s="9"/>
      <c r="BB46" s="9"/>
    </row>
    <row r="47" spans="1:54" ht="16" thickBot="1">
      <c r="A47" s="154">
        <v>2000</v>
      </c>
      <c r="B47" s="91">
        <v>22153</v>
      </c>
      <c r="C47" s="92">
        <f t="shared" si="0"/>
        <v>2002</v>
      </c>
      <c r="D47" s="93">
        <v>0</v>
      </c>
      <c r="E47" s="92">
        <f t="shared" si="1"/>
        <v>2003</v>
      </c>
      <c r="F47" s="93">
        <v>0</v>
      </c>
      <c r="G47" s="93">
        <v>40</v>
      </c>
      <c r="H47" s="92">
        <f t="shared" si="2"/>
        <v>2004</v>
      </c>
      <c r="I47" s="93">
        <v>19237</v>
      </c>
      <c r="J47" s="93">
        <v>13</v>
      </c>
      <c r="K47" s="92">
        <f t="shared" si="3"/>
        <v>2005</v>
      </c>
      <c r="L47" s="93">
        <v>31250</v>
      </c>
      <c r="M47" s="93">
        <v>833</v>
      </c>
      <c r="N47" s="92">
        <f t="shared" si="4"/>
        <v>2006</v>
      </c>
      <c r="O47" s="93">
        <v>380</v>
      </c>
      <c r="P47" s="93">
        <v>0</v>
      </c>
      <c r="Q47" s="92">
        <v>2000</v>
      </c>
      <c r="R47" s="104">
        <f t="shared" si="21"/>
        <v>51753</v>
      </c>
      <c r="S47" s="105">
        <f t="shared" si="20"/>
        <v>2.3361621450819303</v>
      </c>
      <c r="T47" s="92">
        <v>2002</v>
      </c>
      <c r="U47" s="162">
        <f t="shared" si="22"/>
        <v>74782</v>
      </c>
      <c r="Y47" s="9"/>
      <c r="Z47" s="9"/>
      <c r="AA47" s="202"/>
      <c r="AB47" s="203"/>
      <c r="AC47" s="203"/>
      <c r="AD47" s="9"/>
      <c r="AE47" s="9"/>
      <c r="AF47" s="9"/>
      <c r="AG47" s="9"/>
      <c r="AH47" s="130"/>
      <c r="AI47" s="131"/>
      <c r="AV47" s="9"/>
      <c r="AW47" s="9"/>
      <c r="AX47" s="9"/>
      <c r="AY47" s="9"/>
      <c r="AZ47" s="9"/>
      <c r="BA47" s="9"/>
      <c r="BB47" s="9"/>
    </row>
    <row r="48" spans="1:54" ht="16" thickBot="1">
      <c r="A48" s="154">
        <v>2001</v>
      </c>
      <c r="B48" s="91">
        <v>55187</v>
      </c>
      <c r="C48" s="92">
        <v>2003</v>
      </c>
      <c r="D48" s="93">
        <v>0</v>
      </c>
      <c r="E48" s="92">
        <v>2004</v>
      </c>
      <c r="F48" s="93">
        <v>0</v>
      </c>
      <c r="G48" s="93">
        <v>13</v>
      </c>
      <c r="H48" s="92">
        <v>2005</v>
      </c>
      <c r="I48" s="93">
        <v>39104</v>
      </c>
      <c r="J48" s="93">
        <v>47</v>
      </c>
      <c r="K48" s="92">
        <v>2006</v>
      </c>
      <c r="L48" s="93">
        <v>3037</v>
      </c>
      <c r="M48" s="93">
        <v>5917</v>
      </c>
      <c r="N48" s="92">
        <v>2007</v>
      </c>
      <c r="O48" s="93">
        <v>2632</v>
      </c>
      <c r="P48" s="93">
        <v>0</v>
      </c>
      <c r="Q48" s="92">
        <v>2001</v>
      </c>
      <c r="R48" s="104">
        <f t="shared" si="21"/>
        <v>50750</v>
      </c>
      <c r="S48" s="105">
        <f t="shared" si="20"/>
        <v>0.91960063058328956</v>
      </c>
      <c r="T48" s="92">
        <v>2003</v>
      </c>
      <c r="U48" s="162">
        <f t="shared" si="22"/>
        <v>61801</v>
      </c>
      <c r="Y48" s="9"/>
      <c r="Z48" s="9"/>
      <c r="AA48" s="202"/>
      <c r="AB48" s="203"/>
      <c r="AC48" s="203"/>
      <c r="AD48" s="9"/>
      <c r="AE48" s="9"/>
      <c r="AF48" s="9"/>
      <c r="AG48" s="9"/>
      <c r="AH48" s="130"/>
      <c r="AI48" s="134"/>
      <c r="AV48" s="9"/>
      <c r="AW48" s="9"/>
      <c r="AX48" s="9"/>
      <c r="AY48" s="9"/>
      <c r="AZ48" s="9"/>
      <c r="BA48" s="9"/>
      <c r="BB48" s="9"/>
    </row>
    <row r="49" spans="1:54" ht="16" thickBot="1">
      <c r="A49" s="154">
        <v>2002</v>
      </c>
      <c r="B49" s="91">
        <v>40478</v>
      </c>
      <c r="C49" s="92">
        <v>2004</v>
      </c>
      <c r="D49" s="93">
        <v>0</v>
      </c>
      <c r="E49" s="92">
        <v>2005</v>
      </c>
      <c r="F49" s="93">
        <v>0</v>
      </c>
      <c r="G49" s="93">
        <v>24</v>
      </c>
      <c r="H49" s="92">
        <v>2006</v>
      </c>
      <c r="I49" s="93">
        <v>51144</v>
      </c>
      <c r="J49" s="93">
        <v>29</v>
      </c>
      <c r="K49" s="92">
        <v>2007</v>
      </c>
      <c r="L49" s="93">
        <v>7120</v>
      </c>
      <c r="M49" s="93">
        <v>4517</v>
      </c>
      <c r="N49" s="92">
        <f t="shared" si="4"/>
        <v>2008</v>
      </c>
      <c r="O49" s="182">
        <v>0</v>
      </c>
      <c r="P49" s="93">
        <v>0</v>
      </c>
      <c r="Q49" s="92">
        <v>2002</v>
      </c>
      <c r="R49" s="104">
        <f t="shared" si="21"/>
        <v>62834</v>
      </c>
      <c r="S49" s="105">
        <f t="shared" si="20"/>
        <v>1.5523000148228667</v>
      </c>
      <c r="T49" s="92">
        <v>2004</v>
      </c>
      <c r="U49" s="162">
        <f t="shared" si="22"/>
        <v>31187</v>
      </c>
      <c r="Y49" s="9"/>
      <c r="Z49" s="9"/>
      <c r="AA49" s="202"/>
      <c r="AB49" s="203"/>
      <c r="AC49" s="203"/>
      <c r="AD49" s="9"/>
      <c r="AE49" s="9"/>
      <c r="AF49" s="9"/>
      <c r="AG49" s="9"/>
      <c r="AH49" s="130"/>
      <c r="AI49" s="134"/>
      <c r="AV49" s="9"/>
      <c r="AW49" s="9"/>
      <c r="AX49" s="9"/>
      <c r="AY49" s="9"/>
      <c r="AZ49" s="9"/>
      <c r="BA49" s="9"/>
      <c r="BB49" s="9"/>
    </row>
    <row r="50" spans="1:54" ht="16" thickBot="1">
      <c r="A50" s="154">
        <v>2003</v>
      </c>
      <c r="B50" s="91">
        <v>39845</v>
      </c>
      <c r="C50" s="92">
        <v>2005</v>
      </c>
      <c r="D50" s="93">
        <v>0</v>
      </c>
      <c r="E50" s="92">
        <v>2006</v>
      </c>
      <c r="F50" s="93">
        <v>9</v>
      </c>
      <c r="G50" s="93">
        <v>17</v>
      </c>
      <c r="H50" s="92">
        <v>2007</v>
      </c>
      <c r="I50" s="93">
        <v>12398</v>
      </c>
      <c r="J50" s="93">
        <v>79</v>
      </c>
      <c r="K50" s="92">
        <f>A50+5</f>
        <v>2008</v>
      </c>
      <c r="L50" s="182">
        <v>5042</v>
      </c>
      <c r="M50" s="93">
        <v>531</v>
      </c>
      <c r="N50" s="92">
        <v>2009</v>
      </c>
      <c r="O50" s="93">
        <v>2071</v>
      </c>
      <c r="P50" s="93">
        <v>0</v>
      </c>
      <c r="Q50" s="92">
        <v>2003</v>
      </c>
      <c r="R50" s="104">
        <f t="shared" si="21"/>
        <v>20147</v>
      </c>
      <c r="S50" s="105">
        <f t="shared" si="20"/>
        <v>0.50563433304053207</v>
      </c>
      <c r="T50" s="92">
        <v>2005</v>
      </c>
      <c r="U50" s="162">
        <f>D50+F49+G49+I48+J48+L47+M47+O46+P46</f>
        <v>71641</v>
      </c>
      <c r="Y50" s="9"/>
      <c r="Z50" s="9"/>
      <c r="AA50" s="202"/>
      <c r="AB50" s="203"/>
      <c r="AC50" s="203"/>
      <c r="AD50" s="9"/>
      <c r="AE50" s="9"/>
      <c r="AF50" s="9"/>
      <c r="AG50" s="9"/>
      <c r="AH50" s="130"/>
      <c r="AI50" s="134"/>
      <c r="AV50" s="9"/>
      <c r="AW50" s="9"/>
      <c r="AX50" s="9"/>
      <c r="AY50" s="9"/>
      <c r="AZ50" s="9"/>
      <c r="BA50" s="9"/>
      <c r="BB50" s="9"/>
    </row>
    <row r="51" spans="1:54" ht="16" thickBot="1">
      <c r="A51" s="154">
        <v>2004</v>
      </c>
      <c r="B51" s="91">
        <v>13443</v>
      </c>
      <c r="C51" s="92">
        <v>2006</v>
      </c>
      <c r="D51" s="93">
        <v>22</v>
      </c>
      <c r="E51" s="92">
        <v>2007</v>
      </c>
      <c r="F51" s="93">
        <v>0</v>
      </c>
      <c r="G51" s="93">
        <v>109</v>
      </c>
      <c r="H51" s="92">
        <f>A51+4</f>
        <v>2008</v>
      </c>
      <c r="I51" s="182">
        <v>38566</v>
      </c>
      <c r="J51" s="93">
        <v>0</v>
      </c>
      <c r="K51" s="92">
        <v>2009</v>
      </c>
      <c r="L51" s="93">
        <v>10207</v>
      </c>
      <c r="M51" s="93">
        <v>3830</v>
      </c>
      <c r="N51" s="92">
        <v>2010</v>
      </c>
      <c r="O51" s="93">
        <v>738</v>
      </c>
      <c r="P51" s="93">
        <v>0</v>
      </c>
      <c r="Q51" s="92">
        <v>2004</v>
      </c>
      <c r="R51" s="204">
        <f>D51+F51+G51+I51+J51+L51+M51+O51+P51</f>
        <v>53472</v>
      </c>
      <c r="S51" s="205">
        <f t="shared" ref="S51:S57" si="23">R51/B51</f>
        <v>3.9776835527783976</v>
      </c>
      <c r="T51" s="92">
        <f>C51</f>
        <v>2006</v>
      </c>
      <c r="U51" s="162">
        <f>SUM(D51,F50,G50,I49,J49,L48,M48,O47,P47)</f>
        <v>60555</v>
      </c>
      <c r="Y51" s="9"/>
      <c r="Z51" s="9"/>
      <c r="AA51" s="202"/>
      <c r="AB51" s="203"/>
      <c r="AC51" s="203"/>
      <c r="AD51" s="9"/>
      <c r="AE51" s="9"/>
      <c r="AF51" s="9"/>
      <c r="AG51" s="9"/>
      <c r="AH51" s="130"/>
      <c r="AI51" s="134"/>
      <c r="AV51" s="9"/>
      <c r="AW51" s="9"/>
      <c r="AX51" s="9"/>
      <c r="AY51" s="9"/>
      <c r="AZ51" s="9"/>
      <c r="BA51" s="9"/>
      <c r="BB51" s="9"/>
    </row>
    <row r="52" spans="1:54" ht="16" thickBot="1">
      <c r="A52" s="154">
        <v>2005</v>
      </c>
      <c r="B52" s="91">
        <v>23523</v>
      </c>
      <c r="C52" s="92">
        <v>2007</v>
      </c>
      <c r="D52" s="93">
        <v>0</v>
      </c>
      <c r="E52" s="92">
        <v>2008</v>
      </c>
      <c r="F52" s="182">
        <v>0</v>
      </c>
      <c r="G52" s="93">
        <v>88</v>
      </c>
      <c r="H52" s="92">
        <v>2009</v>
      </c>
      <c r="I52" s="93">
        <v>34635</v>
      </c>
      <c r="J52" s="93">
        <v>0</v>
      </c>
      <c r="K52" s="92">
        <v>2010</v>
      </c>
      <c r="L52" s="93">
        <v>3975</v>
      </c>
      <c r="M52" s="93">
        <v>2563</v>
      </c>
      <c r="N52" s="92">
        <f>A52+6</f>
        <v>2011</v>
      </c>
      <c r="O52" s="93">
        <v>350</v>
      </c>
      <c r="P52" s="93">
        <v>0</v>
      </c>
      <c r="Q52" s="92">
        <v>2005</v>
      </c>
      <c r="R52" s="204">
        <f>D52+F52+G52+I52+J52+L52+M52+O52+P52</f>
        <v>41611</v>
      </c>
      <c r="S52" s="205">
        <f t="shared" si="23"/>
        <v>1.7689495387493093</v>
      </c>
      <c r="T52" s="92">
        <v>2007</v>
      </c>
      <c r="U52" s="162">
        <f>SUM(D52,F51,G51,I50,J50,L49,M49,O48,P48)</f>
        <v>26855</v>
      </c>
      <c r="Y52" s="9"/>
      <c r="Z52" s="9"/>
      <c r="AA52" s="202"/>
      <c r="AB52" s="203"/>
      <c r="AC52" s="203"/>
      <c r="AD52" s="9"/>
      <c r="AE52" s="9"/>
      <c r="AF52" s="9"/>
      <c r="AG52" s="9"/>
      <c r="AH52" s="130"/>
      <c r="AI52" s="134"/>
      <c r="AV52" s="9"/>
      <c r="AW52" s="9"/>
      <c r="AX52" s="9"/>
      <c r="AY52" s="9"/>
      <c r="AZ52" s="9"/>
      <c r="BA52" s="9"/>
      <c r="BB52" s="9"/>
    </row>
    <row r="53" spans="1:54" ht="16" thickBot="1">
      <c r="A53" s="154">
        <v>2006</v>
      </c>
      <c r="B53" s="183">
        <v>42473</v>
      </c>
      <c r="C53" s="92">
        <v>2008</v>
      </c>
      <c r="D53" s="182">
        <v>0</v>
      </c>
      <c r="E53" s="92">
        <v>2009</v>
      </c>
      <c r="F53" s="93">
        <v>0</v>
      </c>
      <c r="G53" s="93">
        <v>30</v>
      </c>
      <c r="H53" s="92">
        <v>2010</v>
      </c>
      <c r="I53" s="93">
        <v>22359</v>
      </c>
      <c r="J53" s="93">
        <v>289</v>
      </c>
      <c r="K53" s="92">
        <f>A53+5</f>
        <v>2011</v>
      </c>
      <c r="L53" s="93">
        <v>1778</v>
      </c>
      <c r="M53" s="93">
        <v>37691</v>
      </c>
      <c r="N53" s="92"/>
      <c r="O53" s="215">
        <v>527</v>
      </c>
      <c r="P53" s="93"/>
      <c r="Q53" s="92">
        <v>2006</v>
      </c>
      <c r="R53" s="126">
        <f>D53+F53+G53+I53+J53+L53+M53+O53+P53</f>
        <v>62674</v>
      </c>
      <c r="S53" s="205">
        <f t="shared" si="23"/>
        <v>1.475619805523509</v>
      </c>
      <c r="T53" s="92">
        <v>2008</v>
      </c>
      <c r="U53" s="163">
        <f>D53+F52+G52+I51+J51+L50+M50+O49+P49</f>
        <v>44227</v>
      </c>
      <c r="Y53" s="9"/>
      <c r="Z53" s="9"/>
      <c r="AA53" s="202"/>
      <c r="AB53" s="203"/>
      <c r="AC53" s="203"/>
      <c r="AD53" s="9"/>
      <c r="AE53" s="9"/>
      <c r="AF53" s="9"/>
      <c r="AG53" s="9"/>
      <c r="AH53" s="130"/>
      <c r="AI53" s="134"/>
      <c r="AV53" s="9"/>
      <c r="AW53" s="9"/>
      <c r="AX53" s="9"/>
      <c r="AY53" s="9"/>
      <c r="AZ53" s="9"/>
      <c r="BA53" s="9"/>
      <c r="BB53" s="9"/>
    </row>
    <row r="54" spans="1:54" ht="16" thickBot="1">
      <c r="A54" s="154">
        <v>2007</v>
      </c>
      <c r="B54" s="183">
        <v>17196</v>
      </c>
      <c r="C54" s="92">
        <v>2009</v>
      </c>
      <c r="D54" s="93">
        <v>0</v>
      </c>
      <c r="E54" s="92">
        <v>2010</v>
      </c>
      <c r="F54" s="93">
        <v>0</v>
      </c>
      <c r="G54" s="93">
        <v>164</v>
      </c>
      <c r="H54" s="92">
        <f>A54+4</f>
        <v>2011</v>
      </c>
      <c r="I54" s="93">
        <v>26710</v>
      </c>
      <c r="J54" s="93">
        <v>781</v>
      </c>
      <c r="K54" s="92"/>
      <c r="L54" s="93"/>
      <c r="M54" s="93"/>
      <c r="N54" s="92"/>
      <c r="O54" s="93"/>
      <c r="P54" s="93"/>
      <c r="Q54" s="92">
        <v>2007</v>
      </c>
      <c r="R54" s="126">
        <f t="shared" si="21"/>
        <v>27655</v>
      </c>
      <c r="S54" s="127">
        <f t="shared" si="23"/>
        <v>1.6082228425215166</v>
      </c>
      <c r="T54" s="92">
        <v>2009</v>
      </c>
      <c r="U54" s="46">
        <f>SUM(D54,F53,G53,I52,J52,L51,M51,O50,P50)</f>
        <v>50773</v>
      </c>
      <c r="Y54" s="9"/>
      <c r="Z54" s="9"/>
      <c r="AA54" s="202"/>
      <c r="AB54" s="203"/>
      <c r="AC54" s="203"/>
      <c r="AD54" s="9"/>
      <c r="AE54" s="9"/>
      <c r="AF54" s="9"/>
      <c r="AG54" s="9"/>
      <c r="AH54" s="130"/>
      <c r="AI54" s="134"/>
      <c r="AV54" s="9"/>
      <c r="AW54" s="9"/>
      <c r="AX54" s="9"/>
      <c r="AY54" s="9"/>
      <c r="AZ54" s="9"/>
      <c r="BA54" s="9"/>
      <c r="BB54" s="9"/>
    </row>
    <row r="55" spans="1:54" ht="16" thickBot="1">
      <c r="A55" s="154">
        <v>2008</v>
      </c>
      <c r="B55" s="183">
        <v>18495</v>
      </c>
      <c r="C55" s="92">
        <v>2010</v>
      </c>
      <c r="D55" s="93">
        <v>0</v>
      </c>
      <c r="E55" s="92">
        <v>2011</v>
      </c>
      <c r="F55" s="93">
        <v>0</v>
      </c>
      <c r="G55" s="93">
        <v>131</v>
      </c>
      <c r="H55" s="92"/>
      <c r="I55" s="93"/>
      <c r="J55" s="93"/>
      <c r="K55" s="92"/>
      <c r="L55" s="93"/>
      <c r="M55" s="93"/>
      <c r="N55" s="92"/>
      <c r="O55" s="93"/>
      <c r="P55" s="93"/>
      <c r="Q55" s="92">
        <v>2008</v>
      </c>
      <c r="R55" s="126">
        <f>D55+F55+G55+I55+J55+L55+M55+O55+P55</f>
        <v>131</v>
      </c>
      <c r="S55" s="127">
        <f t="shared" si="23"/>
        <v>7.082995404163287E-3</v>
      </c>
      <c r="T55" s="92">
        <v>2010</v>
      </c>
      <c r="U55" s="46">
        <f>SUM(D55,F54,G54,I53,J53,L52,M52,O51,P51)</f>
        <v>30088</v>
      </c>
      <c r="Y55" s="9"/>
      <c r="Z55" s="9"/>
      <c r="AA55" s="202"/>
      <c r="AB55" s="203"/>
      <c r="AC55" s="203"/>
      <c r="AD55" s="9"/>
      <c r="AE55" s="9"/>
      <c r="AF55" s="9"/>
      <c r="AG55" s="9"/>
      <c r="AH55" s="130"/>
      <c r="AI55" s="134"/>
      <c r="AV55" s="9"/>
      <c r="AW55" s="9"/>
      <c r="AX55" s="9"/>
      <c r="AY55" s="9"/>
      <c r="AZ55" s="9"/>
      <c r="BA55" s="9"/>
      <c r="BB55" s="9"/>
    </row>
    <row r="56" spans="1:54" ht="16" thickBot="1">
      <c r="A56" s="154">
        <v>2009</v>
      </c>
      <c r="B56" s="183">
        <v>24025</v>
      </c>
      <c r="C56" s="92">
        <v>2011</v>
      </c>
      <c r="D56" s="93">
        <v>0</v>
      </c>
      <c r="E56" s="92"/>
      <c r="F56" s="93"/>
      <c r="G56" s="93"/>
      <c r="H56" s="92"/>
      <c r="I56" s="93"/>
      <c r="J56" s="93"/>
      <c r="K56" s="92"/>
      <c r="L56" s="93"/>
      <c r="M56" s="93"/>
      <c r="N56" s="92"/>
      <c r="O56" s="93"/>
      <c r="P56" s="93"/>
      <c r="Q56" s="92">
        <v>2009</v>
      </c>
      <c r="R56" s="126">
        <f>D56+F56+G56+I56+J56+L56+M56+O56+P56</f>
        <v>0</v>
      </c>
      <c r="S56" s="127">
        <f t="shared" si="23"/>
        <v>0</v>
      </c>
      <c r="T56" s="92">
        <v>2011</v>
      </c>
      <c r="U56" s="46">
        <f>SUM(D56,F55,G55,I54,J54,L53,M53,O52,P52)</f>
        <v>67441</v>
      </c>
      <c r="Y56" s="9"/>
      <c r="Z56" s="9"/>
      <c r="AA56" s="202"/>
      <c r="AB56" s="203"/>
      <c r="AC56" s="203"/>
      <c r="AD56" s="9"/>
      <c r="AE56" s="9"/>
      <c r="AF56" s="9"/>
      <c r="AG56" s="9"/>
      <c r="AH56" s="130"/>
      <c r="AI56" s="134"/>
      <c r="AV56" s="9"/>
      <c r="AW56" s="9"/>
      <c r="AX56" s="9"/>
      <c r="AY56" s="9"/>
      <c r="AZ56" s="9"/>
      <c r="BA56" s="9"/>
      <c r="BB56" s="9"/>
    </row>
    <row r="57" spans="1:54" ht="16" thickBot="1">
      <c r="A57" s="154">
        <v>2010</v>
      </c>
      <c r="B57" s="183">
        <v>16291</v>
      </c>
      <c r="C57" s="92"/>
      <c r="D57" s="93"/>
      <c r="E57" s="92"/>
      <c r="F57" s="93"/>
      <c r="G57" s="93"/>
      <c r="H57" s="92"/>
      <c r="I57" s="93"/>
      <c r="J57" s="93"/>
      <c r="K57" s="92"/>
      <c r="L57" s="93"/>
      <c r="M57" s="93"/>
      <c r="N57" s="92"/>
      <c r="O57" s="93"/>
      <c r="P57" s="93"/>
      <c r="Q57" s="92">
        <v>2010</v>
      </c>
      <c r="R57" s="126">
        <f>D57+F57+G57+I57+J57+L57+M57+O57+P57</f>
        <v>0</v>
      </c>
      <c r="S57" s="127">
        <f t="shared" si="23"/>
        <v>0</v>
      </c>
      <c r="T57" s="92"/>
      <c r="U57" s="162"/>
      <c r="Y57" s="9"/>
      <c r="Z57" s="9"/>
      <c r="AA57" s="202"/>
      <c r="AB57" s="203"/>
      <c r="AC57" s="203"/>
      <c r="AD57" s="9"/>
      <c r="AE57" s="9"/>
      <c r="AF57" s="9"/>
      <c r="AG57" s="9"/>
      <c r="AH57" s="130"/>
      <c r="AI57" s="134"/>
      <c r="AV57" s="9"/>
      <c r="AW57" s="9"/>
      <c r="AX57" s="9"/>
      <c r="AY57" s="9"/>
      <c r="AZ57" s="9"/>
      <c r="BA57" s="9"/>
      <c r="BB57" s="9"/>
    </row>
    <row r="58" spans="1:54" ht="16" thickBot="1">
      <c r="A58" s="154">
        <v>2011</v>
      </c>
      <c r="B58" s="183">
        <v>24129</v>
      </c>
      <c r="C58" s="92"/>
      <c r="D58" s="93"/>
      <c r="E58" s="92"/>
      <c r="F58" s="93"/>
      <c r="G58" s="93"/>
      <c r="H58" s="92"/>
      <c r="I58" s="93"/>
      <c r="J58" s="93"/>
      <c r="K58" s="92"/>
      <c r="L58" s="93"/>
      <c r="M58" s="93"/>
      <c r="N58" s="92"/>
      <c r="O58" s="93"/>
      <c r="P58" s="93"/>
      <c r="Q58" s="92"/>
      <c r="R58" s="94"/>
      <c r="S58" s="95"/>
      <c r="T58" s="92"/>
      <c r="U58" s="162"/>
      <c r="Y58" s="9"/>
      <c r="Z58" s="9"/>
      <c r="AA58" s="202"/>
      <c r="AB58" s="203"/>
      <c r="AC58" s="203"/>
      <c r="AD58" s="9"/>
      <c r="AE58" s="9"/>
      <c r="AF58" s="9"/>
      <c r="AG58" s="9"/>
      <c r="AH58" s="130"/>
      <c r="AI58" s="134"/>
      <c r="AV58" s="9"/>
      <c r="AW58" s="9"/>
      <c r="AX58" s="9"/>
      <c r="AY58" s="9"/>
      <c r="AZ58" s="9"/>
      <c r="BA58" s="9"/>
      <c r="BB58" s="9"/>
    </row>
    <row r="59" spans="1:54" ht="16" thickBot="1">
      <c r="A59" s="154"/>
      <c r="B59" s="183"/>
      <c r="C59" s="92"/>
      <c r="D59" s="93"/>
      <c r="E59" s="92"/>
      <c r="F59" s="93"/>
      <c r="G59" s="93"/>
      <c r="H59" s="92"/>
      <c r="I59" s="93"/>
      <c r="J59" s="93"/>
      <c r="K59" s="92"/>
      <c r="L59" s="93"/>
      <c r="M59" s="93"/>
      <c r="N59" s="92"/>
      <c r="O59" s="93"/>
      <c r="P59" s="93"/>
      <c r="Q59" s="92"/>
      <c r="R59" s="94"/>
      <c r="S59" s="95"/>
      <c r="T59" s="92"/>
      <c r="U59" s="162"/>
      <c r="Y59" s="9"/>
      <c r="Z59" s="9"/>
      <c r="AA59" s="202"/>
      <c r="AB59" s="203"/>
      <c r="AC59" s="203"/>
      <c r="AD59" s="9"/>
      <c r="AE59" s="9"/>
      <c r="AF59" s="9"/>
      <c r="AG59" s="9"/>
      <c r="AH59" s="130"/>
      <c r="AI59" s="134"/>
      <c r="AV59" s="9"/>
      <c r="AW59" s="9"/>
      <c r="AX59" s="9"/>
      <c r="AY59" s="9"/>
      <c r="AZ59" s="9"/>
      <c r="BA59" s="9"/>
      <c r="BB59" s="9"/>
    </row>
    <row r="60" spans="1:54" ht="16" thickBot="1">
      <c r="A60" s="154"/>
      <c r="B60" s="183"/>
      <c r="C60" s="92"/>
      <c r="D60" s="93"/>
      <c r="E60" s="92"/>
      <c r="F60" s="93"/>
      <c r="G60" s="93"/>
      <c r="H60" s="92"/>
      <c r="I60" s="93"/>
      <c r="J60" s="93"/>
      <c r="K60" s="92"/>
      <c r="L60" s="93"/>
      <c r="M60" s="93"/>
      <c r="N60" s="92"/>
      <c r="O60" s="93"/>
      <c r="P60" s="93"/>
      <c r="Q60" s="92"/>
      <c r="R60" s="94"/>
      <c r="S60" s="95"/>
      <c r="T60" s="92"/>
      <c r="U60" s="162"/>
      <c r="Y60" s="9"/>
      <c r="Z60" s="9"/>
      <c r="AA60" s="202"/>
      <c r="AB60" s="203"/>
      <c r="AC60" s="203"/>
      <c r="AD60" s="9"/>
      <c r="AE60" s="9"/>
      <c r="AF60" s="9"/>
      <c r="AG60" s="9"/>
      <c r="AH60" s="130"/>
      <c r="AI60" s="134"/>
      <c r="AV60" s="9"/>
      <c r="AW60" s="9"/>
      <c r="AX60" s="9"/>
      <c r="AY60" s="9"/>
      <c r="AZ60" s="9"/>
      <c r="BA60" s="9"/>
      <c r="BB60" s="9"/>
    </row>
    <row r="61" spans="1:54" ht="16" thickBot="1">
      <c r="A61" s="90"/>
      <c r="B61" s="91"/>
      <c r="C61" s="92"/>
      <c r="D61" s="93"/>
      <c r="E61" s="92"/>
      <c r="F61" s="93"/>
      <c r="G61" s="93"/>
      <c r="H61" s="92"/>
      <c r="I61" s="93"/>
      <c r="J61" s="93"/>
      <c r="K61" s="92"/>
      <c r="L61" s="93"/>
      <c r="M61" s="93"/>
      <c r="N61" s="92"/>
      <c r="O61" s="93"/>
      <c r="P61" s="93"/>
      <c r="Q61" s="92"/>
      <c r="R61" s="94"/>
      <c r="S61" s="95"/>
      <c r="T61" s="92"/>
      <c r="U61" s="96"/>
      <c r="Y61" s="9"/>
      <c r="Z61" s="9"/>
      <c r="AA61" s="202"/>
      <c r="AB61" s="203"/>
      <c r="AC61" s="203"/>
      <c r="AD61" s="9"/>
      <c r="AE61" s="9"/>
      <c r="AF61" s="9"/>
      <c r="AG61" s="9"/>
      <c r="AH61" s="130"/>
      <c r="AI61" s="134"/>
      <c r="AV61" s="9"/>
      <c r="AW61" s="9"/>
      <c r="AX61" s="9"/>
      <c r="AY61" s="9"/>
      <c r="AZ61" s="9"/>
      <c r="BA61" s="9"/>
      <c r="BB61" s="9"/>
    </row>
    <row r="62" spans="1:54">
      <c r="A62" s="158" t="s">
        <v>42</v>
      </c>
      <c r="B62" s="159">
        <f>AVERAGE(B8:B61)</f>
        <v>27161.686993877549</v>
      </c>
      <c r="C62" s="160"/>
      <c r="D62" s="160">
        <f>AVERAGE(D8:D61)</f>
        <v>8.6428571428571423</v>
      </c>
      <c r="E62" s="160"/>
      <c r="F62" s="160">
        <f>AVERAGE(F8:F61)</f>
        <v>50.95</v>
      </c>
      <c r="G62" s="160">
        <f>AVERAGE(G8:G61)</f>
        <v>441.80607500000008</v>
      </c>
      <c r="H62" s="160"/>
      <c r="I62" s="160">
        <f>AVERAGE(I8:I61)</f>
        <v>44962.389349999998</v>
      </c>
      <c r="J62" s="160">
        <f>AVERAGE(J8:J61)</f>
        <v>339.80789999999996</v>
      </c>
      <c r="K62" s="160"/>
      <c r="L62" s="160">
        <f>AVERAGE(L8:L61)</f>
        <v>5581.5081999999993</v>
      </c>
      <c r="M62" s="160">
        <f>AVERAGE(M8:M61)</f>
        <v>11395.894749999999</v>
      </c>
      <c r="N62" s="160"/>
      <c r="O62" s="160">
        <f>AVERAGE(O8:O61)</f>
        <v>527.35973170731711</v>
      </c>
      <c r="P62" s="160">
        <f>AVERAGE(P8:P61)</f>
        <v>16.416666666666668</v>
      </c>
      <c r="Q62" s="160"/>
      <c r="R62" s="160">
        <f>AVERAGE(R8:R50)</f>
        <v>60295.866079798732</v>
      </c>
      <c r="S62" s="161">
        <f>AVERAGE(S8:S50)</f>
        <v>3.9710079514551628</v>
      </c>
      <c r="T62" s="160"/>
      <c r="U62" s="160">
        <f>AVERAGE(U13:U31,U33:U42,U44:U54)</f>
        <v>62661.974999999999</v>
      </c>
      <c r="Y62" s="9"/>
      <c r="Z62" s="9"/>
      <c r="AA62" s="202"/>
      <c r="AB62" s="203"/>
      <c r="AC62" s="203"/>
      <c r="AD62" s="9"/>
      <c r="AE62" s="9"/>
      <c r="AF62" s="9"/>
      <c r="AG62" s="9"/>
      <c r="AH62" s="135" t="s">
        <v>1</v>
      </c>
      <c r="AI62" s="134"/>
      <c r="AV62" s="9"/>
      <c r="AW62" s="136"/>
      <c r="AX62" s="31"/>
      <c r="AY62" s="31"/>
      <c r="AZ62" s="31"/>
      <c r="BA62" s="9"/>
      <c r="BB62" s="9"/>
    </row>
    <row r="63" spans="1:54" ht="16">
      <c r="A63" s="9"/>
      <c r="B63" s="136"/>
      <c r="C63" s="9"/>
      <c r="D63" s="9"/>
      <c r="E63" s="9"/>
      <c r="F63" s="9"/>
      <c r="G63" s="9"/>
      <c r="H63" s="9"/>
      <c r="I63" s="214">
        <f>I62/R62</f>
        <v>0.74569605303445508</v>
      </c>
      <c r="J63" s="9"/>
      <c r="K63" s="9"/>
      <c r="L63" s="156" t="s">
        <v>45</v>
      </c>
      <c r="M63" s="9"/>
      <c r="N63" s="9"/>
      <c r="O63" s="9"/>
      <c r="P63" s="9"/>
      <c r="Q63" s="9"/>
      <c r="R63" s="213">
        <f>(R11+SUM(R15:R28)+SUM(R31:R49))/23</f>
        <v>98631.083003119478</v>
      </c>
      <c r="S63" s="157"/>
      <c r="T63" s="157"/>
      <c r="U63" s="213">
        <f>AVERAGE(U34:U43)</f>
        <v>54137.333333333336</v>
      </c>
      <c r="Y63" s="9"/>
      <c r="Z63" s="9"/>
      <c r="AA63" s="202"/>
      <c r="AB63" s="203"/>
      <c r="AC63" s="203"/>
      <c r="AD63" s="9"/>
      <c r="AE63" s="9"/>
      <c r="AF63" s="9"/>
      <c r="AG63" s="9"/>
      <c r="AH63" s="137">
        <f>AF99+AG99</f>
        <v>32769.688769919798</v>
      </c>
      <c r="AI63" s="134"/>
      <c r="AV63" s="9"/>
      <c r="AW63" s="136"/>
      <c r="AX63" s="9"/>
      <c r="AY63" s="9"/>
      <c r="AZ63" s="9"/>
      <c r="BA63" s="9"/>
      <c r="BB63" s="9"/>
    </row>
    <row r="64" spans="1:54" ht="16">
      <c r="A64" s="9"/>
      <c r="B64" s="136"/>
      <c r="C64" s="9"/>
      <c r="D64" s="9"/>
      <c r="E64" s="9"/>
      <c r="F64" s="9"/>
      <c r="G64" s="9"/>
      <c r="H64" s="9"/>
      <c r="I64" s="9"/>
      <c r="J64" s="9"/>
      <c r="K64" s="9"/>
      <c r="L64" s="156" t="s">
        <v>46</v>
      </c>
      <c r="M64" s="9"/>
      <c r="N64" s="9"/>
      <c r="O64" s="9"/>
      <c r="P64" s="9"/>
      <c r="Q64" s="9"/>
      <c r="R64" s="9"/>
      <c r="S64" s="9"/>
      <c r="T64" s="9"/>
      <c r="U64" s="213">
        <f>AVERAGE(U13:U61)</f>
        <v>62000.190476190473</v>
      </c>
      <c r="Y64" s="9"/>
      <c r="Z64" s="9"/>
      <c r="AA64" s="202"/>
      <c r="AB64" s="203"/>
      <c r="AC64" s="203"/>
      <c r="AD64" s="9"/>
      <c r="AE64" s="9"/>
      <c r="AF64" s="9"/>
      <c r="AG64" s="9"/>
      <c r="AH64" s="137" t="e">
        <f>AF100+AG100</f>
        <v>#REF!</v>
      </c>
      <c r="AI64" s="138" t="e">
        <f>AH63-AH64</f>
        <v>#REF!</v>
      </c>
      <c r="AK64" s="139"/>
      <c r="AL64" s="139"/>
      <c r="AV64" s="9"/>
      <c r="AW64" s="136"/>
      <c r="AX64" s="31"/>
      <c r="AY64" s="31"/>
      <c r="AZ64" s="31"/>
      <c r="BA64" s="9"/>
      <c r="BB64" s="9"/>
    </row>
    <row r="65" spans="1:54" ht="16" thickBot="1">
      <c r="A65" s="3" t="s">
        <v>47</v>
      </c>
      <c r="K65" s="9"/>
      <c r="L65" s="9"/>
      <c r="M65" s="9"/>
      <c r="N65" s="9"/>
      <c r="O65" s="9"/>
      <c r="P65" s="9"/>
      <c r="Q65" s="9"/>
      <c r="R65" s="9"/>
      <c r="S65" s="9"/>
      <c r="T65" s="9"/>
      <c r="U65" s="9"/>
      <c r="Y65" s="9"/>
      <c r="Z65" s="9"/>
      <c r="AA65" s="202"/>
      <c r="AB65" s="203"/>
      <c r="AC65" s="203"/>
      <c r="AD65" s="9"/>
      <c r="AE65" s="9"/>
      <c r="AF65" s="9"/>
      <c r="AG65" s="9"/>
      <c r="AH65" s="140" t="e">
        <f>AF101+AG101</f>
        <v>#REF!</v>
      </c>
      <c r="AI65" s="138" t="e">
        <f>AH65-AH63</f>
        <v>#REF!</v>
      </c>
      <c r="AV65" s="9"/>
      <c r="AW65" s="136"/>
      <c r="AX65" s="9"/>
      <c r="AY65" s="9"/>
      <c r="AZ65" s="9"/>
      <c r="BA65" s="9"/>
      <c r="BB65" s="9"/>
    </row>
    <row r="66" spans="1:54" ht="21">
      <c r="A66" s="3" t="s">
        <v>48</v>
      </c>
      <c r="K66" s="9"/>
      <c r="L66" s="9"/>
      <c r="M66" s="9"/>
      <c r="N66" s="9"/>
      <c r="O66" s="9"/>
      <c r="P66" s="141"/>
      <c r="Q66" s="8"/>
      <c r="R66" s="8"/>
      <c r="S66" s="142" t="s">
        <v>111</v>
      </c>
      <c r="T66" s="143"/>
      <c r="U66" s="144"/>
      <c r="Y66" s="9"/>
      <c r="Z66" s="9"/>
      <c r="AA66" s="202"/>
      <c r="AB66" s="203"/>
      <c r="AC66" s="203"/>
      <c r="AD66" s="9"/>
      <c r="AE66" s="9"/>
      <c r="AF66" s="9"/>
      <c r="AG66" s="9"/>
      <c r="AH66" s="9"/>
      <c r="AI66" s="134"/>
      <c r="AV66" s="9"/>
      <c r="AW66" s="136"/>
      <c r="AX66" s="31"/>
      <c r="AY66" s="31"/>
      <c r="AZ66" s="31"/>
      <c r="BA66" s="9"/>
      <c r="BB66" s="9"/>
    </row>
    <row r="67" spans="1:54">
      <c r="A67" s="3" t="s">
        <v>49</v>
      </c>
      <c r="K67" s="9"/>
      <c r="L67" s="9"/>
      <c r="M67" s="9"/>
      <c r="N67" s="9"/>
      <c r="P67" s="9"/>
      <c r="Q67" s="9"/>
      <c r="R67" s="145"/>
      <c r="S67" s="146" t="s">
        <v>42</v>
      </c>
      <c r="T67" s="8" t="s">
        <v>110</v>
      </c>
      <c r="U67" s="212">
        <f>AVERAGE(U17:U42)</f>
        <v>60720.24</v>
      </c>
      <c r="Y67" s="9"/>
      <c r="Z67" s="9"/>
      <c r="AA67" s="202"/>
      <c r="AB67" s="203"/>
      <c r="AC67" s="203"/>
      <c r="AD67" s="9"/>
      <c r="AE67" s="9"/>
      <c r="AF67" s="9"/>
      <c r="AG67" s="9"/>
      <c r="AH67" s="9"/>
      <c r="AI67" s="134"/>
      <c r="AV67" s="9"/>
      <c r="AW67" s="136"/>
      <c r="AX67" s="31"/>
      <c r="AY67" s="31"/>
      <c r="AZ67" s="31"/>
      <c r="BA67" s="9"/>
      <c r="BB67" s="9"/>
    </row>
    <row r="68" spans="1:54">
      <c r="A68" s="3" t="s">
        <v>51</v>
      </c>
      <c r="K68" s="9"/>
      <c r="L68" s="9"/>
      <c r="M68" s="9"/>
      <c r="N68" s="9"/>
      <c r="O68" s="9"/>
      <c r="P68" s="9"/>
      <c r="Q68" s="9"/>
      <c r="R68" s="9"/>
      <c r="S68" s="132"/>
      <c r="T68" s="9" t="s">
        <v>108</v>
      </c>
      <c r="U68" s="209">
        <f>COUNT(U17:U47)</f>
        <v>29</v>
      </c>
      <c r="Y68" s="9"/>
      <c r="Z68" s="9"/>
      <c r="AA68" s="202"/>
      <c r="AB68" s="203"/>
      <c r="AC68" s="203"/>
      <c r="AD68" s="9"/>
      <c r="AE68" s="9"/>
      <c r="AF68" s="9"/>
      <c r="AG68" s="9"/>
      <c r="AH68" s="9"/>
      <c r="AI68" s="134"/>
      <c r="AV68" s="9"/>
      <c r="AW68" s="136"/>
      <c r="AX68" s="31"/>
      <c r="AY68" s="31"/>
      <c r="AZ68" s="31"/>
      <c r="BA68" s="9"/>
      <c r="BB68" s="9"/>
    </row>
    <row r="69" spans="1:54">
      <c r="A69" s="3" t="s">
        <v>52</v>
      </c>
      <c r="K69" s="9"/>
      <c r="M69" s="9"/>
      <c r="N69" s="9"/>
      <c r="O69" s="9"/>
      <c r="P69" s="9"/>
      <c r="Q69" s="9"/>
      <c r="R69" s="31"/>
      <c r="S69" s="132"/>
      <c r="T69" s="9" t="s">
        <v>109</v>
      </c>
      <c r="U69" s="210">
        <f>STDEV(U17:U48)</f>
        <v>39566.892326618312</v>
      </c>
      <c r="Y69" s="9"/>
      <c r="Z69" s="9"/>
      <c r="AA69" s="202"/>
      <c r="AB69" s="203"/>
      <c r="AC69" s="203"/>
      <c r="AD69" s="9"/>
      <c r="AE69" s="9"/>
      <c r="AF69" s="9"/>
      <c r="AG69" s="9"/>
      <c r="AH69" s="9"/>
      <c r="AI69" s="134"/>
      <c r="AV69" s="9"/>
      <c r="AW69" s="136"/>
      <c r="AX69" s="31"/>
      <c r="AY69" s="31"/>
      <c r="AZ69" s="31"/>
      <c r="BA69" s="9"/>
      <c r="BB69" s="9"/>
    </row>
    <row r="70" spans="1:54">
      <c r="A70" s="3" t="s">
        <v>86</v>
      </c>
      <c r="K70" s="9"/>
      <c r="L70" s="9"/>
      <c r="M70" s="9"/>
      <c r="N70" s="9"/>
      <c r="O70" s="9"/>
      <c r="P70" s="9"/>
      <c r="Q70" s="9"/>
      <c r="R70" s="148"/>
      <c r="S70" s="149"/>
      <c r="T70" s="148" t="s">
        <v>97</v>
      </c>
      <c r="U70" s="208" t="e">
        <f>VLOOKUP(U68,tval,5)</f>
        <v>#REF!</v>
      </c>
      <c r="Y70" s="9"/>
      <c r="Z70" s="9"/>
      <c r="AA70" s="202"/>
      <c r="AB70" s="203"/>
      <c r="AC70" s="203"/>
      <c r="AD70" s="9"/>
      <c r="AE70" s="9"/>
      <c r="AF70" s="9"/>
      <c r="AG70" s="9"/>
      <c r="AH70" s="9"/>
      <c r="AI70" s="134"/>
      <c r="AV70" s="9"/>
      <c r="AW70" s="9"/>
      <c r="AX70" s="9"/>
      <c r="AY70" s="9"/>
      <c r="AZ70" s="9"/>
      <c r="BA70" s="9"/>
      <c r="BB70" s="9"/>
    </row>
    <row r="71" spans="1:54">
      <c r="A71" s="3" t="s">
        <v>53</v>
      </c>
      <c r="K71" s="9"/>
      <c r="L71" s="9"/>
      <c r="M71" s="9"/>
      <c r="N71" s="9"/>
      <c r="O71" s="9"/>
      <c r="P71" s="9"/>
      <c r="Q71" s="9"/>
      <c r="R71" s="9"/>
      <c r="S71" s="149"/>
      <c r="T71" s="31"/>
      <c r="U71" s="209"/>
      <c r="Y71" s="9"/>
      <c r="Z71" s="9"/>
      <c r="AA71" s="202"/>
      <c r="AB71" s="203"/>
      <c r="AC71" s="203"/>
      <c r="AD71" s="9"/>
      <c r="AE71" s="9"/>
      <c r="AF71" s="9"/>
      <c r="AG71" s="9"/>
      <c r="AH71" s="9"/>
      <c r="AI71" s="134"/>
      <c r="AV71" s="9"/>
      <c r="AW71" s="9"/>
      <c r="AX71" s="9"/>
      <c r="AY71" s="9"/>
      <c r="AZ71" s="9"/>
      <c r="BA71" s="9"/>
      <c r="BB71" s="9"/>
    </row>
    <row r="72" spans="1:54">
      <c r="K72" s="9"/>
      <c r="L72" s="9"/>
      <c r="M72" s="9"/>
      <c r="N72" s="9"/>
      <c r="O72" s="9"/>
      <c r="P72" s="9"/>
      <c r="Q72" s="9"/>
      <c r="R72" s="31"/>
      <c r="S72" s="149"/>
      <c r="T72" s="148" t="s">
        <v>98</v>
      </c>
      <c r="U72" s="210"/>
      <c r="Y72" s="9"/>
      <c r="Z72" s="9"/>
      <c r="AA72" s="202"/>
      <c r="AB72" s="203"/>
      <c r="AC72" s="203"/>
      <c r="AD72" s="9"/>
      <c r="AE72" s="9"/>
      <c r="AF72" s="9"/>
      <c r="AG72" s="9"/>
      <c r="AH72" s="9"/>
      <c r="AI72" s="134"/>
    </row>
    <row r="73" spans="1:54">
      <c r="A73" s="3" t="s">
        <v>107</v>
      </c>
      <c r="K73" s="9"/>
      <c r="L73" s="9"/>
      <c r="M73" s="9"/>
      <c r="N73" s="9"/>
      <c r="O73" s="9"/>
      <c r="P73" s="9"/>
      <c r="Q73" s="9"/>
      <c r="R73" s="18"/>
      <c r="S73" s="132"/>
      <c r="T73" s="9" t="s">
        <v>99</v>
      </c>
      <c r="U73" s="211" t="e">
        <f>U67-U70*(U69/SQRT(U68))</f>
        <v>#REF!</v>
      </c>
      <c r="Y73" s="9"/>
      <c r="Z73" s="9"/>
      <c r="AA73" s="202"/>
      <c r="AB73" s="203"/>
      <c r="AC73" s="203"/>
      <c r="AD73" s="9"/>
      <c r="AE73" s="9"/>
      <c r="AF73" s="9"/>
      <c r="AG73" s="9"/>
      <c r="AH73" s="9"/>
      <c r="AI73" s="134"/>
    </row>
    <row r="74" spans="1:54">
      <c r="A74" s="3" t="s">
        <v>95</v>
      </c>
      <c r="K74" s="9"/>
      <c r="L74" s="9"/>
      <c r="M74" s="9"/>
      <c r="N74" s="9"/>
      <c r="O74" s="9"/>
      <c r="P74" s="9"/>
      <c r="Q74" s="9"/>
      <c r="R74" s="18"/>
      <c r="S74" s="132"/>
      <c r="T74" s="9" t="s">
        <v>100</v>
      </c>
      <c r="U74" s="211" t="e">
        <f>U67+U70*(U69/SQRT(U68))</f>
        <v>#REF!</v>
      </c>
      <c r="Y74" s="9"/>
      <c r="Z74" s="9"/>
      <c r="AA74" s="202"/>
      <c r="AB74" s="203"/>
      <c r="AC74" s="203"/>
      <c r="AD74" s="9"/>
      <c r="AE74" s="9"/>
      <c r="AF74" s="9"/>
      <c r="AG74" s="9"/>
      <c r="AH74" s="9"/>
      <c r="AI74" s="134"/>
    </row>
    <row r="75" spans="1:54" ht="16" thickBot="1">
      <c r="I75" s="150"/>
      <c r="K75" s="9"/>
      <c r="L75" s="9"/>
      <c r="M75" s="9"/>
      <c r="N75" s="9"/>
      <c r="O75" s="9"/>
      <c r="P75" s="9"/>
      <c r="Q75" s="9"/>
      <c r="R75" s="9"/>
      <c r="S75" s="132"/>
      <c r="T75" s="9"/>
      <c r="U75" s="134"/>
      <c r="Y75" s="9"/>
      <c r="Z75" s="9"/>
      <c r="AA75" s="202"/>
      <c r="AB75" s="203"/>
      <c r="AC75" s="203"/>
      <c r="AD75" s="9"/>
      <c r="AE75" s="9"/>
      <c r="AF75" s="9"/>
      <c r="AG75" s="9"/>
      <c r="AH75" s="42"/>
      <c r="AI75" s="151"/>
    </row>
    <row r="76" spans="1:54">
      <c r="K76" s="9"/>
      <c r="L76" s="9"/>
      <c r="M76" s="9"/>
      <c r="N76" s="9"/>
      <c r="O76" s="9"/>
      <c r="P76" s="9"/>
      <c r="Q76" s="9"/>
      <c r="R76" s="9"/>
      <c r="S76" s="132"/>
      <c r="T76" s="9"/>
      <c r="U76" s="134"/>
      <c r="Y76" s="9"/>
      <c r="Z76" s="9"/>
      <c r="AA76" s="202"/>
      <c r="AB76" s="203"/>
      <c r="AC76" s="203"/>
      <c r="AD76" s="9"/>
      <c r="AE76" s="9"/>
      <c r="AF76" s="9"/>
      <c r="AG76" s="9"/>
    </row>
    <row r="77" spans="1:54" ht="16" thickBot="1">
      <c r="K77" s="9"/>
      <c r="L77" s="9"/>
      <c r="M77" s="9"/>
      <c r="N77" s="9"/>
      <c r="O77" s="9"/>
      <c r="P77" s="9"/>
      <c r="Q77" s="9"/>
      <c r="R77" s="9"/>
      <c r="S77" s="147"/>
      <c r="T77" s="42"/>
      <c r="U77" s="151"/>
    </row>
    <row r="78" spans="1:54">
      <c r="P78" s="9"/>
      <c r="Q78" s="9"/>
      <c r="R78" s="9"/>
    </row>
    <row r="79" spans="1:54">
      <c r="P79" s="9"/>
      <c r="Q79" s="9"/>
      <c r="R79" s="9"/>
      <c r="Y79" s="3" t="s">
        <v>42</v>
      </c>
      <c r="AA79" s="34">
        <f>AVERAGEA(AA11:AA40)</f>
        <v>71475.053176168221</v>
      </c>
      <c r="AB79" s="107">
        <f>AVERAGE(AB11:AB40)</f>
        <v>4.8318623880642608</v>
      </c>
    </row>
    <row r="80" spans="1:54">
      <c r="Y80" s="3" t="s">
        <v>42</v>
      </c>
      <c r="AA80" s="34">
        <f>(AA11+AA15+AA19+AA23+AA27+AA31+AA35+AA39)/8</f>
        <v>138255.7002752831</v>
      </c>
      <c r="AB80" s="125">
        <f>AVERAGE(AB11,AB15,AB19,AB23,AB27,AB31,AB35,AB39)</f>
        <v>3.7161659127026918</v>
      </c>
    </row>
    <row r="81" spans="2:33">
      <c r="Y81" s="3" t="s">
        <v>42</v>
      </c>
      <c r="AA81" s="34">
        <f>(SUM(AA12:AA14)+SUM(AA16:AA18)+SUM(AA20:AA22)+SUM(AA24:AA26)+SUM(AA28:AA30)+SUM(AA32:AA34)+SUM(AA36:AA38)+AA40)/22</f>
        <v>47191.181503762797</v>
      </c>
    </row>
    <row r="82" spans="2:33" ht="15.75" customHeight="1" thickBot="1">
      <c r="B82" s="152"/>
    </row>
    <row r="83" spans="2:33">
      <c r="L83" s="34"/>
      <c r="P83" s="38"/>
      <c r="Q83" s="38"/>
      <c r="R83" s="34"/>
      <c r="S83" s="34"/>
      <c r="T83" s="34"/>
      <c r="U83" s="34"/>
      <c r="AA83" s="128" t="s">
        <v>42</v>
      </c>
      <c r="AB83" s="129">
        <f>AVERAGE(AB11:AB40)</f>
        <v>4.8318623880642608</v>
      </c>
      <c r="AC83" s="128"/>
      <c r="AD83" s="130"/>
      <c r="AE83" s="130"/>
      <c r="AF83" s="130"/>
      <c r="AG83" s="130"/>
    </row>
    <row r="84" spans="2:33">
      <c r="L84" s="34"/>
      <c r="R84" s="34"/>
      <c r="S84" s="34"/>
      <c r="T84" s="34"/>
      <c r="U84" s="34"/>
      <c r="AA84" s="132"/>
      <c r="AB84" s="133"/>
      <c r="AC84" s="132"/>
      <c r="AD84" s="9"/>
      <c r="AE84" s="9"/>
      <c r="AF84" s="9"/>
      <c r="AG84" s="9"/>
    </row>
    <row r="85" spans="2:33">
      <c r="F85" s="34"/>
      <c r="G85" s="34"/>
      <c r="I85" s="34"/>
      <c r="J85" s="34"/>
      <c r="K85" s="34"/>
      <c r="L85" s="34"/>
      <c r="R85" s="34"/>
      <c r="S85" s="34"/>
      <c r="T85" s="34"/>
      <c r="U85" s="34"/>
      <c r="AA85" s="132"/>
      <c r="AB85" s="133"/>
      <c r="AC85" s="132"/>
      <c r="AD85" s="9"/>
      <c r="AE85" s="9"/>
      <c r="AF85" s="9"/>
      <c r="AG85" s="9"/>
    </row>
    <row r="86" spans="2:33">
      <c r="I86" s="34"/>
      <c r="J86" s="34"/>
      <c r="K86" s="34"/>
      <c r="L86" s="34"/>
      <c r="AA86" s="132"/>
      <c r="AB86" s="133"/>
      <c r="AC86" s="132"/>
      <c r="AD86" s="9"/>
      <c r="AE86" s="9"/>
      <c r="AF86" s="9"/>
      <c r="AG86" s="9"/>
    </row>
    <row r="87" spans="2:33">
      <c r="I87" s="34"/>
      <c r="J87" s="34"/>
      <c r="K87" s="34"/>
      <c r="L87" s="34"/>
      <c r="R87" s="34"/>
      <c r="S87" s="34"/>
      <c r="T87" s="34"/>
      <c r="U87" s="34"/>
      <c r="AA87" s="132"/>
      <c r="AB87" s="133"/>
      <c r="AC87" s="132"/>
      <c r="AD87" s="9"/>
      <c r="AE87" s="9"/>
      <c r="AF87" s="9"/>
      <c r="AG87" s="9"/>
    </row>
    <row r="88" spans="2:33">
      <c r="AA88" s="132"/>
      <c r="AB88" s="133"/>
      <c r="AC88" s="132"/>
      <c r="AD88" s="9"/>
      <c r="AE88" s="9"/>
      <c r="AF88" s="9"/>
      <c r="AG88" s="9"/>
    </row>
    <row r="89" spans="2:33">
      <c r="AA89" s="132"/>
      <c r="AB89" s="133"/>
      <c r="AC89" s="132"/>
      <c r="AD89" s="9"/>
      <c r="AE89" s="9"/>
      <c r="AF89" s="9"/>
      <c r="AG89" s="9"/>
    </row>
    <row r="90" spans="2:33">
      <c r="AA90" s="132"/>
      <c r="AB90" s="133"/>
      <c r="AC90" s="132"/>
      <c r="AD90" s="9"/>
      <c r="AE90" s="9"/>
      <c r="AF90" s="9"/>
      <c r="AG90" s="9"/>
    </row>
    <row r="91" spans="2:33">
      <c r="AA91" s="132"/>
      <c r="AB91" s="133"/>
      <c r="AC91" s="132"/>
      <c r="AD91" s="9"/>
      <c r="AE91" s="9"/>
      <c r="AF91" s="9"/>
      <c r="AG91" s="9"/>
    </row>
    <row r="92" spans="2:33">
      <c r="AA92" s="132"/>
      <c r="AB92" s="133"/>
      <c r="AC92" s="132"/>
      <c r="AD92" s="9"/>
      <c r="AE92" s="9"/>
      <c r="AF92" s="9"/>
      <c r="AG92" s="9"/>
    </row>
    <row r="93" spans="2:33">
      <c r="AA93" s="132"/>
      <c r="AB93" s="133"/>
      <c r="AC93" s="132"/>
      <c r="AD93" s="9"/>
      <c r="AE93" s="9"/>
      <c r="AF93" s="9"/>
      <c r="AG93" s="9"/>
    </row>
    <row r="94" spans="2:33">
      <c r="AA94" s="132"/>
      <c r="AB94" s="133"/>
      <c r="AC94" s="132"/>
      <c r="AD94" s="9"/>
      <c r="AE94" s="9"/>
      <c r="AF94" s="9"/>
      <c r="AG94" s="9"/>
    </row>
    <row r="95" spans="2:33">
      <c r="AA95" s="132"/>
      <c r="AB95" s="133"/>
      <c r="AC95" s="132"/>
      <c r="AD95" s="9"/>
      <c r="AE95" s="9"/>
      <c r="AF95" s="9"/>
      <c r="AG95" s="9"/>
    </row>
    <row r="96" spans="2:33">
      <c r="AA96" s="132"/>
      <c r="AB96" s="133"/>
      <c r="AC96" s="132"/>
      <c r="AD96" s="9"/>
      <c r="AE96" s="9"/>
      <c r="AF96" s="9"/>
      <c r="AG96" s="9"/>
    </row>
    <row r="97" spans="27:33">
      <c r="AA97" s="132"/>
      <c r="AB97" s="133"/>
      <c r="AC97" s="132"/>
      <c r="AD97" s="9"/>
      <c r="AE97" s="9"/>
      <c r="AF97" s="9"/>
      <c r="AG97" s="9"/>
    </row>
    <row r="98" spans="27:33">
      <c r="AA98" s="132" t="s">
        <v>69</v>
      </c>
      <c r="AB98" s="9">
        <f>COUNT(AB11:AB40)</f>
        <v>29</v>
      </c>
      <c r="AC98" s="132"/>
      <c r="AD98" s="9"/>
      <c r="AE98" s="9"/>
      <c r="AF98" s="7" t="s">
        <v>104</v>
      </c>
      <c r="AG98" s="7" t="s">
        <v>105</v>
      </c>
    </row>
    <row r="99" spans="27:33">
      <c r="AA99" s="132" t="s">
        <v>96</v>
      </c>
      <c r="AB99" s="9">
        <f>STDEV(AB11:AB40)</f>
        <v>5.4706018775426699</v>
      </c>
      <c r="AC99" s="132"/>
      <c r="AD99" s="9" t="s">
        <v>101</v>
      </c>
      <c r="AE99" s="9"/>
      <c r="AF99" s="18">
        <f>B42*AB83*(AE108+AF108)</f>
        <v>16952.163481664233</v>
      </c>
      <c r="AG99" s="18">
        <f>B43+3000*AB83*AD108</f>
        <v>15817.525288255569</v>
      </c>
    </row>
    <row r="100" spans="27:33">
      <c r="AA100" s="132" t="s">
        <v>97</v>
      </c>
      <c r="AB100" s="9" t="e">
        <f>VLOOKUP(AB98,tval,5)</f>
        <v>#REF!</v>
      </c>
      <c r="AC100" s="132"/>
      <c r="AD100" s="9"/>
      <c r="AE100" s="9" t="s">
        <v>102</v>
      </c>
      <c r="AF100" s="18" t="e">
        <f>B42*AB103*(AE108+AF108)</f>
        <v>#REF!</v>
      </c>
      <c r="AG100" s="18" t="e">
        <f>B43*AB103*AD108</f>
        <v>#REF!</v>
      </c>
    </row>
    <row r="101" spans="27:33">
      <c r="AA101" s="132"/>
      <c r="AB101" s="9"/>
      <c r="AC101" s="132"/>
      <c r="AD101" s="9"/>
      <c r="AE101" s="9" t="s">
        <v>103</v>
      </c>
      <c r="AF101" s="18" t="e">
        <f>B42*AB104*(AE108+AF108)</f>
        <v>#REF!</v>
      </c>
      <c r="AG101" s="18" t="e">
        <f>B43*AB104*AD108</f>
        <v>#REF!</v>
      </c>
    </row>
    <row r="102" spans="27:33">
      <c r="AA102" s="132" t="s">
        <v>98</v>
      </c>
      <c r="AB102" s="9"/>
      <c r="AC102" s="132"/>
      <c r="AD102" s="9"/>
      <c r="AE102" s="9"/>
      <c r="AF102" s="9"/>
      <c r="AG102" s="9"/>
    </row>
    <row r="103" spans="27:33">
      <c r="AA103" s="132" t="s">
        <v>99</v>
      </c>
      <c r="AB103" s="9" t="e">
        <f>AB83-(AB100*(AB99/SQRT(AB98)))</f>
        <v>#REF!</v>
      </c>
      <c r="AC103" s="132"/>
      <c r="AD103" s="9"/>
      <c r="AE103" s="9"/>
      <c r="AF103" s="9"/>
      <c r="AG103" s="9"/>
    </row>
    <row r="104" spans="27:33">
      <c r="AA104" s="132" t="s">
        <v>100</v>
      </c>
      <c r="AB104" s="9" t="e">
        <f>AB83+(AB100*(AB99/SQRT(AB98)))</f>
        <v>#REF!</v>
      </c>
      <c r="AC104" s="132"/>
      <c r="AD104" s="9"/>
      <c r="AE104" s="9"/>
      <c r="AF104" s="9"/>
      <c r="AG104" s="9"/>
    </row>
    <row r="105" spans="27:33" ht="16" thickBot="1">
      <c r="AA105" s="147"/>
      <c r="AB105" s="42"/>
      <c r="AC105" s="132"/>
      <c r="AD105" s="9"/>
      <c r="AE105" s="9"/>
      <c r="AF105" s="9"/>
      <c r="AG105" s="9"/>
    </row>
    <row r="106" spans="27:33">
      <c r="AC106" s="132"/>
      <c r="AD106" s="5" t="s">
        <v>106</v>
      </c>
      <c r="AE106" s="5"/>
      <c r="AF106" s="5"/>
      <c r="AG106" s="9"/>
    </row>
    <row r="107" spans="27:33">
      <c r="AC107" s="132"/>
      <c r="AD107" s="9">
        <v>1.2</v>
      </c>
      <c r="AE107" s="9">
        <v>1.3</v>
      </c>
      <c r="AF107" s="9">
        <v>2.2000000000000002</v>
      </c>
      <c r="AG107" s="9"/>
    </row>
    <row r="108" spans="27:33">
      <c r="AC108" s="132"/>
      <c r="AD108" s="9">
        <v>0.72756799492108559</v>
      </c>
      <c r="AE108" s="9">
        <v>6.9062376416605759E-2</v>
      </c>
      <c r="AF108" s="9">
        <v>0.16037061362088398</v>
      </c>
      <c r="AG108" s="9"/>
    </row>
    <row r="109" spans="27:33">
      <c r="AC109" s="132"/>
      <c r="AD109" s="9"/>
      <c r="AE109" s="9"/>
      <c r="AF109" s="9"/>
      <c r="AG109" s="9"/>
    </row>
    <row r="110" spans="27:33">
      <c r="AC110" s="132"/>
      <c r="AD110" s="9"/>
      <c r="AE110" s="9"/>
      <c r="AF110" s="9"/>
      <c r="AG110" s="9"/>
    </row>
    <row r="111" spans="27:33" ht="16" thickBot="1">
      <c r="AC111" s="147"/>
      <c r="AD111" s="42"/>
      <c r="AE111" s="42"/>
      <c r="AF111" s="42"/>
      <c r="AG111" s="42"/>
    </row>
  </sheetData>
  <phoneticPr fontId="9" type="noConversion"/>
  <pageMargins left="0.5" right="0.5" top="1" bottom="1" header="0.5" footer="0.5"/>
  <pageSetup scale="55" orientation="landscape" horizontalDpi="300" verticalDpi="300"/>
  <headerFooter alignWithMargins="0">
    <oddFooter>&amp;L&amp;D&amp;C+&amp;R^</oddFooter>
  </headerFooter>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D99"/>
  <sheetViews>
    <sheetView workbookViewId="0">
      <pane ySplit="11" topLeftCell="A69" activePane="bottomLeft" state="frozen"/>
      <selection pane="bottomLeft" activeCell="C53" sqref="C53"/>
    </sheetView>
  </sheetViews>
  <sheetFormatPr baseColWidth="10" defaultColWidth="8.85546875" defaultRowHeight="15" x14ac:dyDescent="0"/>
  <cols>
    <col min="1" max="1" width="13.5703125" style="3" customWidth="1"/>
    <col min="2" max="2" width="8.5703125" style="3" customWidth="1"/>
    <col min="3" max="3" width="9.5703125" style="3" customWidth="1"/>
    <col min="4" max="4" width="9.140625" style="3" customWidth="1"/>
    <col min="5" max="5" width="9.5703125" style="3" customWidth="1"/>
    <col min="6" max="6" width="10" style="3" customWidth="1"/>
    <col min="7" max="7" width="2.85546875" style="3" customWidth="1"/>
    <col min="8" max="8" width="9.140625" style="3" customWidth="1"/>
    <col min="9" max="9" width="10.85546875" style="3" customWidth="1"/>
    <col min="10" max="10" width="1.42578125" style="3" customWidth="1"/>
    <col min="11" max="11" width="45.85546875" style="3" customWidth="1"/>
    <col min="12" max="12" width="9.140625" style="3" customWidth="1"/>
    <col min="13" max="13" width="12.42578125" style="3" customWidth="1"/>
    <col min="14" max="22" width="8.85546875" style="3"/>
    <col min="23" max="26" width="10.42578125" style="3" bestFit="1" customWidth="1"/>
    <col min="27" max="27" width="9" style="3" bestFit="1" customWidth="1"/>
    <col min="28" max="16384" width="8.85546875" style="3"/>
  </cols>
  <sheetData>
    <row r="1" spans="1:30">
      <c r="A1" s="164" t="str">
        <f ca="1">CELL("filename")</f>
        <v>NWCLM04072996:Users:eric.ward:Documents:NCEAS-covariation:data:salmon data:data for analysis:[Eshamy_Wild_Sockeye.xlsx]Sheet1</v>
      </c>
    </row>
    <row r="3" spans="1:30">
      <c r="A3" s="4" t="s">
        <v>137</v>
      </c>
    </row>
    <row r="4" spans="1:30">
      <c r="A4" s="3" t="s">
        <v>81</v>
      </c>
    </row>
    <row r="5" spans="1:30">
      <c r="A5" s="3" t="s">
        <v>82</v>
      </c>
    </row>
    <row r="6" spans="1:30">
      <c r="A6" s="3" t="s">
        <v>85</v>
      </c>
    </row>
    <row r="7" spans="1:30">
      <c r="A7" s="3" t="s">
        <v>83</v>
      </c>
    </row>
    <row r="8" spans="1:30">
      <c r="A8" s="5"/>
      <c r="B8" s="5"/>
      <c r="C8" s="5"/>
      <c r="D8" s="5"/>
      <c r="E8" s="5"/>
      <c r="F8" s="5"/>
      <c r="G8" s="5"/>
      <c r="H8" s="5"/>
      <c r="I8" s="5"/>
    </row>
    <row r="9" spans="1:30">
      <c r="B9" s="219" t="s">
        <v>71</v>
      </c>
      <c r="C9" s="219"/>
      <c r="D9" s="219"/>
      <c r="E9" s="219"/>
      <c r="F9" s="219"/>
      <c r="G9" s="219"/>
      <c r="H9" s="219"/>
      <c r="I9" s="219"/>
      <c r="J9" s="36"/>
      <c r="K9" s="36"/>
    </row>
    <row r="10" spans="1:30">
      <c r="A10" s="6"/>
      <c r="B10" s="6"/>
      <c r="C10" s="218" t="s">
        <v>61</v>
      </c>
      <c r="D10" s="218"/>
      <c r="E10" s="218"/>
      <c r="F10" s="218"/>
      <c r="G10" s="8"/>
      <c r="H10" s="218" t="s">
        <v>66</v>
      </c>
      <c r="I10" s="218"/>
      <c r="J10" s="9"/>
      <c r="K10" s="9"/>
      <c r="L10" s="9"/>
      <c r="M10" s="9"/>
      <c r="N10" s="9"/>
      <c r="O10" s="9"/>
      <c r="P10" s="9"/>
      <c r="Q10" s="9"/>
      <c r="R10" s="9"/>
      <c r="S10" s="9"/>
      <c r="T10" s="9"/>
      <c r="U10" s="9"/>
      <c r="V10" s="9"/>
      <c r="W10" s="9"/>
      <c r="X10" s="9"/>
      <c r="Y10" s="9"/>
      <c r="Z10" s="9"/>
      <c r="AA10" s="9"/>
      <c r="AB10" s="9"/>
      <c r="AC10" s="9"/>
      <c r="AD10" s="9"/>
    </row>
    <row r="11" spans="1:30" ht="16" thickBot="1">
      <c r="A11" s="10" t="s">
        <v>14</v>
      </c>
      <c r="B11" s="10" t="s">
        <v>70</v>
      </c>
      <c r="C11" s="10" t="s">
        <v>62</v>
      </c>
      <c r="D11" s="10" t="s">
        <v>63</v>
      </c>
      <c r="E11" s="10" t="s">
        <v>64</v>
      </c>
      <c r="F11" s="10" t="s">
        <v>65</v>
      </c>
      <c r="G11" s="10"/>
      <c r="H11" s="10" t="s">
        <v>67</v>
      </c>
      <c r="I11" s="10" t="s">
        <v>68</v>
      </c>
      <c r="J11" s="42"/>
      <c r="K11" s="43" t="s">
        <v>116</v>
      </c>
      <c r="L11" s="11"/>
      <c r="M11" s="11"/>
      <c r="N11" s="11"/>
      <c r="O11" s="11"/>
      <c r="P11" s="11"/>
      <c r="Q11" s="11"/>
      <c r="R11" s="11"/>
      <c r="S11" s="11"/>
      <c r="T11" s="11"/>
      <c r="U11" s="11"/>
      <c r="V11" s="11"/>
      <c r="W11" s="11"/>
      <c r="X11" s="11"/>
      <c r="Y11" s="11"/>
      <c r="Z11" s="11"/>
      <c r="AA11" s="11"/>
      <c r="AB11" s="11"/>
      <c r="AC11" s="11"/>
      <c r="AD11" s="9"/>
    </row>
    <row r="12" spans="1:30" ht="16" thickTop="1">
      <c r="A12" s="12">
        <v>1968</v>
      </c>
      <c r="B12" s="192">
        <v>155832</v>
      </c>
      <c r="C12" s="46">
        <f>B12</f>
        <v>155832</v>
      </c>
      <c r="D12" s="45"/>
      <c r="E12" s="45"/>
      <c r="F12" s="45"/>
      <c r="H12" s="46">
        <f>B12</f>
        <v>155832</v>
      </c>
      <c r="I12" s="45"/>
      <c r="K12" s="11"/>
      <c r="L12" s="11"/>
      <c r="M12" s="11"/>
      <c r="N12" s="9"/>
      <c r="O12" s="9"/>
      <c r="P12" s="8"/>
      <c r="Q12" s="11"/>
      <c r="R12" s="11"/>
      <c r="S12" s="11"/>
      <c r="T12" s="11"/>
      <c r="U12" s="11"/>
      <c r="V12" s="11"/>
      <c r="W12" s="11"/>
      <c r="X12" s="11"/>
      <c r="Y12" s="11"/>
      <c r="Z12" s="11"/>
      <c r="AA12" s="11"/>
      <c r="AB12" s="11"/>
      <c r="AC12" s="11"/>
      <c r="AD12" s="9"/>
    </row>
    <row r="13" spans="1:30">
      <c r="A13" s="12">
        <v>1969</v>
      </c>
      <c r="B13" s="192">
        <v>188806</v>
      </c>
      <c r="C13" s="45"/>
      <c r="D13" s="46">
        <f>B13</f>
        <v>188806</v>
      </c>
      <c r="E13" s="45"/>
      <c r="F13" s="45"/>
      <c r="H13" s="46">
        <f>B13</f>
        <v>188806</v>
      </c>
      <c r="I13" s="45"/>
      <c r="K13" s="9"/>
      <c r="L13" s="9"/>
      <c r="M13" s="9"/>
      <c r="N13" s="9"/>
      <c r="O13" s="9"/>
      <c r="P13" s="9"/>
      <c r="Q13" s="9"/>
      <c r="R13" s="9"/>
      <c r="S13" s="9"/>
      <c r="T13" s="9"/>
      <c r="U13" s="9"/>
      <c r="V13" s="9"/>
      <c r="W13" s="9"/>
      <c r="X13" s="9"/>
      <c r="Y13" s="9"/>
      <c r="Z13" s="9"/>
      <c r="AA13" s="9"/>
      <c r="AB13" s="9"/>
      <c r="AC13" s="9"/>
      <c r="AD13" s="9"/>
    </row>
    <row r="14" spans="1:30">
      <c r="A14" s="14">
        <v>1970</v>
      </c>
      <c r="B14" s="192">
        <v>51954</v>
      </c>
      <c r="C14" s="45"/>
      <c r="D14" s="45"/>
      <c r="E14" s="46">
        <f>B14</f>
        <v>51954</v>
      </c>
      <c r="F14" s="45"/>
      <c r="H14" s="45"/>
      <c r="I14" s="46">
        <f>B14</f>
        <v>51954</v>
      </c>
      <c r="K14" s="9"/>
      <c r="L14" s="9"/>
      <c r="M14" s="9"/>
      <c r="N14" s="9"/>
      <c r="O14" s="9"/>
      <c r="P14" s="9"/>
      <c r="Q14" s="9"/>
      <c r="R14" s="9"/>
      <c r="S14" s="9"/>
      <c r="T14" s="9"/>
      <c r="U14" s="9"/>
      <c r="V14" s="9"/>
      <c r="W14" s="9"/>
      <c r="X14" s="9"/>
      <c r="Y14" s="9"/>
      <c r="Z14" s="9"/>
      <c r="AA14" s="9"/>
      <c r="AB14" s="9"/>
      <c r="AC14" s="9"/>
      <c r="AD14" s="9"/>
    </row>
    <row r="15" spans="1:30">
      <c r="A15" s="15">
        <v>1971</v>
      </c>
      <c r="B15" s="192">
        <v>19747</v>
      </c>
      <c r="C15" s="47"/>
      <c r="D15" s="47"/>
      <c r="E15" s="47"/>
      <c r="F15" s="48">
        <f>B15</f>
        <v>19747</v>
      </c>
      <c r="G15" s="16"/>
      <c r="H15" s="47"/>
      <c r="I15" s="48">
        <f>B15</f>
        <v>19747</v>
      </c>
      <c r="K15" s="9"/>
      <c r="L15" s="9"/>
      <c r="M15" s="9"/>
      <c r="N15" s="9"/>
      <c r="O15" s="9"/>
      <c r="P15" s="9"/>
      <c r="Q15" s="9"/>
      <c r="R15" s="9"/>
      <c r="S15" s="9"/>
      <c r="T15" s="9"/>
      <c r="U15" s="9"/>
      <c r="V15" s="9"/>
      <c r="W15" s="9"/>
      <c r="X15" s="9"/>
      <c r="Y15" s="9"/>
      <c r="Z15" s="9"/>
      <c r="AA15" s="9"/>
      <c r="AB15" s="9"/>
      <c r="AC15" s="9"/>
      <c r="AD15" s="9"/>
    </row>
    <row r="16" spans="1:30">
      <c r="A16" s="12">
        <v>1972</v>
      </c>
      <c r="B16" s="192">
        <v>81571</v>
      </c>
      <c r="C16" s="46">
        <f>B16</f>
        <v>81571</v>
      </c>
      <c r="D16" s="45"/>
      <c r="E16" s="45"/>
      <c r="F16" s="45"/>
      <c r="H16" s="46">
        <f>B16</f>
        <v>81571</v>
      </c>
      <c r="I16" s="45"/>
      <c r="K16" s="9"/>
      <c r="L16" s="9"/>
      <c r="M16" s="9"/>
      <c r="N16" s="9"/>
      <c r="O16" s="9"/>
      <c r="P16" s="9"/>
      <c r="Q16" s="9"/>
      <c r="R16" s="9"/>
      <c r="S16" s="9"/>
      <c r="T16" s="9"/>
      <c r="U16" s="9"/>
      <c r="V16" s="9"/>
      <c r="W16" s="9"/>
      <c r="X16" s="9"/>
      <c r="Y16" s="9"/>
      <c r="Z16" s="9"/>
      <c r="AA16" s="9"/>
      <c r="AB16" s="9"/>
      <c r="AC16" s="9"/>
      <c r="AD16" s="9"/>
    </row>
    <row r="17" spans="1:30">
      <c r="A17" s="12">
        <v>1973</v>
      </c>
      <c r="B17" s="192">
        <v>31103</v>
      </c>
      <c r="C17" s="45"/>
      <c r="D17" s="46">
        <f>B17</f>
        <v>31103</v>
      </c>
      <c r="E17" s="45"/>
      <c r="F17" s="45"/>
      <c r="H17" s="46">
        <f>B17</f>
        <v>31103</v>
      </c>
      <c r="I17" s="45"/>
      <c r="K17" s="9"/>
      <c r="L17" s="9"/>
      <c r="M17" s="9"/>
      <c r="N17" s="9"/>
      <c r="O17" s="9"/>
      <c r="P17" s="9"/>
      <c r="Q17" s="9"/>
      <c r="R17" s="9"/>
      <c r="S17" s="9"/>
      <c r="T17" s="9"/>
      <c r="U17" s="9"/>
      <c r="V17" s="9"/>
      <c r="W17" s="9"/>
      <c r="X17" s="9"/>
      <c r="Y17" s="9"/>
      <c r="Z17" s="9"/>
      <c r="AA17" s="9"/>
      <c r="AB17" s="9"/>
      <c r="AC17" s="9"/>
      <c r="AD17" s="9"/>
    </row>
    <row r="18" spans="1:30">
      <c r="A18" s="12">
        <v>1974</v>
      </c>
      <c r="B18" s="192">
        <v>19686</v>
      </c>
      <c r="C18" s="45"/>
      <c r="D18" s="45"/>
      <c r="E18" s="46">
        <f>B18</f>
        <v>19686</v>
      </c>
      <c r="F18" s="45"/>
      <c r="H18" s="45"/>
      <c r="I18" s="46">
        <f>B18</f>
        <v>19686</v>
      </c>
      <c r="K18" s="9"/>
      <c r="L18" s="9"/>
      <c r="M18" s="9"/>
      <c r="N18" s="9"/>
      <c r="O18" s="9"/>
      <c r="P18" s="9"/>
      <c r="Q18" s="9"/>
      <c r="R18" s="9"/>
      <c r="S18" s="9"/>
      <c r="T18" s="9"/>
      <c r="U18" s="9"/>
      <c r="V18" s="9"/>
      <c r="W18" s="9"/>
      <c r="X18" s="9"/>
      <c r="Y18" s="9"/>
      <c r="Z18" s="9"/>
      <c r="AA18" s="9"/>
      <c r="AB18" s="9"/>
      <c r="AC18" s="9"/>
      <c r="AD18" s="9"/>
    </row>
    <row r="19" spans="1:30">
      <c r="A19" s="17">
        <v>1975</v>
      </c>
      <c r="B19" s="192">
        <v>9366</v>
      </c>
      <c r="C19" s="47"/>
      <c r="D19" s="47"/>
      <c r="E19" s="47"/>
      <c r="F19" s="48">
        <f>B19</f>
        <v>9366</v>
      </c>
      <c r="G19" s="16"/>
      <c r="H19" s="47"/>
      <c r="I19" s="48">
        <f>B19</f>
        <v>9366</v>
      </c>
      <c r="K19" s="9"/>
      <c r="L19" s="9"/>
      <c r="M19" s="9"/>
      <c r="N19" s="9"/>
      <c r="O19" s="9"/>
      <c r="P19" s="9"/>
      <c r="Q19" s="9"/>
      <c r="R19" s="9"/>
      <c r="S19" s="9"/>
      <c r="T19" s="9"/>
      <c r="U19" s="9"/>
      <c r="V19" s="9"/>
      <c r="W19" s="9"/>
      <c r="X19" s="9"/>
      <c r="Y19" s="9"/>
      <c r="Z19" s="9"/>
      <c r="AA19" s="9"/>
      <c r="AB19" s="9"/>
      <c r="AC19" s="9"/>
      <c r="AD19" s="9"/>
    </row>
    <row r="20" spans="1:30">
      <c r="A20" s="12">
        <v>1976</v>
      </c>
      <c r="B20" s="192">
        <v>39147</v>
      </c>
      <c r="C20" s="46">
        <f>B20</f>
        <v>39147</v>
      </c>
      <c r="D20" s="45"/>
      <c r="E20" s="45"/>
      <c r="F20" s="45"/>
      <c r="H20" s="46">
        <f>B20</f>
        <v>39147</v>
      </c>
      <c r="I20" s="45"/>
      <c r="K20" s="9"/>
      <c r="L20" s="9"/>
      <c r="M20" s="9"/>
      <c r="N20" s="9"/>
      <c r="O20" s="9"/>
      <c r="P20" s="9"/>
      <c r="Q20" s="9"/>
      <c r="R20" s="9"/>
      <c r="S20" s="9"/>
      <c r="T20" s="9"/>
      <c r="U20" s="9"/>
      <c r="V20" s="9"/>
      <c r="W20" s="18"/>
      <c r="X20" s="18"/>
      <c r="Y20" s="18"/>
      <c r="Z20" s="18"/>
      <c r="AA20" s="18"/>
      <c r="AB20" s="9"/>
      <c r="AC20" s="9"/>
      <c r="AD20" s="9"/>
    </row>
    <row r="21" spans="1:30">
      <c r="A21" s="12">
        <v>1977</v>
      </c>
      <c r="B21" s="192">
        <v>55863</v>
      </c>
      <c r="C21" s="45"/>
      <c r="D21" s="46">
        <f>B21</f>
        <v>55863</v>
      </c>
      <c r="E21" s="45"/>
      <c r="F21" s="45"/>
      <c r="H21" s="46">
        <f>B21</f>
        <v>55863</v>
      </c>
      <c r="I21" s="45"/>
      <c r="K21" s="9"/>
      <c r="L21" s="9"/>
      <c r="M21" s="9"/>
      <c r="N21" s="9"/>
      <c r="O21" s="9"/>
      <c r="P21" s="9"/>
      <c r="Q21" s="9"/>
      <c r="R21" s="9"/>
      <c r="S21" s="9"/>
      <c r="T21" s="9"/>
      <c r="U21" s="9"/>
      <c r="V21" s="9"/>
      <c r="W21" s="9"/>
      <c r="X21" s="9"/>
      <c r="Y21" s="9"/>
      <c r="Z21" s="9"/>
      <c r="AA21" s="9"/>
      <c r="AB21" s="9"/>
      <c r="AC21" s="9"/>
      <c r="AD21" s="9"/>
    </row>
    <row r="22" spans="1:30">
      <c r="A22" s="12">
        <v>1978</v>
      </c>
      <c r="B22" s="192">
        <v>12580</v>
      </c>
      <c r="C22" s="45"/>
      <c r="D22" s="45"/>
      <c r="E22" s="46">
        <f>B22</f>
        <v>12580</v>
      </c>
      <c r="F22" s="45"/>
      <c r="H22" s="45"/>
      <c r="I22" s="46">
        <f>B22</f>
        <v>12580</v>
      </c>
      <c r="K22" s="9"/>
      <c r="L22" s="9"/>
      <c r="M22" s="9"/>
      <c r="N22" s="9"/>
      <c r="O22" s="9"/>
      <c r="P22" s="9"/>
      <c r="Q22" s="9"/>
      <c r="R22" s="9"/>
      <c r="S22" s="9"/>
      <c r="T22" s="9"/>
      <c r="U22" s="9"/>
      <c r="V22" s="9"/>
      <c r="W22" s="9"/>
      <c r="X22" s="9"/>
      <c r="Y22" s="9"/>
      <c r="Z22" s="9"/>
      <c r="AA22" s="9"/>
      <c r="AB22" s="9"/>
      <c r="AC22" s="9"/>
      <c r="AD22" s="9"/>
    </row>
    <row r="23" spans="1:30">
      <c r="A23" s="17">
        <v>1979</v>
      </c>
      <c r="B23" s="192">
        <v>33802</v>
      </c>
      <c r="C23" s="47"/>
      <c r="D23" s="47"/>
      <c r="E23" s="47"/>
      <c r="F23" s="48">
        <f>B23</f>
        <v>33802</v>
      </c>
      <c r="G23" s="16"/>
      <c r="H23" s="47"/>
      <c r="I23" s="48">
        <f>B23</f>
        <v>33802</v>
      </c>
      <c r="K23" s="9"/>
      <c r="L23" s="9"/>
      <c r="M23" s="9"/>
      <c r="N23" s="9"/>
      <c r="O23" s="9"/>
      <c r="P23" s="9"/>
      <c r="Q23" s="9"/>
      <c r="R23" s="9"/>
      <c r="S23" s="9"/>
      <c r="T23" s="9"/>
      <c r="U23" s="9"/>
      <c r="V23" s="9"/>
      <c r="W23" s="9"/>
      <c r="X23" s="9"/>
      <c r="Y23" s="9"/>
      <c r="Z23" s="9"/>
      <c r="AA23" s="9"/>
      <c r="AB23" s="9"/>
      <c r="AC23" s="9"/>
      <c r="AD23" s="9"/>
    </row>
    <row r="24" spans="1:30">
      <c r="A24" s="12">
        <v>1980</v>
      </c>
      <c r="B24" s="192">
        <v>142557</v>
      </c>
      <c r="C24" s="46">
        <f>B24</f>
        <v>142557</v>
      </c>
      <c r="D24" s="45"/>
      <c r="E24" s="45"/>
      <c r="F24" s="45"/>
      <c r="H24" s="46">
        <f>B24</f>
        <v>142557</v>
      </c>
      <c r="I24" s="45"/>
    </row>
    <row r="25" spans="1:30">
      <c r="A25" s="12">
        <v>1981</v>
      </c>
      <c r="B25" s="192">
        <v>65842</v>
      </c>
      <c r="C25" s="45"/>
      <c r="D25" s="46">
        <f>B25</f>
        <v>65842</v>
      </c>
      <c r="E25" s="45"/>
      <c r="F25" s="45"/>
      <c r="H25" s="46">
        <f>B25</f>
        <v>65842</v>
      </c>
      <c r="I25" s="45"/>
    </row>
    <row r="26" spans="1:30">
      <c r="A26" s="12">
        <v>1982</v>
      </c>
      <c r="B26" s="192">
        <v>31574</v>
      </c>
      <c r="C26" s="45"/>
      <c r="D26" s="45"/>
      <c r="E26" s="46">
        <f>B26</f>
        <v>31574</v>
      </c>
      <c r="F26" s="45"/>
      <c r="H26" s="45"/>
      <c r="I26" s="46">
        <f>B26</f>
        <v>31574</v>
      </c>
    </row>
    <row r="27" spans="1:30">
      <c r="A27" s="17">
        <v>1983</v>
      </c>
      <c r="B27" s="192">
        <v>43209</v>
      </c>
      <c r="C27" s="47"/>
      <c r="D27" s="47"/>
      <c r="E27" s="47"/>
      <c r="F27" s="48">
        <f>B27</f>
        <v>43209</v>
      </c>
      <c r="G27" s="16"/>
      <c r="H27" s="47"/>
      <c r="I27" s="48">
        <f>B27</f>
        <v>43209</v>
      </c>
    </row>
    <row r="28" spans="1:30">
      <c r="A28" s="12">
        <v>1984</v>
      </c>
      <c r="B28" s="192">
        <v>196674</v>
      </c>
      <c r="C28" s="46">
        <f>B28</f>
        <v>196674</v>
      </c>
      <c r="D28" s="45"/>
      <c r="E28" s="45"/>
      <c r="F28" s="45"/>
      <c r="H28" s="46">
        <f>B28</f>
        <v>196674</v>
      </c>
      <c r="I28" s="45"/>
    </row>
    <row r="29" spans="1:30">
      <c r="A29" s="12">
        <v>1985</v>
      </c>
      <c r="B29" s="192">
        <v>105520</v>
      </c>
      <c r="C29" s="45"/>
      <c r="D29" s="46">
        <f>B29</f>
        <v>105520</v>
      </c>
      <c r="E29" s="45"/>
      <c r="F29" s="45"/>
      <c r="H29" s="46">
        <f>B29</f>
        <v>105520</v>
      </c>
      <c r="I29" s="45"/>
    </row>
    <row r="30" spans="1:30">
      <c r="A30" s="12">
        <v>1986</v>
      </c>
      <c r="B30" s="192">
        <v>50226</v>
      </c>
      <c r="C30" s="45"/>
      <c r="D30" s="45"/>
      <c r="E30" s="46">
        <f>B30</f>
        <v>50226</v>
      </c>
      <c r="F30" s="45"/>
      <c r="H30" s="45"/>
      <c r="I30" s="46">
        <f>B30</f>
        <v>50226</v>
      </c>
    </row>
    <row r="31" spans="1:30">
      <c r="A31" s="15">
        <v>1987</v>
      </c>
      <c r="B31" s="192" t="s">
        <v>40</v>
      </c>
      <c r="C31" s="47"/>
      <c r="D31" s="47"/>
      <c r="E31" s="47"/>
      <c r="F31" s="49" t="str">
        <f>B31</f>
        <v>NA</v>
      </c>
      <c r="G31" s="19"/>
      <c r="H31" s="47"/>
      <c r="I31" s="49" t="str">
        <f>B31</f>
        <v>NA</v>
      </c>
    </row>
    <row r="32" spans="1:30">
      <c r="A32" s="12">
        <v>1988</v>
      </c>
      <c r="B32" s="192">
        <v>112050</v>
      </c>
      <c r="C32" s="46">
        <f>B32</f>
        <v>112050</v>
      </c>
      <c r="D32" s="45"/>
      <c r="E32" s="45"/>
      <c r="F32" s="45"/>
      <c r="H32" s="46">
        <f>B32</f>
        <v>112050</v>
      </c>
      <c r="I32" s="45"/>
      <c r="K32" s="4" t="s">
        <v>73</v>
      </c>
    </row>
    <row r="33" spans="1:11">
      <c r="A33" s="12">
        <v>1989</v>
      </c>
      <c r="B33" s="192">
        <v>57107</v>
      </c>
      <c r="C33" s="45"/>
      <c r="D33" s="46">
        <f>B33</f>
        <v>57107</v>
      </c>
      <c r="E33" s="45"/>
      <c r="F33" s="45"/>
      <c r="H33" s="46">
        <f>B33</f>
        <v>57107</v>
      </c>
      <c r="I33" s="45"/>
      <c r="K33" s="4"/>
    </row>
    <row r="34" spans="1:11">
      <c r="A34" s="12">
        <v>1990</v>
      </c>
      <c r="B34" s="192">
        <v>43073</v>
      </c>
      <c r="C34" s="45"/>
      <c r="D34" s="45"/>
      <c r="E34" s="46">
        <f>B34</f>
        <v>43073</v>
      </c>
      <c r="F34" s="45"/>
      <c r="H34" s="45"/>
      <c r="I34" s="46">
        <f>B34</f>
        <v>43073</v>
      </c>
      <c r="K34" s="4"/>
    </row>
    <row r="35" spans="1:11">
      <c r="A35" s="17" t="s">
        <v>113</v>
      </c>
      <c r="B35" s="192">
        <v>65241</v>
      </c>
      <c r="C35" s="47"/>
      <c r="D35" s="47"/>
      <c r="E35" s="47"/>
      <c r="F35" s="48">
        <f>B35</f>
        <v>65241</v>
      </c>
      <c r="G35" s="16"/>
      <c r="H35" s="47"/>
      <c r="I35" s="48">
        <f>B35</f>
        <v>65241</v>
      </c>
      <c r="K35" s="4" t="s">
        <v>78</v>
      </c>
    </row>
    <row r="36" spans="1:11">
      <c r="A36" s="12">
        <v>1992</v>
      </c>
      <c r="B36" s="192">
        <v>70311</v>
      </c>
      <c r="C36" s="46">
        <f>B36</f>
        <v>70311</v>
      </c>
      <c r="D36" s="45"/>
      <c r="E36" s="45"/>
      <c r="F36" s="45"/>
      <c r="H36" s="46">
        <f>B36</f>
        <v>70311</v>
      </c>
      <c r="I36" s="45"/>
      <c r="K36" s="4"/>
    </row>
    <row r="37" spans="1:11">
      <c r="A37" s="14">
        <v>1993</v>
      </c>
      <c r="B37" s="192">
        <v>74765</v>
      </c>
      <c r="C37" s="45"/>
      <c r="D37" s="46">
        <f>B37</f>
        <v>74765</v>
      </c>
      <c r="E37" s="45"/>
      <c r="F37" s="45"/>
      <c r="H37" s="46">
        <f>B37</f>
        <v>74765</v>
      </c>
      <c r="I37" s="45"/>
      <c r="K37" s="4" t="s">
        <v>74</v>
      </c>
    </row>
    <row r="38" spans="1:11">
      <c r="A38" s="12">
        <v>1994</v>
      </c>
      <c r="B38" s="192">
        <v>77625</v>
      </c>
      <c r="C38" s="45"/>
      <c r="D38" s="45"/>
      <c r="E38" s="46">
        <f>B38</f>
        <v>77625</v>
      </c>
      <c r="F38" s="45"/>
      <c r="H38" s="45"/>
      <c r="I38" s="46">
        <f>B38</f>
        <v>77625</v>
      </c>
      <c r="K38" s="4" t="s">
        <v>75</v>
      </c>
    </row>
    <row r="39" spans="1:11">
      <c r="A39" s="17">
        <v>1995</v>
      </c>
      <c r="B39" s="192">
        <v>23672</v>
      </c>
      <c r="C39" s="47"/>
      <c r="D39" s="47"/>
      <c r="E39" s="47"/>
      <c r="F39" s="48">
        <f>B39</f>
        <v>23672</v>
      </c>
      <c r="G39" s="16"/>
      <c r="H39" s="47"/>
      <c r="I39" s="48">
        <f>B39</f>
        <v>23672</v>
      </c>
      <c r="K39" s="4" t="s">
        <v>76</v>
      </c>
    </row>
    <row r="40" spans="1:11">
      <c r="A40" s="12">
        <v>1996</v>
      </c>
      <c r="B40" s="192">
        <v>19859</v>
      </c>
      <c r="C40" s="46">
        <f>B40</f>
        <v>19859</v>
      </c>
      <c r="D40" s="45"/>
      <c r="E40" s="45"/>
      <c r="F40" s="45"/>
      <c r="H40" s="46">
        <f>B40</f>
        <v>19859</v>
      </c>
      <c r="I40" s="45"/>
      <c r="K40" s="4" t="s">
        <v>77</v>
      </c>
    </row>
    <row r="41" spans="1:11">
      <c r="A41" s="12">
        <v>1997</v>
      </c>
      <c r="B41" s="192">
        <v>55583</v>
      </c>
      <c r="C41" s="46"/>
      <c r="D41" s="46">
        <f>B41</f>
        <v>55583</v>
      </c>
      <c r="E41" s="45"/>
      <c r="F41" s="45"/>
      <c r="H41" s="46">
        <f>B41</f>
        <v>55583</v>
      </c>
      <c r="I41" s="45"/>
    </row>
    <row r="42" spans="1:11">
      <c r="A42" s="12">
        <v>1998</v>
      </c>
      <c r="B42" s="192" t="s">
        <v>40</v>
      </c>
      <c r="C42" s="50"/>
      <c r="D42" s="57"/>
      <c r="E42" s="50" t="s">
        <v>40</v>
      </c>
      <c r="F42" s="45"/>
      <c r="H42" s="46"/>
      <c r="I42" s="50" t="str">
        <f>B42</f>
        <v>NA</v>
      </c>
    </row>
    <row r="43" spans="1:11">
      <c r="A43" s="17">
        <v>1999</v>
      </c>
      <c r="B43" s="192">
        <v>30730</v>
      </c>
      <c r="C43" s="47"/>
      <c r="D43" s="48"/>
      <c r="E43" s="47"/>
      <c r="F43" s="48">
        <f>B43</f>
        <v>30730</v>
      </c>
      <c r="G43" s="5"/>
      <c r="H43" s="48"/>
      <c r="I43" s="48">
        <f>B43</f>
        <v>30730</v>
      </c>
    </row>
    <row r="44" spans="1:11">
      <c r="A44" s="6">
        <v>2000</v>
      </c>
      <c r="B44" s="192">
        <v>64395</v>
      </c>
      <c r="C44" s="46">
        <f>B44</f>
        <v>64395</v>
      </c>
      <c r="D44" s="45"/>
      <c r="E44" s="45"/>
      <c r="F44" s="45"/>
      <c r="H44" s="46">
        <f>B44</f>
        <v>64395</v>
      </c>
      <c r="I44" s="45"/>
    </row>
    <row r="45" spans="1:11">
      <c r="A45" s="6">
        <v>2001</v>
      </c>
      <c r="B45" s="192">
        <v>55187</v>
      </c>
      <c r="C45" s="46"/>
      <c r="D45" s="58">
        <f>B45</f>
        <v>55187</v>
      </c>
      <c r="E45" s="45"/>
      <c r="F45" s="45"/>
      <c r="H45" s="51">
        <f>B45</f>
        <v>55187</v>
      </c>
      <c r="I45" s="52"/>
    </row>
    <row r="46" spans="1:11">
      <c r="A46" s="6">
        <v>2002</v>
      </c>
      <c r="B46" s="192">
        <v>74783</v>
      </c>
      <c r="C46" s="59"/>
      <c r="D46" s="59"/>
      <c r="E46" s="53">
        <f>B46</f>
        <v>74783</v>
      </c>
      <c r="F46" s="45"/>
      <c r="H46" s="51"/>
      <c r="I46" s="53">
        <f>E46</f>
        <v>74783</v>
      </c>
    </row>
    <row r="47" spans="1:11">
      <c r="A47" s="7">
        <v>2003</v>
      </c>
      <c r="B47" s="192">
        <v>61851</v>
      </c>
      <c r="C47" s="60"/>
      <c r="D47" s="60"/>
      <c r="E47" s="60"/>
      <c r="F47" s="54">
        <f>B47</f>
        <v>61851</v>
      </c>
      <c r="G47" s="22"/>
      <c r="H47" s="54"/>
      <c r="I47" s="53">
        <f>F47</f>
        <v>61851</v>
      </c>
    </row>
    <row r="48" spans="1:11">
      <c r="A48" s="6">
        <v>2004</v>
      </c>
      <c r="B48" s="192">
        <v>31219</v>
      </c>
      <c r="C48" s="61">
        <f>B48</f>
        <v>31219</v>
      </c>
      <c r="D48" s="62"/>
      <c r="E48" s="62"/>
      <c r="F48" s="56"/>
      <c r="G48" s="23"/>
      <c r="H48" s="55">
        <f>C48</f>
        <v>31219</v>
      </c>
      <c r="I48" s="53"/>
    </row>
    <row r="49" spans="1:13">
      <c r="A49" s="6">
        <v>2005</v>
      </c>
      <c r="B49" s="192">
        <v>71654</v>
      </c>
      <c r="C49" s="61"/>
      <c r="D49" s="61">
        <f>B49</f>
        <v>71654</v>
      </c>
      <c r="E49" s="61"/>
      <c r="F49" s="55"/>
      <c r="G49" s="63"/>
      <c r="H49" s="55">
        <f>D49</f>
        <v>71654</v>
      </c>
      <c r="I49" s="53"/>
    </row>
    <row r="50" spans="1:13">
      <c r="A50" s="6">
        <v>2006</v>
      </c>
      <c r="B50" s="192">
        <v>60565</v>
      </c>
      <c r="C50" s="61"/>
      <c r="D50" s="61"/>
      <c r="E50" s="61">
        <f>B50</f>
        <v>60565</v>
      </c>
      <c r="F50" s="55"/>
      <c r="G50" s="63"/>
      <c r="H50" s="55"/>
      <c r="I50" s="53">
        <f>E50</f>
        <v>60565</v>
      </c>
    </row>
    <row r="51" spans="1:13">
      <c r="A51" s="7">
        <v>2007</v>
      </c>
      <c r="B51" s="192">
        <v>38997</v>
      </c>
      <c r="C51" s="60"/>
      <c r="D51" s="60"/>
      <c r="E51" s="60"/>
      <c r="F51" s="54">
        <f>B51</f>
        <v>38997</v>
      </c>
      <c r="G51" s="22"/>
      <c r="H51" s="55"/>
      <c r="I51" s="53">
        <f>F51</f>
        <v>38997</v>
      </c>
    </row>
    <row r="52" spans="1:13">
      <c r="A52" s="6">
        <v>2008</v>
      </c>
      <c r="B52" s="207">
        <f>24935+18495+797</f>
        <v>44227</v>
      </c>
      <c r="C52" s="61">
        <f>B52</f>
        <v>44227</v>
      </c>
      <c r="D52" s="61"/>
      <c r="E52" s="61"/>
      <c r="F52" s="55"/>
      <c r="G52" s="63"/>
      <c r="H52" s="55">
        <f>C52</f>
        <v>44227</v>
      </c>
      <c r="I52" s="53"/>
    </row>
    <row r="53" spans="1:13">
      <c r="A53" s="6">
        <v>2009</v>
      </c>
      <c r="B53" s="192">
        <f>broodtab!U54</f>
        <v>50773</v>
      </c>
      <c r="C53" s="61"/>
      <c r="D53" s="61">
        <f>B53</f>
        <v>50773</v>
      </c>
      <c r="E53" s="61"/>
      <c r="F53" s="55"/>
      <c r="G53" s="63"/>
      <c r="H53" s="55">
        <f>D53</f>
        <v>50773</v>
      </c>
      <c r="I53" s="53"/>
    </row>
    <row r="54" spans="1:13">
      <c r="A54" s="6">
        <v>2010</v>
      </c>
      <c r="B54" s="192">
        <f>broodtab!U55</f>
        <v>30088</v>
      </c>
      <c r="C54" s="61"/>
      <c r="D54" s="61"/>
      <c r="E54" s="186">
        <f>B54</f>
        <v>30088</v>
      </c>
      <c r="F54" s="55"/>
      <c r="G54" s="63"/>
      <c r="H54" s="55"/>
      <c r="I54" s="53">
        <f>E54</f>
        <v>30088</v>
      </c>
    </row>
    <row r="55" spans="1:13">
      <c r="A55" s="6">
        <v>2011</v>
      </c>
      <c r="B55" s="192">
        <f>broodtab!U56</f>
        <v>67441</v>
      </c>
      <c r="C55" s="55"/>
      <c r="D55" s="61"/>
      <c r="E55" s="61"/>
      <c r="F55" s="55">
        <f>B55</f>
        <v>67441</v>
      </c>
      <c r="G55" s="63"/>
      <c r="H55" s="55"/>
      <c r="I55" s="55">
        <f>F55</f>
        <v>67441</v>
      </c>
    </row>
    <row r="56" spans="1:13">
      <c r="A56" s="6">
        <v>2012</v>
      </c>
      <c r="B56" s="192"/>
      <c r="C56" s="55"/>
      <c r="D56" s="61"/>
      <c r="E56" s="61"/>
      <c r="F56" s="55"/>
      <c r="G56" s="63"/>
      <c r="H56" s="55"/>
      <c r="I56" s="55"/>
    </row>
    <row r="57" spans="1:13">
      <c r="A57" s="6"/>
      <c r="B57" s="20"/>
      <c r="C57" s="55"/>
      <c r="D57" s="61"/>
      <c r="E57" s="61"/>
      <c r="F57" s="55"/>
      <c r="G57" s="63"/>
      <c r="H57" s="55"/>
      <c r="I57" s="55"/>
    </row>
    <row r="58" spans="1:13">
      <c r="A58" s="6"/>
      <c r="B58" s="20"/>
      <c r="C58" s="55"/>
      <c r="D58" s="61"/>
      <c r="E58" s="61"/>
      <c r="F58" s="55"/>
      <c r="G58" s="63"/>
      <c r="H58" s="55"/>
      <c r="I58" s="55"/>
    </row>
    <row r="59" spans="1:13">
      <c r="A59" s="6"/>
      <c r="B59" s="20"/>
      <c r="C59" s="21"/>
      <c r="D59" s="21"/>
      <c r="E59" s="21"/>
      <c r="F59" s="22"/>
      <c r="G59" s="22"/>
      <c r="H59" s="22"/>
      <c r="I59" s="22"/>
    </row>
    <row r="60" spans="1:13" ht="16">
      <c r="A60" s="206" t="s">
        <v>139</v>
      </c>
      <c r="B60" s="201"/>
    </row>
    <row r="61" spans="1:13">
      <c r="A61" s="3" t="s">
        <v>69</v>
      </c>
      <c r="B61" s="166">
        <f>COUNT(B33:B58)</f>
        <v>22</v>
      </c>
      <c r="C61" s="166"/>
      <c r="D61" s="166"/>
      <c r="E61" s="166"/>
      <c r="F61" s="166"/>
      <c r="G61" s="166"/>
      <c r="H61" s="166"/>
      <c r="I61" s="166"/>
      <c r="M61" s="24"/>
    </row>
    <row r="62" spans="1:13">
      <c r="A62" s="177" t="s">
        <v>121</v>
      </c>
      <c r="B62" s="178">
        <v>0.8</v>
      </c>
      <c r="C62" s="178"/>
      <c r="D62" s="178"/>
      <c r="E62" s="178"/>
      <c r="F62" s="178"/>
      <c r="G62" s="178"/>
      <c r="H62" s="178"/>
      <c r="I62" s="178"/>
      <c r="M62" s="24"/>
    </row>
    <row r="63" spans="1:13">
      <c r="A63" s="3" t="s">
        <v>96</v>
      </c>
      <c r="B63" s="167">
        <f>STDEV(B33:B58)</f>
        <v>17840.905758557055</v>
      </c>
      <c r="C63" s="167"/>
      <c r="D63" s="167"/>
      <c r="E63" s="167"/>
      <c r="F63" s="167"/>
      <c r="G63" s="167"/>
      <c r="H63" s="167"/>
      <c r="I63" s="167"/>
      <c r="J63" s="8"/>
      <c r="K63" s="26"/>
      <c r="L63" s="11"/>
      <c r="M63" s="25"/>
    </row>
    <row r="64" spans="1:13">
      <c r="A64" s="176" t="s">
        <v>122</v>
      </c>
      <c r="B64" s="179">
        <f>TINV(1-B62,B61-1)</f>
        <v>1.3231878738651732</v>
      </c>
      <c r="C64" s="179"/>
      <c r="D64" s="179"/>
      <c r="E64" s="179"/>
      <c r="F64" s="179"/>
      <c r="G64" s="179"/>
      <c r="H64" s="179"/>
      <c r="I64" s="179"/>
      <c r="J64" s="8"/>
      <c r="K64" s="8"/>
      <c r="L64" s="8"/>
      <c r="M64" s="27"/>
    </row>
    <row r="65" spans="1:13">
      <c r="A65" s="28" t="s">
        <v>50</v>
      </c>
      <c r="B65" s="180">
        <f>B64*B63*(SQRT(1+(1/B61)))</f>
        <v>24137.427867826791</v>
      </c>
      <c r="C65" s="180"/>
      <c r="D65" s="180"/>
      <c r="E65" s="180"/>
      <c r="F65" s="180"/>
      <c r="G65" s="180"/>
      <c r="H65" s="180"/>
      <c r="I65" s="180"/>
      <c r="J65" s="9"/>
      <c r="K65" s="9"/>
      <c r="L65" s="9"/>
      <c r="M65" s="25"/>
    </row>
    <row r="66" spans="1:13">
      <c r="A66" s="9" t="s">
        <v>123</v>
      </c>
      <c r="B66" s="165">
        <f>IF((B67-B65)&lt;0,0,(B67-B65))</f>
        <v>29005.572132173209</v>
      </c>
      <c r="C66" s="170"/>
      <c r="D66" s="165"/>
      <c r="E66" s="187"/>
      <c r="F66" s="170"/>
      <c r="G66" s="165"/>
      <c r="H66" s="170"/>
      <c r="I66" s="165"/>
      <c r="J66" s="9"/>
      <c r="K66" s="9"/>
      <c r="L66" s="9"/>
      <c r="M66" s="29"/>
    </row>
    <row r="67" spans="1:13" ht="16">
      <c r="A67" s="9" t="s">
        <v>72</v>
      </c>
      <c r="B67" s="168">
        <f>AVERAGE(B33:B58)</f>
        <v>53143</v>
      </c>
      <c r="C67" s="169"/>
      <c r="D67" s="169"/>
      <c r="E67" s="188"/>
      <c r="F67" s="169"/>
      <c r="G67" s="168"/>
      <c r="H67" s="169"/>
      <c r="I67" s="168"/>
      <c r="J67" s="9"/>
      <c r="K67" s="9"/>
      <c r="L67" s="9"/>
      <c r="M67" s="30"/>
    </row>
    <row r="68" spans="1:13">
      <c r="A68" s="9" t="s">
        <v>124</v>
      </c>
      <c r="B68" s="165">
        <f>B67+B65</f>
        <v>77280.427867826787</v>
      </c>
      <c r="C68" s="170"/>
      <c r="D68" s="170"/>
      <c r="E68" s="187"/>
      <c r="F68" s="170"/>
      <c r="G68" s="165"/>
      <c r="H68" s="170"/>
      <c r="I68" s="165"/>
      <c r="J68" s="31"/>
      <c r="K68" s="9"/>
      <c r="L68" s="31"/>
      <c r="M68" s="29"/>
    </row>
    <row r="69" spans="1:13">
      <c r="A69" s="5"/>
      <c r="B69" s="5"/>
      <c r="C69" s="5"/>
      <c r="D69" s="5"/>
      <c r="E69" s="5"/>
      <c r="F69" s="32"/>
      <c r="G69" s="32"/>
      <c r="H69" s="32"/>
      <c r="I69" s="33"/>
      <c r="J69" s="34"/>
      <c r="K69" s="34"/>
      <c r="L69" s="34"/>
    </row>
    <row r="70" spans="1:13" ht="16">
      <c r="A70" s="35" t="s">
        <v>79</v>
      </c>
      <c r="B70" s="36"/>
      <c r="C70" s="36"/>
      <c r="D70" s="36"/>
      <c r="E70" s="36"/>
      <c r="F70" s="37"/>
      <c r="G70" s="38"/>
      <c r="H70" s="38"/>
      <c r="I70" s="34"/>
      <c r="J70" s="34"/>
      <c r="K70" s="34"/>
      <c r="L70" s="34"/>
    </row>
    <row r="71" spans="1:13">
      <c r="A71" s="3" t="s">
        <v>69</v>
      </c>
      <c r="B71" s="171">
        <f>COUNT(B12:B34)</f>
        <v>22</v>
      </c>
      <c r="C71" s="171">
        <f>COUNT(C12:C34)</f>
        <v>6</v>
      </c>
      <c r="D71" s="171">
        <f t="shared" ref="D71:I71" si="0">COUNT(D12:D34)</f>
        <v>6</v>
      </c>
      <c r="E71" s="171">
        <f t="shared" si="0"/>
        <v>6</v>
      </c>
      <c r="F71" s="171">
        <f t="shared" si="0"/>
        <v>4</v>
      </c>
      <c r="G71" s="171"/>
      <c r="H71" s="171">
        <f>COUNT(H12:H34)</f>
        <v>12</v>
      </c>
      <c r="I71" s="171">
        <f t="shared" si="0"/>
        <v>10</v>
      </c>
      <c r="J71" s="39"/>
      <c r="K71" s="39"/>
      <c r="L71" s="39"/>
    </row>
    <row r="72" spans="1:13">
      <c r="A72" s="177" t="s">
        <v>121</v>
      </c>
      <c r="B72" s="178">
        <v>0.8</v>
      </c>
      <c r="C72" s="178">
        <v>0.8</v>
      </c>
      <c r="D72" s="178">
        <v>0.8</v>
      </c>
      <c r="E72" s="178">
        <v>0.8</v>
      </c>
      <c r="F72" s="178">
        <v>0.8</v>
      </c>
      <c r="G72" s="178"/>
      <c r="H72" s="178">
        <v>0.8</v>
      </c>
      <c r="I72" s="178">
        <v>0.8</v>
      </c>
      <c r="J72" s="39"/>
      <c r="K72" s="39"/>
      <c r="L72" s="39"/>
    </row>
    <row r="73" spans="1:13">
      <c r="A73" s="3" t="s">
        <v>96</v>
      </c>
      <c r="B73" s="172">
        <f>STDEV(B12:B34)</f>
        <v>55967.322775064247</v>
      </c>
      <c r="C73" s="172">
        <f>STDEV(C12:C34)</f>
        <v>56104.598989447069</v>
      </c>
      <c r="D73" s="172">
        <f>STDEV(D12:D34)</f>
        <v>56727.644313567856</v>
      </c>
      <c r="E73" s="172">
        <f>STDEV(E12:E34)</f>
        <v>16329.224628458836</v>
      </c>
      <c r="F73" s="172">
        <f>STDEV(F12:F34)</f>
        <v>14963.099121951085</v>
      </c>
      <c r="G73" s="172"/>
      <c r="H73" s="172">
        <f>STDEV(H12:H34)</f>
        <v>57203.622708441268</v>
      </c>
      <c r="I73" s="172">
        <f>STDEV(I12:I34)</f>
        <v>15531.144817573639</v>
      </c>
    </row>
    <row r="74" spans="1:13" ht="17">
      <c r="A74" s="9" t="s">
        <v>114</v>
      </c>
      <c r="B74" s="179">
        <f>TINV(1-B72,B71-1)</f>
        <v>1.3231878738651732</v>
      </c>
      <c r="C74" s="179">
        <f t="shared" ref="C74:I74" si="1">TINV(1-C72,C71-1)</f>
        <v>1.4758840488244818</v>
      </c>
      <c r="D74" s="179">
        <f t="shared" si="1"/>
        <v>1.4758840488244818</v>
      </c>
      <c r="E74" s="179">
        <f t="shared" si="1"/>
        <v>1.4758840488244818</v>
      </c>
      <c r="F74" s="179">
        <f t="shared" si="1"/>
        <v>1.63774435369621</v>
      </c>
      <c r="G74" s="179"/>
      <c r="H74" s="179">
        <f t="shared" si="1"/>
        <v>1.3634303180205409</v>
      </c>
      <c r="I74" s="179">
        <f t="shared" si="1"/>
        <v>1.3830287383966327</v>
      </c>
    </row>
    <row r="75" spans="1:13">
      <c r="A75" s="28" t="s">
        <v>50</v>
      </c>
      <c r="B75" s="180">
        <f t="shared" ref="B75:I75" si="2">B74*B73*(SQRT(1+(1/B71)))</f>
        <v>75719.654300093782</v>
      </c>
      <c r="C75" s="180">
        <f t="shared" si="2"/>
        <v>89438.415448705113</v>
      </c>
      <c r="D75" s="180">
        <f t="shared" si="2"/>
        <v>90431.635034011662</v>
      </c>
      <c r="E75" s="180">
        <f t="shared" si="2"/>
        <v>26031.020675328815</v>
      </c>
      <c r="F75" s="180">
        <f t="shared" si="2"/>
        <v>27398.240289828591</v>
      </c>
      <c r="G75" s="180"/>
      <c r="H75" s="180">
        <f t="shared" si="2"/>
        <v>81177.847917396575</v>
      </c>
      <c r="I75" s="180">
        <f t="shared" si="2"/>
        <v>22528.434639370484</v>
      </c>
    </row>
    <row r="76" spans="1:13">
      <c r="A76" s="176" t="s">
        <v>123</v>
      </c>
      <c r="B76" s="172">
        <f>B77-B75</f>
        <v>-5388.3361182756053</v>
      </c>
      <c r="C76" s="172">
        <f t="shared" ref="C76:I76" si="3">C77-C75</f>
        <v>31866.751217961559</v>
      </c>
      <c r="D76" s="172">
        <f t="shared" si="3"/>
        <v>-6391.4683673449908</v>
      </c>
      <c r="E76" s="172">
        <f t="shared" si="3"/>
        <v>8817.8126580045209</v>
      </c>
      <c r="F76" s="172">
        <f t="shared" si="3"/>
        <v>-867.2402898285909</v>
      </c>
      <c r="G76" s="172"/>
      <c r="H76" s="172">
        <f t="shared" si="3"/>
        <v>21494.818749270096</v>
      </c>
      <c r="I76" s="181">
        <f t="shared" si="3"/>
        <v>8993.2653606295171</v>
      </c>
    </row>
    <row r="77" spans="1:13">
      <c r="A77" s="176" t="s">
        <v>72</v>
      </c>
      <c r="B77" s="173">
        <f>AVERAGE(B12:B34)</f>
        <v>70331.318181818177</v>
      </c>
      <c r="C77" s="168">
        <f>AVERAGE(C12:C34)</f>
        <v>121305.16666666667</v>
      </c>
      <c r="D77" s="168">
        <f>AVERAGE(D12:D34)</f>
        <v>84040.166666666672</v>
      </c>
      <c r="E77" s="193">
        <f>AVERAGE(E12:E34)</f>
        <v>34848.833333333336</v>
      </c>
      <c r="F77" s="168">
        <f>AVERAGE(F12:F34)</f>
        <v>26531</v>
      </c>
      <c r="G77" s="173"/>
      <c r="H77" s="173">
        <f>AVERAGE(H12:H34)</f>
        <v>102672.66666666667</v>
      </c>
      <c r="I77" s="174">
        <f>AVERAGE(I12:I34)</f>
        <v>31521.7</v>
      </c>
    </row>
    <row r="78" spans="1:13" ht="16" thickBot="1">
      <c r="A78" s="176" t="s">
        <v>124</v>
      </c>
      <c r="B78" s="172">
        <f>B77+B75</f>
        <v>146050.97248191194</v>
      </c>
      <c r="C78" s="172">
        <f t="shared" ref="C78:I78" si="4">C77+C75</f>
        <v>210743.58211537177</v>
      </c>
      <c r="D78" s="172">
        <f t="shared" si="4"/>
        <v>174471.80170067833</v>
      </c>
      <c r="E78" s="172">
        <f t="shared" si="4"/>
        <v>60879.854008662151</v>
      </c>
      <c r="F78" s="172">
        <f t="shared" si="4"/>
        <v>53929.240289828595</v>
      </c>
      <c r="G78" s="172"/>
      <c r="H78" s="172">
        <f t="shared" si="4"/>
        <v>183850.51458406326</v>
      </c>
      <c r="I78" s="175">
        <f t="shared" si="4"/>
        <v>54050.134639370488</v>
      </c>
    </row>
    <row r="79" spans="1:13">
      <c r="A79" s="5"/>
      <c r="B79" s="5"/>
      <c r="C79" s="5"/>
      <c r="D79" s="5"/>
      <c r="E79" s="5"/>
      <c r="F79" s="5"/>
      <c r="G79" s="5"/>
      <c r="H79" s="5"/>
      <c r="I79" s="5"/>
    </row>
    <row r="80" spans="1:13">
      <c r="A80" s="9"/>
      <c r="B80" s="9"/>
      <c r="C80" s="9"/>
      <c r="D80" s="9"/>
      <c r="E80" s="9"/>
      <c r="F80" s="9"/>
      <c r="G80" s="9"/>
      <c r="H80" s="9"/>
      <c r="I80" s="9"/>
    </row>
    <row r="81" spans="1:9" ht="16">
      <c r="A81" s="220" t="s">
        <v>138</v>
      </c>
      <c r="B81" s="220"/>
    </row>
    <row r="82" spans="1:9">
      <c r="A82" s="3" t="s">
        <v>69</v>
      </c>
      <c r="B82" s="166">
        <f>COUNT(B12:B58)</f>
        <v>42</v>
      </c>
      <c r="C82" s="166">
        <f>COUNT(C12:C58)</f>
        <v>11</v>
      </c>
      <c r="D82" s="166">
        <f>COUNT(D12:D58)</f>
        <v>11</v>
      </c>
      <c r="E82" s="166">
        <f>COUNT(E12:E58)</f>
        <v>10</v>
      </c>
      <c r="F82" s="166">
        <f>COUNT(F12:F58)</f>
        <v>10</v>
      </c>
      <c r="G82" s="166"/>
      <c r="H82" s="166">
        <f>COUNT(H12:H58)</f>
        <v>22</v>
      </c>
      <c r="I82" s="166">
        <f>COUNT(I12:I58)</f>
        <v>20</v>
      </c>
    </row>
    <row r="83" spans="1:9">
      <c r="A83" s="177" t="s">
        <v>121</v>
      </c>
      <c r="B83" s="178">
        <v>0.8</v>
      </c>
      <c r="C83" s="178">
        <v>0.8</v>
      </c>
      <c r="D83" s="178">
        <v>0.8</v>
      </c>
      <c r="E83" s="178">
        <v>0.8</v>
      </c>
      <c r="F83" s="178">
        <v>0.8</v>
      </c>
      <c r="G83" s="178"/>
      <c r="H83" s="178">
        <v>0.8</v>
      </c>
      <c r="I83" s="178">
        <v>0.8</v>
      </c>
    </row>
    <row r="84" spans="1:9">
      <c r="A84" s="3" t="s">
        <v>96</v>
      </c>
      <c r="B84" s="167">
        <f>STDEV(B12:B58)</f>
        <v>42864.088704475653</v>
      </c>
      <c r="C84" s="167">
        <f>STDEV(C12:C58)</f>
        <v>57478.782663455284</v>
      </c>
      <c r="D84" s="167">
        <f>STDEV(D12:D58)</f>
        <v>42347.799931691203</v>
      </c>
      <c r="E84" s="167">
        <f>STDEV(E12:E58)</f>
        <v>22027.976414853307</v>
      </c>
      <c r="F84" s="167">
        <f>STDEV(F12:F58)</f>
        <v>20041.432063491757</v>
      </c>
      <c r="G84" s="167"/>
      <c r="H84" s="167">
        <f>STDEV(H12:H58)</f>
        <v>49730.506932636992</v>
      </c>
      <c r="I84" s="167">
        <f>STDEV(I12:I58)</f>
        <v>20712.04274278487</v>
      </c>
    </row>
    <row r="85" spans="1:9">
      <c r="A85" s="176" t="s">
        <v>122</v>
      </c>
      <c r="B85" s="179">
        <f>TINV(1-B83,B82-1)</f>
        <v>1.3025433589533821</v>
      </c>
      <c r="C85" s="179">
        <f>TINV(1-C83,C82-1)</f>
        <v>1.3721836411103363</v>
      </c>
      <c r="D85" s="179">
        <f>TINV(1-D83,D82-1)</f>
        <v>1.3721836411103363</v>
      </c>
      <c r="E85" s="179">
        <f>TINV(1-E83,E82-1)</f>
        <v>1.3830287383966327</v>
      </c>
      <c r="F85" s="179">
        <f>TINV(1-F83,F82-1)</f>
        <v>1.3830287383966327</v>
      </c>
      <c r="G85" s="179"/>
      <c r="H85" s="179">
        <f>TINV(1-H83,H82-1)</f>
        <v>1.3231878738651732</v>
      </c>
      <c r="I85" s="179">
        <f>TINV(1-I83,I82-1)</f>
        <v>1.3277282090267981</v>
      </c>
    </row>
    <row r="86" spans="1:9">
      <c r="A86" s="28" t="s">
        <v>50</v>
      </c>
      <c r="B86" s="180">
        <f>B85*B84*(SQRT(1+(1/B82)))</f>
        <v>56493.094760794243</v>
      </c>
      <c r="C86" s="180">
        <f>C85*C84*(SQRT(1+(1/C82)))</f>
        <v>82378.537898889583</v>
      </c>
      <c r="D86" s="180">
        <f>D85*D84*(SQRT(1+(1/D82)))</f>
        <v>60692.827508774295</v>
      </c>
      <c r="E86" s="180">
        <f>E85*E84*(SQRT(1+(1/E82)))</f>
        <v>31952.301825046343</v>
      </c>
      <c r="F86" s="180">
        <f>F85*F84*(SQRT(1+(1/F82)))</f>
        <v>29070.754128239085</v>
      </c>
      <c r="G86" s="180"/>
      <c r="H86" s="180">
        <f>H85*H84*(SQRT(1+(1/H82)))</f>
        <v>67281.703079522864</v>
      </c>
      <c r="I86" s="180">
        <f>I85*I84*(SQRT(1+(1/I82)))</f>
        <v>28179.077119112517</v>
      </c>
    </row>
    <row r="87" spans="1:9">
      <c r="A87" s="9" t="s">
        <v>123</v>
      </c>
      <c r="B87" s="165">
        <f>IF((B88-B86)&lt;0,0,(B88-B86))</f>
        <v>5798.6909534914739</v>
      </c>
      <c r="C87" s="170">
        <f>IF((C88-C86)&lt;0,0,(C88-C86))</f>
        <v>4698.0075556558731</v>
      </c>
      <c r="D87" s="165">
        <f>IF((D88-D86)&lt;0,0,(D88-D86))</f>
        <v>13143.808854862073</v>
      </c>
      <c r="E87" s="187">
        <f>IF((E88-E86)&lt;0,0,(E88-E86))</f>
        <v>14943.920397175876</v>
      </c>
      <c r="F87" s="170">
        <f>IF((F88-F86)&lt;0,0,(F88-F86))</f>
        <v>10334.845871760914</v>
      </c>
      <c r="G87" s="165"/>
      <c r="H87" s="170">
        <f>IF((H88-H86)&lt;0,0,(H88-H86))</f>
        <v>13174.887829568048</v>
      </c>
      <c r="I87" s="165">
        <f>IF((I88-I86)&lt;0,0,(I88-I86))</f>
        <v>14131.422880887483</v>
      </c>
    </row>
    <row r="88" spans="1:9">
      <c r="A88" s="9" t="s">
        <v>72</v>
      </c>
      <c r="B88" s="168">
        <f>AVERAGE(B12:B58)</f>
        <v>62291.785714285717</v>
      </c>
      <c r="C88" s="169">
        <f>AVERAGE(C12:C58)</f>
        <v>87076.545454545456</v>
      </c>
      <c r="D88" s="169">
        <f>AVERAGE(D12:D58)</f>
        <v>73836.636363636368</v>
      </c>
      <c r="E88" s="188">
        <f>AVERAGE(E12:E53)</f>
        <v>46896.222222222219</v>
      </c>
      <c r="F88" s="169">
        <f>AVERAGE(F12:F58)</f>
        <v>39405.599999999999</v>
      </c>
      <c r="G88" s="168"/>
      <c r="H88" s="169">
        <f>AVERAGE(H12:H58)</f>
        <v>80456.590909090912</v>
      </c>
      <c r="I88" s="168">
        <f>AVERAGE(I12:I58)</f>
        <v>42310.5</v>
      </c>
    </row>
    <row r="89" spans="1:9">
      <c r="A89" s="9" t="s">
        <v>124</v>
      </c>
      <c r="B89" s="165">
        <f>B88+B86</f>
        <v>118784.88047507996</v>
      </c>
      <c r="C89" s="170">
        <f>C88+C86</f>
        <v>169455.08335343504</v>
      </c>
      <c r="D89" s="170">
        <f>D88+D86</f>
        <v>134529.46387241065</v>
      </c>
      <c r="E89" s="187">
        <f>E88+E86</f>
        <v>78848.524047268555</v>
      </c>
      <c r="F89" s="170">
        <f>F88+F86</f>
        <v>68476.35412823908</v>
      </c>
      <c r="G89" s="165"/>
      <c r="H89" s="170">
        <f>H88+H86</f>
        <v>147738.29398861376</v>
      </c>
      <c r="I89" s="165">
        <f>I88+I86</f>
        <v>70489.57711911251</v>
      </c>
    </row>
    <row r="90" spans="1:9">
      <c r="A90" s="9"/>
      <c r="B90" s="9"/>
      <c r="C90" s="9"/>
      <c r="D90" s="9"/>
      <c r="E90" s="9"/>
      <c r="F90" s="9"/>
      <c r="G90" s="9"/>
      <c r="H90" s="9"/>
      <c r="I90" s="9"/>
    </row>
    <row r="91" spans="1:9">
      <c r="A91" s="9"/>
      <c r="B91" s="9"/>
      <c r="C91" s="9"/>
      <c r="D91" s="9"/>
      <c r="E91" s="9"/>
      <c r="F91" s="9"/>
      <c r="G91" s="9"/>
      <c r="H91" s="9"/>
      <c r="I91" s="9"/>
    </row>
    <row r="92" spans="1:9">
      <c r="A92" s="9"/>
      <c r="B92" s="9"/>
      <c r="C92" s="9"/>
      <c r="D92" s="9"/>
      <c r="E92" s="9"/>
      <c r="F92" s="9"/>
      <c r="G92" s="9"/>
      <c r="H92" s="9"/>
      <c r="I92" s="9"/>
    </row>
    <row r="94" spans="1:9">
      <c r="A94" s="40" t="s">
        <v>115</v>
      </c>
    </row>
    <row r="95" spans="1:9">
      <c r="A95" s="3" t="s">
        <v>80</v>
      </c>
    </row>
    <row r="96" spans="1:9">
      <c r="A96" s="3" t="s">
        <v>84</v>
      </c>
    </row>
    <row r="97" spans="1:8">
      <c r="A97" s="3" t="s">
        <v>87</v>
      </c>
    </row>
    <row r="99" spans="1:8">
      <c r="H99" s="41"/>
    </row>
  </sheetData>
  <mergeCells count="4">
    <mergeCell ref="H10:I10"/>
    <mergeCell ref="C10:F10"/>
    <mergeCell ref="B9:I9"/>
    <mergeCell ref="A81:B81"/>
  </mergeCells>
  <phoneticPr fontId="9" type="noConversion"/>
  <pageMargins left="1" right="1" top="1" bottom="1" header="0" footer="0"/>
  <pageSetup scale="54"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6"/>
  <sheetViews>
    <sheetView workbookViewId="0">
      <selection activeCell="D6" sqref="D6"/>
    </sheetView>
  </sheetViews>
  <sheetFormatPr baseColWidth="10" defaultColWidth="8.7109375" defaultRowHeight="15" x14ac:dyDescent="0"/>
  <cols>
    <col min="1" max="1" width="11.85546875" customWidth="1"/>
    <col min="2" max="2" width="9.85546875" customWidth="1"/>
    <col min="3" max="3" width="17" customWidth="1"/>
    <col min="4" max="4" width="16.5703125" customWidth="1"/>
    <col min="5" max="5" width="21.140625" customWidth="1"/>
  </cols>
  <sheetData>
    <row r="5" spans="1:5">
      <c r="A5" s="185" t="s">
        <v>130</v>
      </c>
      <c r="B5" s="185" t="s">
        <v>127</v>
      </c>
      <c r="C5" s="185" t="s">
        <v>131</v>
      </c>
      <c r="D5" s="185" t="s">
        <v>129</v>
      </c>
      <c r="E5" s="185" t="s">
        <v>128</v>
      </c>
    </row>
    <row r="6" spans="1:5">
      <c r="A6" s="191">
        <v>2010</v>
      </c>
      <c r="B6" s="190">
        <v>46896.222222222219</v>
      </c>
      <c r="C6" s="189" t="s">
        <v>132</v>
      </c>
      <c r="D6" s="192">
        <v>30088</v>
      </c>
      <c r="E6" s="192">
        <v>16291</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enableFormatConditionsCalculation="0">
    <pageSetUpPr fitToPage="1"/>
  </sheetPr>
  <dimension ref="A32:O163"/>
  <sheetViews>
    <sheetView defaultGridColor="0" topLeftCell="A58" colorId="22" zoomScale="50" workbookViewId="0">
      <selection activeCell="K163" sqref="K163"/>
    </sheetView>
  </sheetViews>
  <sheetFormatPr baseColWidth="10" defaultColWidth="9.85546875" defaultRowHeight="15" x14ac:dyDescent="0"/>
  <cols>
    <col min="11" max="11" width="19.5703125" customWidth="1"/>
  </cols>
  <sheetData>
    <row r="32" spans="1:15" ht="17">
      <c r="A32" s="1" t="s">
        <v>54</v>
      </c>
      <c r="B32" s="1" t="s">
        <v>55</v>
      </c>
      <c r="L32" s="1" t="s">
        <v>54</v>
      </c>
      <c r="N32" t="s">
        <v>54</v>
      </c>
      <c r="O32" t="s">
        <v>56</v>
      </c>
    </row>
    <row r="64" spans="1:12" ht="17">
      <c r="A64" s="1" t="s">
        <v>57</v>
      </c>
      <c r="B64" s="1" t="s">
        <v>58</v>
      </c>
      <c r="L64" s="1" t="s">
        <v>57</v>
      </c>
    </row>
    <row r="97" spans="1:2" ht="17">
      <c r="A97" s="1" t="s">
        <v>54</v>
      </c>
      <c r="B97" s="1" t="s">
        <v>59</v>
      </c>
    </row>
    <row r="128" spans="1:2">
      <c r="A128" t="s">
        <v>89</v>
      </c>
      <c r="B128" t="s">
        <v>88</v>
      </c>
    </row>
    <row r="129" spans="2:2">
      <c r="B129" t="s">
        <v>60</v>
      </c>
    </row>
    <row r="130" spans="2:2">
      <c r="B130" t="s">
        <v>91</v>
      </c>
    </row>
    <row r="131" spans="2:2">
      <c r="B131" t="s">
        <v>92</v>
      </c>
    </row>
    <row r="160" spans="1:2">
      <c r="A160" t="s">
        <v>90</v>
      </c>
      <c r="B160" t="s">
        <v>93</v>
      </c>
    </row>
    <row r="161" spans="1:11">
      <c r="B161" t="s">
        <v>94</v>
      </c>
    </row>
    <row r="163" spans="1:11">
      <c r="A163" t="str">
        <f ca="1">CELL("filename",A163)</f>
        <v>NWCLM04072996:Users:eric.ward:Documents:NCEAS-covariation:data:salmon data:[2013_Eshamy Wild Sockeye forecast-DRAFT.xlsx]Graphs</v>
      </c>
      <c r="K163" s="2">
        <f ca="1">NOW()</f>
        <v>42225.323855902781</v>
      </c>
    </row>
  </sheetData>
  <phoneticPr fontId="9" type="noConversion"/>
  <pageMargins left="0.5" right="0.5" top="1" bottom="1" header="0" footer="0"/>
  <pageSetup scale="89" orientation="landscape" horizontalDpi="300" verticalDpi="300"/>
  <headerFooter alignWithMargins="0">
    <oddFooter>&amp;R^</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Read_Me</vt:lpstr>
      <vt:lpstr>Sport_Harvest</vt:lpstr>
      <vt:lpstr>broodtab</vt:lpstr>
      <vt:lpstr>Run_Size</vt:lpstr>
      <vt:lpstr>PERFORMANCE</vt:lpstr>
      <vt:lpstr>Graphs</vt:lpstr>
    </vt:vector>
  </TitlesOfParts>
  <Company>Alaska Dept. Fish and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Eshamy sockeye brood table</dc:title>
  <dc:subject>Eshamy sockeye statistics</dc:subject>
  <dc:creator>Steven D. Moffitt</dc:creator>
  <cp:keywords>brood table, total run size</cp:keywords>
  <cp:lastModifiedBy>Eric Ward</cp:lastModifiedBy>
  <cp:lastPrinted>2004-11-13T00:31:54Z</cp:lastPrinted>
  <dcterms:created xsi:type="dcterms:W3CDTF">1998-12-03T20:05:37Z</dcterms:created>
  <dcterms:modified xsi:type="dcterms:W3CDTF">2015-08-09T14:46:30Z</dcterms:modified>
</cp:coreProperties>
</file>