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65" yWindow="30" windowWidth="21510" windowHeight="10530" tabRatio="733" activeTab="4"/>
  </bookViews>
  <sheets>
    <sheet name="READ_ME!!" sheetId="9" r:id="rId1"/>
    <sheet name="PWS" sheetId="1" r:id="rId2"/>
    <sheet name="CBR" sheetId="2" r:id="rId3"/>
    <sheet name="Forecasts summary" sheetId="8" r:id="rId4"/>
    <sheet name="Harvest_based" sheetId="5" r:id="rId5"/>
    <sheet name="Total_Return_based" sheetId="4" r:id="rId6"/>
    <sheet name="Answer Report 1" sheetId="10" r:id="rId7"/>
    <sheet name="Answer Report 2" sheetId="11" r:id="rId8"/>
    <sheet name="Exp_smoothing_w_damping" sheetId="7" r:id="rId9"/>
    <sheet name="Lag1_Exp_smoothing" sheetId="6" r:id="rId10"/>
  </sheets>
  <definedNames>
    <definedName name="_Order1" hidden="1">255</definedName>
    <definedName name="Forecast_Yr">'READ_ME!!'!$G$2</definedName>
    <definedName name="_xlnm.Print_Area" localSheetId="2">CBR!$J$103:$U$149</definedName>
    <definedName name="_xlnm.Print_Area" localSheetId="3">'Forecasts summary'!$A$1:$J$25</definedName>
    <definedName name="_xlnm.Print_Area" localSheetId="4">Harvest_based!$A$1:$T$80</definedName>
    <definedName name="_xlnm.Print_Area" localSheetId="9">Lag1_Exp_smoothing!$A$1:$N$58</definedName>
    <definedName name="_xlnm.Print_Area" localSheetId="5">Total_Return_based!$A$1:$O$47</definedName>
    <definedName name="solver_adj" localSheetId="8" hidden="1">Exp_smoothing_w_damping!$J$11:$J$13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100</definedName>
    <definedName name="solver_lhs1" localSheetId="8" hidden="1">Exp_smoothing_w_damping!$J$11:$J$13</definedName>
    <definedName name="solver_lhs2" localSheetId="8" hidden="1">Exp_smoothing_w_damping!$J$10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2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Exp_smoothing_w_damping!$F$57</definedName>
    <definedName name="solver_pre" localSheetId="8" hidden="1">0.000001</definedName>
    <definedName name="solver_rbv" localSheetId="8" hidden="1">1</definedName>
    <definedName name="solver_rel1" localSheetId="8" hidden="1">3</definedName>
    <definedName name="solver_rel2" localSheetId="8" hidden="1">3</definedName>
    <definedName name="solver_rhs1" localSheetId="8" hidden="1">0</definedName>
    <definedName name="solver_rhs2" localSheetId="8" hidden="1">0</definedName>
    <definedName name="solver_rlx" localSheetId="8" hidden="1">1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100</definedName>
    <definedName name="solver_tol" localSheetId="8" hidden="1">0.05</definedName>
    <definedName name="solver_typ" localSheetId="8" hidden="1">2</definedName>
    <definedName name="solver_val" localSheetId="8" hidden="1">0</definedName>
    <definedName name="solver_ver" localSheetId="8" hidden="1">3</definedName>
    <definedName name="TTAB">#REF!</definedName>
  </definedNames>
  <calcPr calcId="145621"/>
</workbook>
</file>

<file path=xl/calcChain.xml><?xml version="1.0" encoding="utf-8"?>
<calcChain xmlns="http://schemas.openxmlformats.org/spreadsheetml/2006/main">
  <c r="G77" i="5" l="1"/>
  <c r="G75" i="5"/>
  <c r="G73" i="5"/>
  <c r="G72" i="5"/>
  <c r="G71" i="5"/>
  <c r="G70" i="5"/>
  <c r="D10" i="8"/>
  <c r="B51" i="6" l="1"/>
  <c r="B52" i="7"/>
  <c r="B51" i="5"/>
  <c r="C143" i="2"/>
  <c r="E143" i="2"/>
  <c r="F143" i="2"/>
  <c r="B143" i="2"/>
  <c r="B145" i="2" s="1"/>
  <c r="C142" i="2"/>
  <c r="E142" i="2"/>
  <c r="F142" i="2"/>
  <c r="B142" i="2"/>
  <c r="C141" i="2"/>
  <c r="E141" i="2"/>
  <c r="F141" i="2"/>
  <c r="B141" i="2"/>
  <c r="C140" i="2"/>
  <c r="E140" i="2"/>
  <c r="F140" i="2"/>
  <c r="B140" i="2"/>
  <c r="C139" i="2"/>
  <c r="E139" i="2"/>
  <c r="F139" i="2"/>
  <c r="B139" i="2"/>
  <c r="H136" i="2"/>
  <c r="G136" i="2"/>
  <c r="B148" i="2" l="1"/>
  <c r="B146" i="2"/>
  <c r="B147" i="2"/>
  <c r="D52" i="5"/>
  <c r="B41" i="4"/>
  <c r="C41" i="4"/>
  <c r="D41" i="4" l="1"/>
  <c r="G42" i="4" s="1"/>
  <c r="D136" i="2"/>
  <c r="D12" i="8" l="1"/>
  <c r="V52" i="4"/>
  <c r="B40" i="4"/>
  <c r="C40" i="4"/>
  <c r="B50" i="6"/>
  <c r="B4" i="7"/>
  <c r="E56" i="7"/>
  <c r="B51" i="7"/>
  <c r="C5" i="8"/>
  <c r="H135" i="2"/>
  <c r="G135" i="2"/>
  <c r="A3" i="8"/>
  <c r="A58" i="5"/>
  <c r="A57" i="5"/>
  <c r="A56" i="5"/>
  <c r="B50" i="5"/>
  <c r="D51" i="5" s="1"/>
  <c r="D135" i="2"/>
  <c r="D8" i="2"/>
  <c r="B8" i="2"/>
  <c r="D16" i="8"/>
  <c r="J10" i="7"/>
  <c r="B50" i="7"/>
  <c r="B39" i="4"/>
  <c r="C39" i="4"/>
  <c r="H134" i="2"/>
  <c r="G134" i="2"/>
  <c r="B49" i="5"/>
  <c r="D134" i="2"/>
  <c r="E145" i="2"/>
  <c r="E148" i="2" s="1"/>
  <c r="F145" i="2"/>
  <c r="F146" i="2" s="1"/>
  <c r="E147" i="2"/>
  <c r="F147" i="2"/>
  <c r="C147" i="2"/>
  <c r="C145" i="2"/>
  <c r="C148" i="2" s="1"/>
  <c r="D9" i="2" s="1"/>
  <c r="C146" i="2"/>
  <c r="C9" i="2" s="1"/>
  <c r="D133" i="2"/>
  <c r="D17" i="8"/>
  <c r="B49" i="6"/>
  <c r="B48" i="6"/>
  <c r="B49" i="7"/>
  <c r="B38" i="4"/>
  <c r="C38" i="4"/>
  <c r="B48" i="5"/>
  <c r="G133" i="2"/>
  <c r="H133" i="2"/>
  <c r="B48" i="7"/>
  <c r="B47" i="5"/>
  <c r="D48" i="5" s="1"/>
  <c r="B9" i="6"/>
  <c r="B8" i="6"/>
  <c r="F9" i="6" s="1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12" i="7"/>
  <c r="B11" i="7"/>
  <c r="B10" i="7"/>
  <c r="B9" i="7"/>
  <c r="D10" i="7" s="1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37" i="4"/>
  <c r="C37" i="4"/>
  <c r="H132" i="2"/>
  <c r="G132" i="2"/>
  <c r="D132" i="2"/>
  <c r="G131" i="2"/>
  <c r="B37" i="5"/>
  <c r="B38" i="5"/>
  <c r="B39" i="5"/>
  <c r="B40" i="5"/>
  <c r="D41" i="5" s="1"/>
  <c r="B41" i="5"/>
  <c r="B42" i="5"/>
  <c r="B43" i="5"/>
  <c r="B44" i="5"/>
  <c r="D45" i="5" s="1"/>
  <c r="B45" i="5"/>
  <c r="B46" i="5"/>
  <c r="D47" i="5" s="1"/>
  <c r="C9" i="4"/>
  <c r="B9" i="4"/>
  <c r="C8" i="4"/>
  <c r="B8" i="4"/>
  <c r="C10" i="4"/>
  <c r="B10" i="4"/>
  <c r="C11" i="4"/>
  <c r="B11" i="4"/>
  <c r="C12" i="4"/>
  <c r="B12" i="4"/>
  <c r="B13" i="4"/>
  <c r="C14" i="4"/>
  <c r="B14" i="4"/>
  <c r="C15" i="4"/>
  <c r="B15" i="4"/>
  <c r="C16" i="4"/>
  <c r="B16" i="4"/>
  <c r="C17" i="4"/>
  <c r="B17" i="4"/>
  <c r="C18" i="4"/>
  <c r="B18" i="4"/>
  <c r="C19" i="4"/>
  <c r="B19" i="4"/>
  <c r="C20" i="4"/>
  <c r="B20" i="4"/>
  <c r="C21" i="4"/>
  <c r="B21" i="4"/>
  <c r="C22" i="4"/>
  <c r="B22" i="4"/>
  <c r="C23" i="4"/>
  <c r="B23" i="4"/>
  <c r="C24" i="4"/>
  <c r="B24" i="4"/>
  <c r="C25" i="4"/>
  <c r="B25" i="4"/>
  <c r="C26" i="4"/>
  <c r="B26" i="4"/>
  <c r="C27" i="4"/>
  <c r="B27" i="4"/>
  <c r="C28" i="4"/>
  <c r="B28" i="4"/>
  <c r="C29" i="4"/>
  <c r="B29" i="4"/>
  <c r="C30" i="4"/>
  <c r="B30" i="4"/>
  <c r="C31" i="4"/>
  <c r="B31" i="4"/>
  <c r="C32" i="4"/>
  <c r="B32" i="4"/>
  <c r="C33" i="4"/>
  <c r="B33" i="4"/>
  <c r="C34" i="4"/>
  <c r="B34" i="4"/>
  <c r="C35" i="4"/>
  <c r="B35" i="4"/>
  <c r="C36" i="4"/>
  <c r="B36" i="4"/>
  <c r="B27" i="5"/>
  <c r="B28" i="5"/>
  <c r="D29" i="5" s="1"/>
  <c r="B29" i="5"/>
  <c r="D30" i="5" s="1"/>
  <c r="B30" i="5"/>
  <c r="B31" i="5"/>
  <c r="D32" i="5" s="1"/>
  <c r="B32" i="5"/>
  <c r="B33" i="5"/>
  <c r="D34" i="5" s="1"/>
  <c r="B34" i="5"/>
  <c r="D35" i="5" s="1"/>
  <c r="B35" i="5"/>
  <c r="D36" i="5" s="1"/>
  <c r="B36" i="5"/>
  <c r="D37" i="5" s="1"/>
  <c r="B26" i="5"/>
  <c r="D131" i="2"/>
  <c r="H131" i="2"/>
  <c r="B8" i="5"/>
  <c r="D9" i="5" s="1"/>
  <c r="B9" i="5"/>
  <c r="D10" i="5" s="1"/>
  <c r="B10" i="5"/>
  <c r="B11" i="5"/>
  <c r="D12" i="5" s="1"/>
  <c r="B12" i="5"/>
  <c r="D13" i="5" s="1"/>
  <c r="B13" i="5"/>
  <c r="B14" i="5"/>
  <c r="B15" i="5"/>
  <c r="B16" i="5"/>
  <c r="B17" i="5"/>
  <c r="D18" i="5" s="1"/>
  <c r="B18" i="5"/>
  <c r="B19" i="5"/>
  <c r="B20" i="5"/>
  <c r="D21" i="5" s="1"/>
  <c r="B21" i="5"/>
  <c r="D22" i="5" s="1"/>
  <c r="B22" i="5"/>
  <c r="B23" i="5"/>
  <c r="B24" i="5"/>
  <c r="B25" i="5"/>
  <c r="D26" i="5" s="1"/>
  <c r="G130" i="2"/>
  <c r="H130" i="2"/>
  <c r="D130" i="2"/>
  <c r="J103" i="2"/>
  <c r="H129" i="2"/>
  <c r="G129" i="2"/>
  <c r="D129" i="2"/>
  <c r="G119" i="2"/>
  <c r="G120" i="2"/>
  <c r="G121" i="2"/>
  <c r="G122" i="2"/>
  <c r="G123" i="2"/>
  <c r="G124" i="2"/>
  <c r="G125" i="2"/>
  <c r="G126" i="2"/>
  <c r="G127" i="2"/>
  <c r="G128" i="2"/>
  <c r="H128" i="2"/>
  <c r="D119" i="2"/>
  <c r="D120" i="2"/>
  <c r="D121" i="2"/>
  <c r="D122" i="2"/>
  <c r="D123" i="2"/>
  <c r="D124" i="2"/>
  <c r="D125" i="2"/>
  <c r="D126" i="2"/>
  <c r="D127" i="2"/>
  <c r="D128" i="2"/>
  <c r="H119" i="2"/>
  <c r="H120" i="2"/>
  <c r="H121" i="2"/>
  <c r="H122" i="2"/>
  <c r="H123" i="2"/>
  <c r="H124" i="2"/>
  <c r="H125" i="2"/>
  <c r="H126" i="2"/>
  <c r="H127" i="2"/>
  <c r="A1" i="8"/>
  <c r="E108" i="2"/>
  <c r="G108" i="2"/>
  <c r="AD7" i="5"/>
  <c r="A1" i="5"/>
  <c r="D116" i="2"/>
  <c r="D117" i="2"/>
  <c r="D118" i="2"/>
  <c r="G116" i="2"/>
  <c r="G117" i="2"/>
  <c r="G118" i="2"/>
  <c r="H116" i="2"/>
  <c r="H117" i="2"/>
  <c r="H118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G104" i="2"/>
  <c r="G105" i="2"/>
  <c r="G106" i="2"/>
  <c r="G107" i="2"/>
  <c r="G109" i="2"/>
  <c r="G110" i="2"/>
  <c r="G111" i="2"/>
  <c r="G112" i="2"/>
  <c r="G113" i="2"/>
  <c r="G114" i="2"/>
  <c r="G115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20" i="2"/>
  <c r="D19" i="2"/>
  <c r="D18" i="2"/>
  <c r="D17" i="2"/>
  <c r="D16" i="2"/>
  <c r="D23" i="2"/>
  <c r="D49" i="2"/>
  <c r="D48" i="2"/>
  <c r="D47" i="2"/>
  <c r="D46" i="2"/>
  <c r="D44" i="2"/>
  <c r="D43" i="2"/>
  <c r="D42" i="2"/>
  <c r="D41" i="2"/>
  <c r="D40" i="2"/>
  <c r="D39" i="2"/>
  <c r="D38" i="2"/>
  <c r="D37" i="2"/>
  <c r="D35" i="2"/>
  <c r="D34" i="2"/>
  <c r="D33" i="2"/>
  <c r="D75" i="2"/>
  <c r="D7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94" i="2"/>
  <c r="D100" i="2"/>
  <c r="D99" i="2"/>
  <c r="D98" i="2"/>
  <c r="D97" i="2"/>
  <c r="D96" i="2"/>
  <c r="D95" i="2"/>
  <c r="D101" i="2"/>
  <c r="N36" i="2"/>
  <c r="Q36" i="2"/>
  <c r="R36" i="2"/>
  <c r="N35" i="2"/>
  <c r="Q35" i="2"/>
  <c r="R35" i="2"/>
  <c r="N34" i="2"/>
  <c r="Q34" i="2"/>
  <c r="R34" i="2"/>
  <c r="N33" i="2"/>
  <c r="Q33" i="2"/>
  <c r="T33" i="2" s="1"/>
  <c r="R33" i="2"/>
  <c r="N32" i="2"/>
  <c r="Q32" i="2"/>
  <c r="R32" i="2"/>
  <c r="N31" i="2"/>
  <c r="Q31" i="2"/>
  <c r="R31" i="2"/>
  <c r="N30" i="2"/>
  <c r="Q30" i="2"/>
  <c r="R30" i="2"/>
  <c r="N29" i="2"/>
  <c r="Q29" i="2"/>
  <c r="T29" i="2" s="1"/>
  <c r="R29" i="2"/>
  <c r="N28" i="2"/>
  <c r="Q28" i="2"/>
  <c r="R28" i="2"/>
  <c r="N27" i="2"/>
  <c r="Q27" i="2"/>
  <c r="R27" i="2"/>
  <c r="N26" i="2"/>
  <c r="Q26" i="2"/>
  <c r="R26" i="2"/>
  <c r="N25" i="2"/>
  <c r="Q25" i="2"/>
  <c r="T25" i="2" s="1"/>
  <c r="R25" i="2"/>
  <c r="N24" i="2"/>
  <c r="Q24" i="2"/>
  <c r="R24" i="2"/>
  <c r="N23" i="2"/>
  <c r="Q23" i="2"/>
  <c r="R23" i="2"/>
  <c r="N22" i="2"/>
  <c r="Q22" i="2"/>
  <c r="R22" i="2"/>
  <c r="H103" i="2"/>
  <c r="G103" i="2"/>
  <c r="D103" i="2"/>
  <c r="D102" i="2"/>
  <c r="D76" i="2"/>
  <c r="H1" i="2"/>
  <c r="B1" i="2"/>
  <c r="A1" i="6"/>
  <c r="H36" i="1"/>
  <c r="H28" i="1"/>
  <c r="H66" i="1" s="1"/>
  <c r="H72" i="1" s="1"/>
  <c r="H29" i="1"/>
  <c r="L29" i="1" s="1"/>
  <c r="H31" i="1"/>
  <c r="H32" i="1"/>
  <c r="L32" i="1" s="1"/>
  <c r="P32" i="1" s="1"/>
  <c r="I79" i="1"/>
  <c r="H35" i="1"/>
  <c r="H67" i="1" s="1"/>
  <c r="I78" i="1"/>
  <c r="H34" i="1"/>
  <c r="I77" i="1"/>
  <c r="H33" i="1"/>
  <c r="H76" i="1" s="1"/>
  <c r="M76" i="1" s="1"/>
  <c r="I76" i="1"/>
  <c r="L14" i="1"/>
  <c r="P14" i="1"/>
  <c r="L15" i="1"/>
  <c r="P15" i="1" s="1"/>
  <c r="L16" i="1"/>
  <c r="P16" i="1" s="1"/>
  <c r="L17" i="1"/>
  <c r="P17" i="1"/>
  <c r="L18" i="1"/>
  <c r="P18" i="1"/>
  <c r="L19" i="1"/>
  <c r="P19" i="1"/>
  <c r="L20" i="1"/>
  <c r="P20" i="1" s="1"/>
  <c r="L21" i="1"/>
  <c r="P21" i="1"/>
  <c r="L22" i="1"/>
  <c r="P22" i="1"/>
  <c r="L23" i="1"/>
  <c r="P23" i="1"/>
  <c r="L24" i="1"/>
  <c r="P24" i="1" s="1"/>
  <c r="L25" i="1"/>
  <c r="P25" i="1"/>
  <c r="I26" i="1"/>
  <c r="L26" i="1"/>
  <c r="P26" i="1" s="1"/>
  <c r="L27" i="1"/>
  <c r="P27" i="1"/>
  <c r="F28" i="1"/>
  <c r="F29" i="1"/>
  <c r="I30" i="1"/>
  <c r="F31" i="1"/>
  <c r="F67" i="1" s="1"/>
  <c r="L31" i="1"/>
  <c r="P31" i="1"/>
  <c r="F32" i="1"/>
  <c r="I32" i="1"/>
  <c r="F33" i="1"/>
  <c r="I33" i="1"/>
  <c r="I66" i="1" s="1"/>
  <c r="I72" i="1" s="1"/>
  <c r="F34" i="1"/>
  <c r="L34" i="1" s="1"/>
  <c r="I34" i="1"/>
  <c r="F35" i="1"/>
  <c r="L35" i="1" s="1"/>
  <c r="F39" i="1"/>
  <c r="H39" i="1"/>
  <c r="L39" i="1" s="1"/>
  <c r="I39" i="1"/>
  <c r="F40" i="1"/>
  <c r="L40" i="1" s="1"/>
  <c r="H40" i="1"/>
  <c r="I40" i="1"/>
  <c r="F41" i="1"/>
  <c r="H41" i="1"/>
  <c r="L41" i="1" s="1"/>
  <c r="I41" i="1"/>
  <c r="F36" i="1"/>
  <c r="L36" i="1" s="1"/>
  <c r="R36" i="1" s="1"/>
  <c r="I36" i="1"/>
  <c r="F37" i="1"/>
  <c r="G37" i="1"/>
  <c r="L37" i="1" s="1"/>
  <c r="R37" i="1" s="1"/>
  <c r="H37" i="1"/>
  <c r="I37" i="1"/>
  <c r="F38" i="1"/>
  <c r="G38" i="1"/>
  <c r="H38" i="1"/>
  <c r="I38" i="1"/>
  <c r="L38" i="1" s="1"/>
  <c r="R38" i="1" s="1"/>
  <c r="I42" i="1"/>
  <c r="J42" i="1"/>
  <c r="D42" i="1"/>
  <c r="F42" i="1" s="1"/>
  <c r="O42" i="1"/>
  <c r="F2" i="1"/>
  <c r="F1" i="1"/>
  <c r="A1" i="7"/>
  <c r="A1" i="4"/>
  <c r="C13" i="4"/>
  <c r="L28" i="1"/>
  <c r="P28" i="1"/>
  <c r="L30" i="1"/>
  <c r="P30" i="1" s="1"/>
  <c r="B9" i="2"/>
  <c r="E146" i="2"/>
  <c r="F68" i="1"/>
  <c r="F70" i="1" s="1"/>
  <c r="H75" i="1"/>
  <c r="H79" i="1" s="1"/>
  <c r="M79" i="1" s="1"/>
  <c r="H77" i="1"/>
  <c r="M77" i="1"/>
  <c r="K42" i="1" l="1"/>
  <c r="R40" i="1"/>
  <c r="P40" i="1"/>
  <c r="P34" i="1"/>
  <c r="R34" i="1"/>
  <c r="L42" i="1"/>
  <c r="P42" i="1" s="1"/>
  <c r="P29" i="1"/>
  <c r="P35" i="1"/>
  <c r="R35" i="1"/>
  <c r="F73" i="1"/>
  <c r="R39" i="1"/>
  <c r="P39" i="1"/>
  <c r="L33" i="1"/>
  <c r="G142" i="2"/>
  <c r="G143" i="2"/>
  <c r="G145" i="2" s="1"/>
  <c r="G140" i="2"/>
  <c r="G141" i="2"/>
  <c r="G139" i="2"/>
  <c r="H78" i="1"/>
  <c r="M78" i="1" s="1"/>
  <c r="G66" i="1"/>
  <c r="G72" i="1" s="1"/>
  <c r="H68" i="1"/>
  <c r="H70" i="1" s="1"/>
  <c r="F66" i="1"/>
  <c r="F72" i="1" s="1"/>
  <c r="M72" i="1" s="1"/>
  <c r="I68" i="1"/>
  <c r="I70" i="1" s="1"/>
  <c r="H141" i="2"/>
  <c r="H142" i="2"/>
  <c r="H143" i="2"/>
  <c r="H145" i="2" s="1"/>
  <c r="H139" i="2"/>
  <c r="H140" i="2"/>
  <c r="G68" i="1"/>
  <c r="G70" i="1" s="1"/>
  <c r="I67" i="1"/>
  <c r="G67" i="1"/>
  <c r="D139" i="2"/>
  <c r="D147" i="2" s="1"/>
  <c r="D140" i="2"/>
  <c r="D142" i="2"/>
  <c r="D141" i="2"/>
  <c r="D143" i="2"/>
  <c r="D145" i="2" s="1"/>
  <c r="T34" i="2"/>
  <c r="T22" i="2"/>
  <c r="T26" i="2"/>
  <c r="T30" i="2"/>
  <c r="T23" i="2"/>
  <c r="T24" i="2"/>
  <c r="T27" i="2"/>
  <c r="T28" i="2"/>
  <c r="T31" i="2"/>
  <c r="T32" i="2"/>
  <c r="T35" i="2"/>
  <c r="T36" i="2"/>
  <c r="J41" i="5"/>
  <c r="J12" i="5"/>
  <c r="E15" i="5"/>
  <c r="Q15" i="5" s="1"/>
  <c r="E19" i="5"/>
  <c r="Q19" i="5" s="1"/>
  <c r="V34" i="5"/>
  <c r="E30" i="5"/>
  <c r="W30" i="5" s="1"/>
  <c r="V41" i="5"/>
  <c r="F41" i="5"/>
  <c r="R41" i="5" s="1"/>
  <c r="F48" i="5"/>
  <c r="X48" i="5" s="1"/>
  <c r="P22" i="5"/>
  <c r="E28" i="5"/>
  <c r="W28" i="5" s="1"/>
  <c r="E24" i="5"/>
  <c r="Q24" i="5" s="1"/>
  <c r="G27" i="5"/>
  <c r="M27" i="5" s="1"/>
  <c r="E47" i="5"/>
  <c r="Q47" i="5" s="1"/>
  <c r="D38" i="4"/>
  <c r="G39" i="4" s="1"/>
  <c r="P47" i="5"/>
  <c r="V47" i="5"/>
  <c r="P48" i="5"/>
  <c r="J48" i="5"/>
  <c r="V22" i="5"/>
  <c r="F19" i="5"/>
  <c r="X19" i="5" s="1"/>
  <c r="D15" i="5"/>
  <c r="P15" i="5" s="1"/>
  <c r="P21" i="5"/>
  <c r="D25" i="4"/>
  <c r="G26" i="4" s="1"/>
  <c r="D17" i="4"/>
  <c r="V45" i="5"/>
  <c r="F49" i="5"/>
  <c r="L49" i="5" s="1"/>
  <c r="D39" i="5"/>
  <c r="J39" i="5" s="1"/>
  <c r="G48" i="5"/>
  <c r="Y48" i="5" s="1"/>
  <c r="F71" i="5"/>
  <c r="E52" i="5"/>
  <c r="V9" i="5"/>
  <c r="P9" i="5"/>
  <c r="J9" i="5"/>
  <c r="V35" i="5"/>
  <c r="P35" i="5"/>
  <c r="J35" i="5"/>
  <c r="D25" i="5"/>
  <c r="V25" i="5" s="1"/>
  <c r="D17" i="5"/>
  <c r="J10" i="5"/>
  <c r="P10" i="5"/>
  <c r="E29" i="5"/>
  <c r="D27" i="5"/>
  <c r="V27" i="5" s="1"/>
  <c r="E33" i="5"/>
  <c r="D31" i="5"/>
  <c r="P31" i="5" s="1"/>
  <c r="B57" i="5"/>
  <c r="G51" i="5"/>
  <c r="F75" i="5"/>
  <c r="F77" i="5" s="1"/>
  <c r="P30" i="5"/>
  <c r="F50" i="5"/>
  <c r="X50" i="5" s="1"/>
  <c r="J34" i="5"/>
  <c r="E17" i="5"/>
  <c r="Q17" i="5" s="1"/>
  <c r="P41" i="5"/>
  <c r="F17" i="5"/>
  <c r="V30" i="5"/>
  <c r="V32" i="5"/>
  <c r="P32" i="5"/>
  <c r="F26" i="5"/>
  <c r="D20" i="5"/>
  <c r="F23" i="5"/>
  <c r="R23" i="5" s="1"/>
  <c r="D16" i="5"/>
  <c r="V16" i="5" s="1"/>
  <c r="G24" i="5"/>
  <c r="M24" i="5" s="1"/>
  <c r="E18" i="5"/>
  <c r="W18" i="5" s="1"/>
  <c r="G22" i="5"/>
  <c r="Y22" i="5" s="1"/>
  <c r="F15" i="5"/>
  <c r="B56" i="5"/>
  <c r="E11" i="5"/>
  <c r="H28" i="5"/>
  <c r="N28" i="5" s="1"/>
  <c r="P37" i="5"/>
  <c r="P34" i="5"/>
  <c r="E31" i="5"/>
  <c r="K31" i="5" s="1"/>
  <c r="P29" i="5"/>
  <c r="D12" i="4"/>
  <c r="G13" i="4" s="1"/>
  <c r="K30" i="5"/>
  <c r="J36" i="5"/>
  <c r="E39" i="5"/>
  <c r="G35" i="5"/>
  <c r="M35" i="5" s="1"/>
  <c r="E37" i="5"/>
  <c r="W37" i="5" s="1"/>
  <c r="E21" i="5"/>
  <c r="K21" i="5" s="1"/>
  <c r="D42" i="5"/>
  <c r="V42" i="5" s="1"/>
  <c r="F31" i="5"/>
  <c r="F16" i="5"/>
  <c r="D28" i="5"/>
  <c r="J28" i="5" s="1"/>
  <c r="H37" i="5"/>
  <c r="T37" i="5" s="1"/>
  <c r="F52" i="5"/>
  <c r="E50" i="5"/>
  <c r="Q50" i="5" s="1"/>
  <c r="E49" i="5"/>
  <c r="W49" i="5" s="1"/>
  <c r="E73" i="5"/>
  <c r="E51" i="5"/>
  <c r="E70" i="5" s="1"/>
  <c r="E71" i="5"/>
  <c r="D49" i="5"/>
  <c r="V49" i="5" s="1"/>
  <c r="V48" i="5"/>
  <c r="E75" i="5"/>
  <c r="E77" i="5" s="1"/>
  <c r="P51" i="5"/>
  <c r="J51" i="5"/>
  <c r="V51" i="5"/>
  <c r="J47" i="5"/>
  <c r="H52" i="5"/>
  <c r="D14" i="4"/>
  <c r="G15" i="4" s="1"/>
  <c r="F73" i="5"/>
  <c r="F51" i="5"/>
  <c r="G31" i="5"/>
  <c r="G52" i="5"/>
  <c r="F10" i="6"/>
  <c r="R10" i="6" s="1"/>
  <c r="D9" i="6"/>
  <c r="D10" i="6" s="1"/>
  <c r="G9" i="6"/>
  <c r="G10" i="6" s="1"/>
  <c r="E9" i="6"/>
  <c r="E10" i="6" s="1"/>
  <c r="H9" i="6"/>
  <c r="H10" i="6" s="1"/>
  <c r="D11" i="7"/>
  <c r="D12" i="7" s="1"/>
  <c r="D13" i="7" s="1"/>
  <c r="F13" i="7" s="1"/>
  <c r="F148" i="2"/>
  <c r="D7" i="2"/>
  <c r="C8" i="2"/>
  <c r="C7" i="2" s="1"/>
  <c r="B7" i="2"/>
  <c r="D15" i="4"/>
  <c r="G16" i="4" s="1"/>
  <c r="D28" i="4"/>
  <c r="G29" i="4" s="1"/>
  <c r="D26" i="4"/>
  <c r="D11" i="4"/>
  <c r="D40" i="4"/>
  <c r="G41" i="4" s="1"/>
  <c r="D35" i="4"/>
  <c r="G36" i="4" s="1"/>
  <c r="D33" i="4"/>
  <c r="G34" i="4" s="1"/>
  <c r="D27" i="4"/>
  <c r="D10" i="4"/>
  <c r="G11" i="4" s="1"/>
  <c r="V21" i="5"/>
  <c r="V26" i="5"/>
  <c r="P26" i="5"/>
  <c r="J26" i="5"/>
  <c r="D44" i="5"/>
  <c r="E46" i="5"/>
  <c r="E41" i="5"/>
  <c r="D40" i="5"/>
  <c r="F43" i="5"/>
  <c r="F44" i="5"/>
  <c r="E42" i="5"/>
  <c r="G49" i="5"/>
  <c r="E40" i="5"/>
  <c r="G47" i="5"/>
  <c r="G46" i="5"/>
  <c r="F42" i="5"/>
  <c r="G45" i="5"/>
  <c r="D38" i="5"/>
  <c r="F40" i="5"/>
  <c r="H72" i="5"/>
  <c r="J30" i="5"/>
  <c r="V37" i="5"/>
  <c r="V10" i="5"/>
  <c r="J21" i="5"/>
  <c r="H42" i="5"/>
  <c r="X49" i="5"/>
  <c r="H44" i="5"/>
  <c r="J22" i="5"/>
  <c r="H40" i="5"/>
  <c r="F25" i="5"/>
  <c r="G32" i="5"/>
  <c r="Y32" i="5" s="1"/>
  <c r="D23" i="5"/>
  <c r="G30" i="5"/>
  <c r="F27" i="5"/>
  <c r="H41" i="5"/>
  <c r="E23" i="5"/>
  <c r="W23" i="5" s="1"/>
  <c r="G29" i="5"/>
  <c r="E25" i="5"/>
  <c r="G26" i="5"/>
  <c r="P18" i="5"/>
  <c r="F21" i="5"/>
  <c r="H38" i="5"/>
  <c r="E20" i="5"/>
  <c r="D19" i="5"/>
  <c r="V18" i="5"/>
  <c r="H36" i="5"/>
  <c r="G28" i="5"/>
  <c r="J18" i="5"/>
  <c r="F20" i="5"/>
  <c r="F22" i="5"/>
  <c r="H34" i="5"/>
  <c r="H31" i="5"/>
  <c r="G21" i="5"/>
  <c r="E14" i="5"/>
  <c r="F14" i="5"/>
  <c r="X14" i="5" s="1"/>
  <c r="H30" i="5"/>
  <c r="G20" i="5"/>
  <c r="E13" i="5"/>
  <c r="F13" i="5"/>
  <c r="P36" i="5"/>
  <c r="V36" i="5"/>
  <c r="F37" i="5"/>
  <c r="D33" i="5"/>
  <c r="G42" i="5"/>
  <c r="Y42" i="5" s="1"/>
  <c r="F34" i="5"/>
  <c r="F36" i="5"/>
  <c r="G39" i="5"/>
  <c r="E35" i="5"/>
  <c r="J32" i="5"/>
  <c r="H50" i="5"/>
  <c r="Z50" i="5" s="1"/>
  <c r="V29" i="5"/>
  <c r="J29" i="5"/>
  <c r="D46" i="5"/>
  <c r="E48" i="5"/>
  <c r="P45" i="5"/>
  <c r="D43" i="5"/>
  <c r="F45" i="5"/>
  <c r="E43" i="5"/>
  <c r="F46" i="5"/>
  <c r="E45" i="5"/>
  <c r="F47" i="5"/>
  <c r="E44" i="5"/>
  <c r="G50" i="5"/>
  <c r="Y50" i="5" s="1"/>
  <c r="H75" i="5"/>
  <c r="H77" i="5" s="1"/>
  <c r="J37" i="5"/>
  <c r="L48" i="5"/>
  <c r="G43" i="5"/>
  <c r="Y43" i="5" s="1"/>
  <c r="V12" i="5"/>
  <c r="P12" i="5"/>
  <c r="F29" i="5"/>
  <c r="F28" i="5"/>
  <c r="E27" i="5"/>
  <c r="F30" i="5"/>
  <c r="H45" i="5"/>
  <c r="H43" i="5"/>
  <c r="D14" i="5"/>
  <c r="H33" i="5"/>
  <c r="G23" i="5"/>
  <c r="F18" i="5"/>
  <c r="E16" i="5"/>
  <c r="J13" i="5"/>
  <c r="H32" i="5"/>
  <c r="P13" i="5"/>
  <c r="V13" i="5"/>
  <c r="G74" i="5"/>
  <c r="G34" i="5"/>
  <c r="D11" i="5"/>
  <c r="G18" i="5"/>
  <c r="Y18" i="5" s="1"/>
  <c r="G19" i="5"/>
  <c r="H29" i="5"/>
  <c r="E12" i="5"/>
  <c r="F38" i="5"/>
  <c r="F39" i="5"/>
  <c r="X39" i="5" s="1"/>
  <c r="E36" i="5"/>
  <c r="E38" i="5"/>
  <c r="G44" i="5"/>
  <c r="H74" i="5"/>
  <c r="G41" i="5"/>
  <c r="E32" i="5"/>
  <c r="G40" i="5"/>
  <c r="F35" i="5"/>
  <c r="H49" i="5"/>
  <c r="Z49" i="5" s="1"/>
  <c r="H73" i="5"/>
  <c r="H51" i="5"/>
  <c r="E34" i="5"/>
  <c r="H46" i="5"/>
  <c r="F32" i="5"/>
  <c r="F33" i="5"/>
  <c r="H47" i="5"/>
  <c r="G36" i="5"/>
  <c r="H48" i="5"/>
  <c r="G38" i="5"/>
  <c r="G37" i="5"/>
  <c r="Y37" i="5" s="1"/>
  <c r="J45" i="5"/>
  <c r="B58" i="5"/>
  <c r="D24" i="5"/>
  <c r="G33" i="5"/>
  <c r="E26" i="5"/>
  <c r="E22" i="5"/>
  <c r="F24" i="5"/>
  <c r="H39" i="5"/>
  <c r="Z39" i="5" s="1"/>
  <c r="H35" i="5"/>
  <c r="G25" i="5"/>
  <c r="D50" i="5"/>
  <c r="V50" i="5" s="1"/>
  <c r="D70" i="5"/>
  <c r="F74" i="5"/>
  <c r="H71" i="5"/>
  <c r="E72" i="5"/>
  <c r="F72" i="5"/>
  <c r="E74" i="5"/>
  <c r="D29" i="4"/>
  <c r="D21" i="4"/>
  <c r="D36" i="4"/>
  <c r="D34" i="4"/>
  <c r="D30" i="4"/>
  <c r="D22" i="4"/>
  <c r="G23" i="4" s="1"/>
  <c r="D20" i="4"/>
  <c r="D18" i="4"/>
  <c r="D9" i="4"/>
  <c r="D37" i="4"/>
  <c r="D8" i="4"/>
  <c r="D16" i="4"/>
  <c r="D13" i="4"/>
  <c r="D23" i="4"/>
  <c r="G24" i="4" s="1"/>
  <c r="D19" i="4"/>
  <c r="D39" i="4"/>
  <c r="D32" i="4"/>
  <c r="D24" i="4"/>
  <c r="G18" i="4"/>
  <c r="D31" i="4"/>
  <c r="I73" i="1" l="1"/>
  <c r="I71" i="1"/>
  <c r="D148" i="2"/>
  <c r="F71" i="1"/>
  <c r="M71" i="1" s="1"/>
  <c r="L19" i="5"/>
  <c r="R33" i="1"/>
  <c r="R66" i="1" s="1"/>
  <c r="P41" i="1" s="1"/>
  <c r="P33" i="1"/>
  <c r="H148" i="2"/>
  <c r="H147" i="2"/>
  <c r="H146" i="2"/>
  <c r="L66" i="1"/>
  <c r="L72" i="1" s="1"/>
  <c r="D146" i="2"/>
  <c r="L68" i="1"/>
  <c r="L70" i="1" s="1"/>
  <c r="L67" i="1"/>
  <c r="G73" i="1"/>
  <c r="M73" i="1" s="1"/>
  <c r="G71" i="1"/>
  <c r="H73" i="1"/>
  <c r="H71" i="1"/>
  <c r="J31" i="5"/>
  <c r="G146" i="2"/>
  <c r="G147" i="2"/>
  <c r="G148" i="2"/>
  <c r="W15" i="5"/>
  <c r="K15" i="5"/>
  <c r="P39" i="5"/>
  <c r="X41" i="5"/>
  <c r="L41" i="5"/>
  <c r="K19" i="5"/>
  <c r="K28" i="5"/>
  <c r="H39" i="4"/>
  <c r="W39" i="4" s="1"/>
  <c r="V31" i="5"/>
  <c r="W24" i="5"/>
  <c r="Q30" i="5"/>
  <c r="R19" i="5"/>
  <c r="J49" i="5"/>
  <c r="S27" i="5"/>
  <c r="Q28" i="5"/>
  <c r="H27" i="4"/>
  <c r="AC27" i="4" s="1"/>
  <c r="R48" i="5"/>
  <c r="Y27" i="5"/>
  <c r="W19" i="5"/>
  <c r="H30" i="4"/>
  <c r="AC30" i="4" s="1"/>
  <c r="N37" i="5"/>
  <c r="K47" i="5"/>
  <c r="K24" i="5"/>
  <c r="Q31" i="5"/>
  <c r="Q37" i="5"/>
  <c r="AB26" i="4"/>
  <c r="Q26" i="4"/>
  <c r="J15" i="5"/>
  <c r="V15" i="5"/>
  <c r="W47" i="5"/>
  <c r="Y24" i="5"/>
  <c r="L26" i="4"/>
  <c r="J42" i="4"/>
  <c r="D15" i="8" s="1"/>
  <c r="S24" i="5"/>
  <c r="W21" i="5"/>
  <c r="L23" i="5"/>
  <c r="Q21" i="5"/>
  <c r="H42" i="4"/>
  <c r="D13" i="8" s="1"/>
  <c r="R49" i="5"/>
  <c r="V39" i="5"/>
  <c r="H28" i="4"/>
  <c r="AC28" i="4" s="1"/>
  <c r="H13" i="4"/>
  <c r="AC13" i="4" s="1"/>
  <c r="AB15" i="4"/>
  <c r="P49" i="5"/>
  <c r="R51" i="5"/>
  <c r="L51" i="5"/>
  <c r="X51" i="5"/>
  <c r="F70" i="5"/>
  <c r="Q51" i="5"/>
  <c r="K51" i="5"/>
  <c r="W51" i="5"/>
  <c r="K50" i="5"/>
  <c r="W50" i="5"/>
  <c r="X16" i="5"/>
  <c r="R16" i="5"/>
  <c r="L16" i="5"/>
  <c r="W11" i="5"/>
  <c r="K11" i="5"/>
  <c r="Q11" i="5"/>
  <c r="Q18" i="5"/>
  <c r="K18" i="5"/>
  <c r="P20" i="5"/>
  <c r="V20" i="5"/>
  <c r="J20" i="5"/>
  <c r="M51" i="5"/>
  <c r="S51" i="5"/>
  <c r="Y51" i="5"/>
  <c r="Q33" i="5"/>
  <c r="K33" i="5"/>
  <c r="J25" i="5"/>
  <c r="P25" i="5"/>
  <c r="M48" i="5"/>
  <c r="S48" i="5"/>
  <c r="G12" i="4"/>
  <c r="L12" i="4" s="1"/>
  <c r="K37" i="5"/>
  <c r="W33" i="5"/>
  <c r="X23" i="5"/>
  <c r="Z37" i="5"/>
  <c r="R31" i="5"/>
  <c r="X31" i="5"/>
  <c r="L31" i="5"/>
  <c r="S35" i="5"/>
  <c r="Y35" i="5"/>
  <c r="X26" i="5"/>
  <c r="L26" i="5"/>
  <c r="R26" i="5"/>
  <c r="K17" i="5"/>
  <c r="W17" i="5"/>
  <c r="P27" i="5"/>
  <c r="J27" i="5"/>
  <c r="H70" i="5"/>
  <c r="H78" i="5" s="1"/>
  <c r="C11" i="8" s="1"/>
  <c r="T51" i="5"/>
  <c r="N51" i="5"/>
  <c r="Z51" i="5"/>
  <c r="P42" i="5"/>
  <c r="J42" i="5"/>
  <c r="Q39" i="5"/>
  <c r="K39" i="5"/>
  <c r="R15" i="5"/>
  <c r="L15" i="5"/>
  <c r="X15" i="5"/>
  <c r="P16" i="5"/>
  <c r="J16" i="5"/>
  <c r="K29" i="5"/>
  <c r="Q29" i="5"/>
  <c r="W29" i="5"/>
  <c r="V17" i="5"/>
  <c r="J17" i="5"/>
  <c r="P17" i="5"/>
  <c r="H29" i="4"/>
  <c r="W29" i="4" s="1"/>
  <c r="L41" i="4"/>
  <c r="AB41" i="4"/>
  <c r="V41" i="4"/>
  <c r="Q41" i="4"/>
  <c r="I42" i="4"/>
  <c r="D14" i="8" s="1"/>
  <c r="W39" i="5"/>
  <c r="W31" i="5"/>
  <c r="S31" i="5"/>
  <c r="M31" i="5"/>
  <c r="Y31" i="5"/>
  <c r="Q49" i="5"/>
  <c r="K49" i="5"/>
  <c r="P28" i="5"/>
  <c r="V28" i="5"/>
  <c r="Z28" i="5"/>
  <c r="T28" i="5"/>
  <c r="M22" i="5"/>
  <c r="S22" i="5"/>
  <c r="L17" i="5"/>
  <c r="X17" i="5"/>
  <c r="R17" i="5"/>
  <c r="R50" i="5"/>
  <c r="L50" i="5"/>
  <c r="N10" i="6"/>
  <c r="T10" i="6"/>
  <c r="H11" i="6"/>
  <c r="M10" i="6"/>
  <c r="G11" i="6"/>
  <c r="S10" i="6"/>
  <c r="J10" i="6"/>
  <c r="D11" i="6"/>
  <c r="P10" i="6"/>
  <c r="K10" i="6"/>
  <c r="Q10" i="6"/>
  <c r="E11" i="6"/>
  <c r="L10" i="6"/>
  <c r="F11" i="6"/>
  <c r="E14" i="4"/>
  <c r="Q15" i="4"/>
  <c r="G27" i="4"/>
  <c r="Q27" i="4" s="1"/>
  <c r="I13" i="4"/>
  <c r="S13" i="4" s="1"/>
  <c r="G28" i="4"/>
  <c r="AB28" i="4" s="1"/>
  <c r="L23" i="4"/>
  <c r="Q11" i="4"/>
  <c r="V26" i="4"/>
  <c r="L24" i="5"/>
  <c r="R24" i="5"/>
  <c r="X24" i="5"/>
  <c r="S44" i="5"/>
  <c r="M44" i="5"/>
  <c r="Y44" i="5"/>
  <c r="T43" i="5"/>
  <c r="N43" i="5"/>
  <c r="R46" i="5"/>
  <c r="X46" i="5"/>
  <c r="L46" i="5"/>
  <c r="R37" i="5"/>
  <c r="L37" i="5"/>
  <c r="X37" i="5"/>
  <c r="X20" i="5"/>
  <c r="R20" i="5"/>
  <c r="L20" i="5"/>
  <c r="X21" i="5"/>
  <c r="L21" i="5"/>
  <c r="R21" i="5"/>
  <c r="X27" i="5"/>
  <c r="L27" i="5"/>
  <c r="R27" i="5"/>
  <c r="N42" i="5"/>
  <c r="T42" i="5"/>
  <c r="Z42" i="5"/>
  <c r="W40" i="5"/>
  <c r="Q40" i="5"/>
  <c r="K40" i="5"/>
  <c r="K42" i="5"/>
  <c r="Q42" i="5"/>
  <c r="J40" i="5"/>
  <c r="V40" i="5"/>
  <c r="P40" i="5"/>
  <c r="G80" i="5"/>
  <c r="E10" i="8" s="1"/>
  <c r="G78" i="5"/>
  <c r="C10" i="8" s="1"/>
  <c r="G79" i="5"/>
  <c r="E79" i="5"/>
  <c r="E78" i="5"/>
  <c r="C8" i="8" s="1"/>
  <c r="E80" i="5"/>
  <c r="E8" i="8" s="1"/>
  <c r="D8" i="8"/>
  <c r="M25" i="5"/>
  <c r="Y25" i="5"/>
  <c r="S25" i="5"/>
  <c r="M33" i="5"/>
  <c r="Y33" i="5"/>
  <c r="S33" i="5"/>
  <c r="Z48" i="5"/>
  <c r="N48" i="5"/>
  <c r="T48" i="5"/>
  <c r="X32" i="5"/>
  <c r="L32" i="5"/>
  <c r="R32" i="5"/>
  <c r="K32" i="5"/>
  <c r="Q32" i="5"/>
  <c r="Q12" i="5"/>
  <c r="K12" i="5"/>
  <c r="W12" i="5"/>
  <c r="J11" i="5"/>
  <c r="P11" i="5"/>
  <c r="N32" i="5"/>
  <c r="Z32" i="5"/>
  <c r="T32" i="5"/>
  <c r="T45" i="5"/>
  <c r="N45" i="5"/>
  <c r="Z45" i="5"/>
  <c r="M43" i="5"/>
  <c r="S43" i="5"/>
  <c r="W42" i="5"/>
  <c r="Q43" i="5"/>
  <c r="K43" i="5"/>
  <c r="W43" i="5"/>
  <c r="R34" i="5"/>
  <c r="L34" i="5"/>
  <c r="X34" i="5"/>
  <c r="M20" i="5"/>
  <c r="S20" i="5"/>
  <c r="Y20" i="5"/>
  <c r="M21" i="5"/>
  <c r="Y21" i="5"/>
  <c r="S21" i="5"/>
  <c r="J19" i="5"/>
  <c r="P19" i="5"/>
  <c r="V19" i="5"/>
  <c r="M29" i="5"/>
  <c r="Y29" i="5"/>
  <c r="S29" i="5"/>
  <c r="M30" i="5"/>
  <c r="S30" i="5"/>
  <c r="Y30" i="5"/>
  <c r="N40" i="5"/>
  <c r="T40" i="5"/>
  <c r="Z40" i="5"/>
  <c r="R42" i="5"/>
  <c r="X42" i="5"/>
  <c r="L42" i="5"/>
  <c r="M49" i="5"/>
  <c r="S49" i="5"/>
  <c r="Y49" i="5"/>
  <c r="R44" i="5"/>
  <c r="X44" i="5"/>
  <c r="L44" i="5"/>
  <c r="K41" i="5"/>
  <c r="Q41" i="5"/>
  <c r="W41" i="5"/>
  <c r="J44" i="5"/>
  <c r="P44" i="5"/>
  <c r="V44" i="5"/>
  <c r="N35" i="5"/>
  <c r="Z35" i="5"/>
  <c r="T35" i="5"/>
  <c r="P24" i="5"/>
  <c r="J24" i="5"/>
  <c r="S36" i="5"/>
  <c r="Y36" i="5"/>
  <c r="M36" i="5"/>
  <c r="N46" i="5"/>
  <c r="Z46" i="5"/>
  <c r="T46" i="5"/>
  <c r="T49" i="5"/>
  <c r="N49" i="5"/>
  <c r="Y41" i="5"/>
  <c r="S41" i="5"/>
  <c r="M41" i="5"/>
  <c r="Q36" i="5"/>
  <c r="W36" i="5"/>
  <c r="K36" i="5"/>
  <c r="Z29" i="5"/>
  <c r="N29" i="5"/>
  <c r="T29" i="5"/>
  <c r="V24" i="5"/>
  <c r="T33" i="5"/>
  <c r="Z33" i="5"/>
  <c r="N33" i="5"/>
  <c r="R30" i="5"/>
  <c r="L30" i="5"/>
  <c r="X30" i="5"/>
  <c r="X29" i="5"/>
  <c r="R29" i="5"/>
  <c r="L29" i="5"/>
  <c r="Z43" i="5"/>
  <c r="X47" i="5"/>
  <c r="L47" i="5"/>
  <c r="R47" i="5"/>
  <c r="R45" i="5"/>
  <c r="L45" i="5"/>
  <c r="X45" i="5"/>
  <c r="J46" i="5"/>
  <c r="V46" i="5"/>
  <c r="P46" i="5"/>
  <c r="N50" i="5"/>
  <c r="T50" i="5"/>
  <c r="M39" i="5"/>
  <c r="S39" i="5"/>
  <c r="M42" i="5"/>
  <c r="S42" i="5"/>
  <c r="N30" i="5"/>
  <c r="Z30" i="5"/>
  <c r="T30" i="5"/>
  <c r="V11" i="5"/>
  <c r="S28" i="5"/>
  <c r="Y28" i="5"/>
  <c r="M28" i="5"/>
  <c r="Q20" i="5"/>
  <c r="W20" i="5"/>
  <c r="K20" i="5"/>
  <c r="Y26" i="5"/>
  <c r="M26" i="5"/>
  <c r="S26" i="5"/>
  <c r="K23" i="5"/>
  <c r="Q23" i="5"/>
  <c r="P23" i="5"/>
  <c r="J23" i="5"/>
  <c r="V23" i="5"/>
  <c r="T44" i="5"/>
  <c r="N44" i="5"/>
  <c r="Z44" i="5"/>
  <c r="X40" i="5"/>
  <c r="L40" i="5"/>
  <c r="R40" i="5"/>
  <c r="M46" i="5"/>
  <c r="S46" i="5"/>
  <c r="Y46" i="5"/>
  <c r="L43" i="5"/>
  <c r="R43" i="5"/>
  <c r="X43" i="5"/>
  <c r="Q26" i="5"/>
  <c r="W26" i="5"/>
  <c r="K26" i="5"/>
  <c r="M38" i="5"/>
  <c r="Y38" i="5"/>
  <c r="S38" i="5"/>
  <c r="R33" i="5"/>
  <c r="L33" i="5"/>
  <c r="X33" i="5"/>
  <c r="Y40" i="5"/>
  <c r="S40" i="5"/>
  <c r="M40" i="5"/>
  <c r="X38" i="5"/>
  <c r="R38" i="5"/>
  <c r="L38" i="5"/>
  <c r="M18" i="5"/>
  <c r="S18" i="5"/>
  <c r="L18" i="5"/>
  <c r="X18" i="5"/>
  <c r="R18" i="5"/>
  <c r="K27" i="5"/>
  <c r="Q27" i="5"/>
  <c r="W27" i="5"/>
  <c r="Q44" i="5"/>
  <c r="W44" i="5"/>
  <c r="K44" i="5"/>
  <c r="L36" i="5"/>
  <c r="X36" i="5"/>
  <c r="R36" i="5"/>
  <c r="Q13" i="5"/>
  <c r="K13" i="5"/>
  <c r="K14" i="5"/>
  <c r="Q14" i="5"/>
  <c r="W14" i="5"/>
  <c r="K25" i="5"/>
  <c r="W25" i="5"/>
  <c r="Q25" i="5"/>
  <c r="R25" i="5"/>
  <c r="L25" i="5"/>
  <c r="X25" i="5"/>
  <c r="M45" i="5"/>
  <c r="S45" i="5"/>
  <c r="D79" i="5"/>
  <c r="D7" i="8"/>
  <c r="W22" i="5"/>
  <c r="K22" i="5"/>
  <c r="Q22" i="5"/>
  <c r="W38" i="5"/>
  <c r="Q38" i="5"/>
  <c r="K38" i="5"/>
  <c r="S23" i="5"/>
  <c r="M23" i="5"/>
  <c r="X28" i="5"/>
  <c r="L28" i="5"/>
  <c r="R28" i="5"/>
  <c r="Q48" i="5"/>
  <c r="W48" i="5"/>
  <c r="K48" i="5"/>
  <c r="K35" i="5"/>
  <c r="Q35" i="5"/>
  <c r="W35" i="5"/>
  <c r="Z34" i="5"/>
  <c r="T34" i="5"/>
  <c r="N34" i="5"/>
  <c r="J50" i="5"/>
  <c r="P50" i="5"/>
  <c r="T39" i="5"/>
  <c r="N39" i="5"/>
  <c r="Y23" i="5"/>
  <c r="S37" i="5"/>
  <c r="M37" i="5"/>
  <c r="N47" i="5"/>
  <c r="Z47" i="5"/>
  <c r="T47" i="5"/>
  <c r="Q34" i="5"/>
  <c r="K34" i="5"/>
  <c r="W34" i="5"/>
  <c r="L35" i="5"/>
  <c r="X35" i="5"/>
  <c r="R35" i="5"/>
  <c r="L39" i="5"/>
  <c r="R39" i="5"/>
  <c r="M19" i="5"/>
  <c r="S19" i="5"/>
  <c r="Y19" i="5"/>
  <c r="S34" i="5"/>
  <c r="M34" i="5"/>
  <c r="Y34" i="5"/>
  <c r="W13" i="5"/>
  <c r="K16" i="5"/>
  <c r="Q16" i="5"/>
  <c r="W16" i="5"/>
  <c r="P14" i="5"/>
  <c r="J14" i="5"/>
  <c r="V14" i="5"/>
  <c r="S50" i="5"/>
  <c r="M50" i="5"/>
  <c r="W45" i="5"/>
  <c r="Q45" i="5"/>
  <c r="K45" i="5"/>
  <c r="J43" i="5"/>
  <c r="P43" i="5"/>
  <c r="Y45" i="5"/>
  <c r="W32" i="5"/>
  <c r="P33" i="5"/>
  <c r="J33" i="5"/>
  <c r="V33" i="5"/>
  <c r="R14" i="5"/>
  <c r="L14" i="5"/>
  <c r="N31" i="5"/>
  <c r="T31" i="5"/>
  <c r="Z31" i="5"/>
  <c r="R22" i="5"/>
  <c r="X22" i="5"/>
  <c r="L22" i="5"/>
  <c r="N36" i="5"/>
  <c r="Z36" i="5"/>
  <c r="T36" i="5"/>
  <c r="N38" i="5"/>
  <c r="Z38" i="5"/>
  <c r="T38" i="5"/>
  <c r="T41" i="5"/>
  <c r="N41" i="5"/>
  <c r="Z41" i="5"/>
  <c r="M32" i="5"/>
  <c r="S32" i="5"/>
  <c r="V43" i="5"/>
  <c r="P38" i="5"/>
  <c r="J38" i="5"/>
  <c r="V38" i="5"/>
  <c r="S47" i="5"/>
  <c r="Y47" i="5"/>
  <c r="M47" i="5"/>
  <c r="Y39" i="5"/>
  <c r="Q46" i="5"/>
  <c r="K46" i="5"/>
  <c r="W46" i="5"/>
  <c r="E31" i="4"/>
  <c r="E39" i="4"/>
  <c r="Q39" i="4"/>
  <c r="V39" i="4"/>
  <c r="H19" i="4"/>
  <c r="R19" i="4" s="1"/>
  <c r="V16" i="4"/>
  <c r="E16" i="4"/>
  <c r="Q16" i="4"/>
  <c r="G10" i="4"/>
  <c r="E9" i="4"/>
  <c r="E21" i="4"/>
  <c r="E28" i="4"/>
  <c r="G19" i="4"/>
  <c r="Q19" i="4" s="1"/>
  <c r="E18" i="4"/>
  <c r="Q18" i="4"/>
  <c r="V18" i="4"/>
  <c r="G30" i="4"/>
  <c r="L30" i="4" s="1"/>
  <c r="E29" i="4"/>
  <c r="Q29" i="4"/>
  <c r="V29" i="4"/>
  <c r="E33" i="4"/>
  <c r="E25" i="4"/>
  <c r="E40" i="4"/>
  <c r="AB29" i="4"/>
  <c r="H31" i="4"/>
  <c r="W31" i="4" s="1"/>
  <c r="AB24" i="4"/>
  <c r="G33" i="4"/>
  <c r="E32" i="4"/>
  <c r="E23" i="4"/>
  <c r="Q23" i="4"/>
  <c r="V23" i="4"/>
  <c r="I30" i="4"/>
  <c r="X30" i="4" s="1"/>
  <c r="H23" i="4"/>
  <c r="E20" i="4"/>
  <c r="I37" i="4"/>
  <c r="AD37" i="4" s="1"/>
  <c r="E34" i="4"/>
  <c r="Q34" i="4"/>
  <c r="V34" i="4"/>
  <c r="V11" i="4"/>
  <c r="E12" i="4"/>
  <c r="R28" i="4"/>
  <c r="E27" i="4"/>
  <c r="E10" i="4"/>
  <c r="E38" i="4"/>
  <c r="E24" i="4"/>
  <c r="Q24" i="4"/>
  <c r="V24" i="4"/>
  <c r="E19" i="4"/>
  <c r="E8" i="4"/>
  <c r="E41" i="4"/>
  <c r="E30" i="4"/>
  <c r="I31" i="4"/>
  <c r="G9" i="4"/>
  <c r="Q9" i="4" s="1"/>
  <c r="H12" i="4"/>
  <c r="M12" i="4" s="1"/>
  <c r="G31" i="4"/>
  <c r="V31" i="4" s="1"/>
  <c r="G22" i="4"/>
  <c r="Q22" i="4" s="1"/>
  <c r="E13" i="4"/>
  <c r="Q13" i="4"/>
  <c r="V13" i="4"/>
  <c r="E37" i="4"/>
  <c r="H24" i="4"/>
  <c r="R24" i="4" s="1"/>
  <c r="E22" i="4"/>
  <c r="E36" i="4"/>
  <c r="Q36" i="4"/>
  <c r="V36" i="4"/>
  <c r="E15" i="4"/>
  <c r="E17" i="4"/>
  <c r="V15" i="4"/>
  <c r="E35" i="4"/>
  <c r="E11" i="4"/>
  <c r="E26" i="4"/>
  <c r="G35" i="4"/>
  <c r="AB35" i="4" s="1"/>
  <c r="H40" i="4"/>
  <c r="M40" i="4" s="1"/>
  <c r="J21" i="4"/>
  <c r="O21" i="4" s="1"/>
  <c r="J30" i="4"/>
  <c r="Y30" i="4" s="1"/>
  <c r="I40" i="4"/>
  <c r="G38" i="4"/>
  <c r="H37" i="4"/>
  <c r="AC37" i="4" s="1"/>
  <c r="H38" i="4"/>
  <c r="M38" i="4" s="1"/>
  <c r="I14" i="4"/>
  <c r="H14" i="4"/>
  <c r="G21" i="4"/>
  <c r="AB21" i="4" s="1"/>
  <c r="I17" i="4"/>
  <c r="G37" i="4"/>
  <c r="AB37" i="4" s="1"/>
  <c r="I26" i="4"/>
  <c r="J27" i="4"/>
  <c r="AB13" i="4"/>
  <c r="I18" i="4"/>
  <c r="X18" i="4" s="1"/>
  <c r="I19" i="4"/>
  <c r="N19" i="4" s="1"/>
  <c r="H36" i="4"/>
  <c r="AC36" i="4" s="1"/>
  <c r="I29" i="4"/>
  <c r="J22" i="4"/>
  <c r="AB34" i="4"/>
  <c r="H15" i="4"/>
  <c r="I39" i="4"/>
  <c r="S39" i="4" s="1"/>
  <c r="I38" i="4"/>
  <c r="H16" i="4"/>
  <c r="AC16" i="4" s="1"/>
  <c r="J31" i="4"/>
  <c r="T31" i="4" s="1"/>
  <c r="I25" i="4"/>
  <c r="AB23" i="4"/>
  <c r="I15" i="4"/>
  <c r="G14" i="4"/>
  <c r="AB14" i="4" s="1"/>
  <c r="H11" i="4"/>
  <c r="I16" i="4"/>
  <c r="AD16" i="4" s="1"/>
  <c r="G25" i="4"/>
  <c r="L25" i="4" s="1"/>
  <c r="I28" i="4"/>
  <c r="N28" i="4" s="1"/>
  <c r="J18" i="4"/>
  <c r="G20" i="4"/>
  <c r="AB20" i="4" s="1"/>
  <c r="I21" i="4"/>
  <c r="H35" i="4"/>
  <c r="H18" i="4"/>
  <c r="AC18" i="4" s="1"/>
  <c r="G17" i="4"/>
  <c r="H22" i="4"/>
  <c r="J29" i="4"/>
  <c r="AE29" i="4" s="1"/>
  <c r="I24" i="4"/>
  <c r="AD24" i="4" s="1"/>
  <c r="I20" i="4"/>
  <c r="H25" i="4"/>
  <c r="H20" i="4"/>
  <c r="AC20" i="4" s="1"/>
  <c r="H21" i="4"/>
  <c r="J23" i="4"/>
  <c r="J26" i="4"/>
  <c r="O26" i="4" s="1"/>
  <c r="H26" i="4"/>
  <c r="I23" i="4"/>
  <c r="I22" i="4"/>
  <c r="J20" i="4"/>
  <c r="AE20" i="4" s="1"/>
  <c r="J41" i="4"/>
  <c r="J24" i="4"/>
  <c r="J19" i="4"/>
  <c r="Y19" i="4" s="1"/>
  <c r="J28" i="4"/>
  <c r="AB12" i="4"/>
  <c r="H17" i="4"/>
  <c r="I27" i="4"/>
  <c r="J25" i="4"/>
  <c r="G40" i="4"/>
  <c r="H41" i="4"/>
  <c r="I41" i="4"/>
  <c r="G32" i="4"/>
  <c r="Q32" i="4" s="1"/>
  <c r="I36" i="4"/>
  <c r="S36" i="4" s="1"/>
  <c r="J39" i="4"/>
  <c r="H34" i="4"/>
  <c r="R34" i="4" s="1"/>
  <c r="J32" i="4"/>
  <c r="Y32" i="4" s="1"/>
  <c r="H33" i="4"/>
  <c r="I33" i="4"/>
  <c r="L29" i="4"/>
  <c r="L15" i="4"/>
  <c r="J40" i="4"/>
  <c r="I32" i="4"/>
  <c r="S32" i="4" s="1"/>
  <c r="L24" i="4"/>
  <c r="L39" i="4"/>
  <c r="AB39" i="4"/>
  <c r="L34" i="4"/>
  <c r="H32" i="4"/>
  <c r="W32" i="4" s="1"/>
  <c r="I34" i="4"/>
  <c r="X34" i="4" s="1"/>
  <c r="J37" i="4"/>
  <c r="J38" i="4"/>
  <c r="J34" i="4"/>
  <c r="Y34" i="4" s="1"/>
  <c r="L16" i="4"/>
  <c r="AB16" i="4"/>
  <c r="J35" i="4"/>
  <c r="L13" i="4"/>
  <c r="I35" i="4"/>
  <c r="J33" i="4"/>
  <c r="L36" i="4"/>
  <c r="AB36" i="4"/>
  <c r="L11" i="4"/>
  <c r="AB11" i="4"/>
  <c r="J36" i="4"/>
  <c r="T36" i="4" s="1"/>
  <c r="AB18" i="4"/>
  <c r="L18" i="4"/>
  <c r="D14" i="7"/>
  <c r="D15" i="7" s="1"/>
  <c r="E13" i="7"/>
  <c r="G13" i="7"/>
  <c r="L71" i="1" l="1"/>
  <c r="L73" i="1"/>
  <c r="R29" i="4"/>
  <c r="P68" i="1"/>
  <c r="P70" i="1" s="1"/>
  <c r="P66" i="1"/>
  <c r="P72" i="1" s="1"/>
  <c r="P67" i="1"/>
  <c r="AC29" i="4"/>
  <c r="W13" i="4"/>
  <c r="V19" i="4"/>
  <c r="M13" i="4"/>
  <c r="R13" i="4"/>
  <c r="M29" i="4"/>
  <c r="V12" i="4"/>
  <c r="Q12" i="4"/>
  <c r="M28" i="4"/>
  <c r="AC39" i="4"/>
  <c r="M39" i="4"/>
  <c r="M30" i="4"/>
  <c r="R30" i="4"/>
  <c r="R39" i="4"/>
  <c r="L28" i="4"/>
  <c r="M27" i="4"/>
  <c r="L9" i="4"/>
  <c r="AB30" i="4"/>
  <c r="W27" i="4"/>
  <c r="R27" i="4"/>
  <c r="N13" i="4"/>
  <c r="W30" i="4"/>
  <c r="AC24" i="4"/>
  <c r="D11" i="8"/>
  <c r="N55" i="5"/>
  <c r="G11" i="8" s="1"/>
  <c r="W28" i="4"/>
  <c r="J56" i="5"/>
  <c r="V22" i="4"/>
  <c r="J57" i="5"/>
  <c r="H80" i="5"/>
  <c r="E11" i="8" s="1"/>
  <c r="R32" i="4"/>
  <c r="Y58" i="5"/>
  <c r="X56" i="5"/>
  <c r="J58" i="5"/>
  <c r="T34" i="4"/>
  <c r="V20" i="4"/>
  <c r="AB9" i="4"/>
  <c r="X55" i="5"/>
  <c r="H9" i="8" s="1"/>
  <c r="N57" i="5"/>
  <c r="H79" i="5"/>
  <c r="J55" i="5"/>
  <c r="G7" i="8" s="1"/>
  <c r="K55" i="5"/>
  <c r="G8" i="8" s="1"/>
  <c r="K58" i="5"/>
  <c r="K57" i="5"/>
  <c r="K56" i="5"/>
  <c r="O41" i="4"/>
  <c r="T41" i="4"/>
  <c r="AE41" i="4"/>
  <c r="Y41" i="4"/>
  <c r="N41" i="4"/>
  <c r="AD41" i="4"/>
  <c r="X41" i="4"/>
  <c r="S41" i="4"/>
  <c r="M31" i="4"/>
  <c r="AC31" i="4"/>
  <c r="M41" i="4"/>
  <c r="AC41" i="4"/>
  <c r="W41" i="4"/>
  <c r="R41" i="4"/>
  <c r="Y36" i="4"/>
  <c r="V27" i="4"/>
  <c r="T29" i="4"/>
  <c r="V21" i="4"/>
  <c r="L55" i="5"/>
  <c r="G9" i="8" s="1"/>
  <c r="L58" i="5"/>
  <c r="L57" i="5"/>
  <c r="L56" i="5"/>
  <c r="Y56" i="5"/>
  <c r="D9" i="8"/>
  <c r="F80" i="5"/>
  <c r="E9" i="8" s="1"/>
  <c r="F79" i="5"/>
  <c r="F78" i="5"/>
  <c r="C9" i="8" s="1"/>
  <c r="K11" i="6"/>
  <c r="E12" i="6"/>
  <c r="Q11" i="6"/>
  <c r="J11" i="6"/>
  <c r="D12" i="6"/>
  <c r="P11" i="6"/>
  <c r="L11" i="6"/>
  <c r="R11" i="6"/>
  <c r="F12" i="6"/>
  <c r="N11" i="6"/>
  <c r="T11" i="6"/>
  <c r="H12" i="6"/>
  <c r="M11" i="6"/>
  <c r="G12" i="6"/>
  <c r="S11" i="6"/>
  <c r="N37" i="4"/>
  <c r="AE19" i="4"/>
  <c r="Y29" i="4"/>
  <c r="R16" i="4"/>
  <c r="R31" i="4"/>
  <c r="M18" i="4"/>
  <c r="AC12" i="4"/>
  <c r="O29" i="4"/>
  <c r="AD13" i="4"/>
  <c r="AB27" i="4"/>
  <c r="M19" i="4"/>
  <c r="R37" i="4"/>
  <c r="X13" i="4"/>
  <c r="S34" i="4"/>
  <c r="W20" i="4"/>
  <c r="Q21" i="4"/>
  <c r="Y31" i="4"/>
  <c r="W24" i="4"/>
  <c r="Q31" i="4"/>
  <c r="N24" i="4"/>
  <c r="X37" i="4"/>
  <c r="R18" i="4"/>
  <c r="L31" i="4"/>
  <c r="M24" i="4"/>
  <c r="L27" i="4"/>
  <c r="AB31" i="4"/>
  <c r="X19" i="4"/>
  <c r="W34" i="4"/>
  <c r="R20" i="4"/>
  <c r="X32" i="4"/>
  <c r="W16" i="4"/>
  <c r="Q28" i="4"/>
  <c r="V28" i="4"/>
  <c r="W58" i="5"/>
  <c r="W56" i="5"/>
  <c r="W57" i="5"/>
  <c r="W55" i="5"/>
  <c r="H8" i="8" s="1"/>
  <c r="X57" i="5"/>
  <c r="L73" i="5"/>
  <c r="S55" i="5"/>
  <c r="V56" i="5"/>
  <c r="K73" i="5"/>
  <c r="Y57" i="5"/>
  <c r="N56" i="5"/>
  <c r="R55" i="5"/>
  <c r="M55" i="5"/>
  <c r="G10" i="8" s="1"/>
  <c r="M58" i="5"/>
  <c r="M57" i="5"/>
  <c r="M56" i="5"/>
  <c r="V58" i="5"/>
  <c r="P55" i="5"/>
  <c r="Q55" i="5"/>
  <c r="X58" i="5"/>
  <c r="Y55" i="5"/>
  <c r="H10" i="8" s="1"/>
  <c r="N58" i="5"/>
  <c r="Z56" i="5"/>
  <c r="Z58" i="5"/>
  <c r="Z57" i="5"/>
  <c r="Z55" i="5"/>
  <c r="H11" i="8" s="1"/>
  <c r="V57" i="5"/>
  <c r="T55" i="5"/>
  <c r="V55" i="5"/>
  <c r="H7" i="8" s="1"/>
  <c r="AE24" i="4"/>
  <c r="Y24" i="4"/>
  <c r="T24" i="4"/>
  <c r="T18" i="4"/>
  <c r="Y18" i="4"/>
  <c r="AD14" i="4"/>
  <c r="X14" i="4"/>
  <c r="S14" i="4"/>
  <c r="V35" i="4"/>
  <c r="Q35" i="4"/>
  <c r="Q37" i="4"/>
  <c r="Q10" i="4"/>
  <c r="V10" i="4"/>
  <c r="AB10" i="4"/>
  <c r="L10" i="4"/>
  <c r="W25" i="4"/>
  <c r="R25" i="4"/>
  <c r="N21" i="4"/>
  <c r="S21" i="4"/>
  <c r="N29" i="4"/>
  <c r="X29" i="4"/>
  <c r="AD29" i="4"/>
  <c r="AD17" i="4"/>
  <c r="X17" i="4"/>
  <c r="S17" i="4"/>
  <c r="W38" i="4"/>
  <c r="R38" i="4"/>
  <c r="T30" i="4"/>
  <c r="AC23" i="4"/>
  <c r="M23" i="4"/>
  <c r="V32" i="4"/>
  <c r="AE18" i="4"/>
  <c r="X21" i="4"/>
  <c r="N17" i="4"/>
  <c r="Y33" i="4"/>
  <c r="T33" i="4"/>
  <c r="Y38" i="4"/>
  <c r="T38" i="4"/>
  <c r="Y39" i="4"/>
  <c r="T39" i="4"/>
  <c r="AE23" i="4"/>
  <c r="Y23" i="4"/>
  <c r="T23" i="4"/>
  <c r="S20" i="4"/>
  <c r="X20" i="4"/>
  <c r="V17" i="4"/>
  <c r="Q17" i="4"/>
  <c r="AD28" i="4"/>
  <c r="S28" i="4"/>
  <c r="X28" i="4"/>
  <c r="Q14" i="4"/>
  <c r="V14" i="4"/>
  <c r="L14" i="4"/>
  <c r="M15" i="4"/>
  <c r="W15" i="4"/>
  <c r="R15" i="4"/>
  <c r="V37" i="4"/>
  <c r="Q20" i="4"/>
  <c r="S30" i="4"/>
  <c r="N30" i="4"/>
  <c r="AD30" i="4"/>
  <c r="R23" i="4"/>
  <c r="V33" i="4"/>
  <c r="Q33" i="4"/>
  <c r="L33" i="4"/>
  <c r="AB33" i="4"/>
  <c r="S29" i="4"/>
  <c r="AB19" i="4"/>
  <c r="L19" i="4"/>
  <c r="V9" i="4"/>
  <c r="W19" i="4"/>
  <c r="AC19" i="4"/>
  <c r="T35" i="4"/>
  <c r="Y35" i="4"/>
  <c r="Y40" i="4"/>
  <c r="T40" i="4"/>
  <c r="AC17" i="4"/>
  <c r="W17" i="4"/>
  <c r="R17" i="4"/>
  <c r="S23" i="4"/>
  <c r="X23" i="4"/>
  <c r="AE22" i="4"/>
  <c r="T22" i="4"/>
  <c r="Y22" i="4"/>
  <c r="O22" i="4"/>
  <c r="AD18" i="4"/>
  <c r="N18" i="4"/>
  <c r="S18" i="4"/>
  <c r="AD40" i="4"/>
  <c r="S40" i="4"/>
  <c r="X40" i="4"/>
  <c r="N40" i="4"/>
  <c r="L37" i="4"/>
  <c r="Q40" i="4"/>
  <c r="V40" i="4"/>
  <c r="AC22" i="4"/>
  <c r="R22" i="4"/>
  <c r="N25" i="4"/>
  <c r="S25" i="4"/>
  <c r="X25" i="4"/>
  <c r="O30" i="4"/>
  <c r="AE30" i="4"/>
  <c r="W22" i="4"/>
  <c r="AC38" i="4"/>
  <c r="AD39" i="4"/>
  <c r="T37" i="4"/>
  <c r="Y37" i="4"/>
  <c r="L35" i="4"/>
  <c r="W33" i="4"/>
  <c r="R33" i="4"/>
  <c r="AD27" i="4"/>
  <c r="X27" i="4"/>
  <c r="S27" i="4"/>
  <c r="O19" i="4"/>
  <c r="T19" i="4"/>
  <c r="N22" i="4"/>
  <c r="X22" i="4"/>
  <c r="AC21" i="4"/>
  <c r="W21" i="4"/>
  <c r="AB25" i="4"/>
  <c r="Q25" i="4"/>
  <c r="V25" i="4"/>
  <c r="AD15" i="4"/>
  <c r="X15" i="4"/>
  <c r="S15" i="4"/>
  <c r="R40" i="4"/>
  <c r="W40" i="4"/>
  <c r="AC40" i="4"/>
  <c r="S22" i="4"/>
  <c r="L22" i="4"/>
  <c r="AB22" i="4"/>
  <c r="S31" i="4"/>
  <c r="X31" i="4"/>
  <c r="AD31" i="4"/>
  <c r="N31" i="4"/>
  <c r="W23" i="4"/>
  <c r="R21" i="4"/>
  <c r="X39" i="4"/>
  <c r="S33" i="4"/>
  <c r="X33" i="4"/>
  <c r="AE25" i="4"/>
  <c r="Y25" i="4"/>
  <c r="T25" i="4"/>
  <c r="AE27" i="4"/>
  <c r="Y27" i="4"/>
  <c r="T27" i="4"/>
  <c r="W36" i="4"/>
  <c r="R36" i="4"/>
  <c r="X24" i="4"/>
  <c r="T32" i="4"/>
  <c r="W18" i="4"/>
  <c r="Y21" i="4"/>
  <c r="T21" i="4"/>
  <c r="X16" i="4"/>
  <c r="X35" i="4"/>
  <c r="S35" i="4"/>
  <c r="AE28" i="4"/>
  <c r="T28" i="4"/>
  <c r="Y28" i="4"/>
  <c r="AC26" i="4"/>
  <c r="W26" i="4"/>
  <c r="R26" i="4"/>
  <c r="T26" i="4"/>
  <c r="Y26" i="4"/>
  <c r="W35" i="4"/>
  <c r="R35" i="4"/>
  <c r="AC11" i="4"/>
  <c r="R11" i="4"/>
  <c r="W11" i="4"/>
  <c r="S38" i="4"/>
  <c r="X38" i="4"/>
  <c r="N26" i="4"/>
  <c r="X26" i="4"/>
  <c r="S26" i="4"/>
  <c r="M14" i="4"/>
  <c r="W14" i="4"/>
  <c r="R14" i="4"/>
  <c r="V38" i="4"/>
  <c r="Q38" i="4"/>
  <c r="X36" i="4"/>
  <c r="W37" i="4"/>
  <c r="S37" i="4"/>
  <c r="R12" i="4"/>
  <c r="W12" i="4"/>
  <c r="V30" i="4"/>
  <c r="Q30" i="4"/>
  <c r="S19" i="4"/>
  <c r="S24" i="4"/>
  <c r="Y20" i="4"/>
  <c r="T20" i="4"/>
  <c r="S16" i="4"/>
  <c r="M21" i="4"/>
  <c r="M37" i="4"/>
  <c r="M36" i="4"/>
  <c r="AB38" i="4"/>
  <c r="N38" i="4"/>
  <c r="L21" i="4"/>
  <c r="M16" i="4"/>
  <c r="L20" i="4"/>
  <c r="AE21" i="4"/>
  <c r="O27" i="4"/>
  <c r="O23" i="4"/>
  <c r="AD21" i="4"/>
  <c r="L38" i="4"/>
  <c r="AD38" i="4"/>
  <c r="N39" i="4"/>
  <c r="AE26" i="4"/>
  <c r="N14" i="4"/>
  <c r="AD25" i="4"/>
  <c r="AD19" i="4"/>
  <c r="AD26" i="4"/>
  <c r="M11" i="4"/>
  <c r="O31" i="4"/>
  <c r="AC14" i="4"/>
  <c r="AE31" i="4"/>
  <c r="O20" i="4"/>
  <c r="AD23" i="4"/>
  <c r="L17" i="4"/>
  <c r="N15" i="4"/>
  <c r="N16" i="4"/>
  <c r="AC15" i="4"/>
  <c r="M35" i="4"/>
  <c r="M26" i="4"/>
  <c r="M22" i="4"/>
  <c r="O25" i="4"/>
  <c r="AC35" i="4"/>
  <c r="O28" i="4"/>
  <c r="AD22" i="4"/>
  <c r="N27" i="4"/>
  <c r="AC25" i="4"/>
  <c r="M25" i="4"/>
  <c r="AD20" i="4"/>
  <c r="N20" i="4"/>
  <c r="O18" i="4"/>
  <c r="O24" i="4"/>
  <c r="AB17" i="4"/>
  <c r="N23" i="4"/>
  <c r="M17" i="4"/>
  <c r="O40" i="4"/>
  <c r="AE40" i="4"/>
  <c r="L40" i="4"/>
  <c r="AB40" i="4"/>
  <c r="M20" i="4"/>
  <c r="O39" i="4"/>
  <c r="AE39" i="4"/>
  <c r="O35" i="4"/>
  <c r="AE35" i="4"/>
  <c r="M32" i="4"/>
  <c r="AC32" i="4"/>
  <c r="M33" i="4"/>
  <c r="AC33" i="4"/>
  <c r="O33" i="4"/>
  <c r="AE33" i="4"/>
  <c r="N35" i="4"/>
  <c r="AD35" i="4"/>
  <c r="O37" i="4"/>
  <c r="AE37" i="4"/>
  <c r="N32" i="4"/>
  <c r="AD32" i="4"/>
  <c r="N33" i="4"/>
  <c r="AD33" i="4"/>
  <c r="AE32" i="4"/>
  <c r="O32" i="4"/>
  <c r="N36" i="4"/>
  <c r="AD36" i="4"/>
  <c r="O36" i="4"/>
  <c r="AE36" i="4"/>
  <c r="O38" i="4"/>
  <c r="AE38" i="4"/>
  <c r="L32" i="4"/>
  <c r="AB32" i="4"/>
  <c r="O34" i="4"/>
  <c r="AE34" i="4"/>
  <c r="N34" i="4"/>
  <c r="AD34" i="4"/>
  <c r="M34" i="4"/>
  <c r="AC34" i="4"/>
  <c r="G14" i="7"/>
  <c r="F14" i="7"/>
  <c r="E14" i="7"/>
  <c r="D16" i="7"/>
  <c r="E15" i="7"/>
  <c r="G15" i="7"/>
  <c r="F15" i="7"/>
  <c r="P71" i="1" l="1"/>
  <c r="P73" i="1"/>
  <c r="F13" i="6"/>
  <c r="R12" i="6"/>
  <c r="L12" i="6"/>
  <c r="N12" i="6"/>
  <c r="H13" i="6"/>
  <c r="T12" i="6"/>
  <c r="Q12" i="6"/>
  <c r="E13" i="6"/>
  <c r="K12" i="6"/>
  <c r="G13" i="6"/>
  <c r="M12" i="6"/>
  <c r="S12" i="6"/>
  <c r="J12" i="6"/>
  <c r="D13" i="6"/>
  <c r="P12" i="6"/>
  <c r="Q45" i="4"/>
  <c r="X48" i="4"/>
  <c r="X47" i="4"/>
  <c r="Y47" i="4"/>
  <c r="Y48" i="4"/>
  <c r="T45" i="4"/>
  <c r="V48" i="4"/>
  <c r="V51" i="4" s="1"/>
  <c r="V47" i="4"/>
  <c r="V53" i="4" s="1"/>
  <c r="W48" i="4"/>
  <c r="W47" i="4"/>
  <c r="L45" i="4"/>
  <c r="G12" i="8" s="1"/>
  <c r="AB46" i="4"/>
  <c r="AE46" i="4"/>
  <c r="M45" i="4"/>
  <c r="G13" i="8" s="1"/>
  <c r="D24" i="8"/>
  <c r="N45" i="4"/>
  <c r="G14" i="8" s="1"/>
  <c r="R45" i="4"/>
  <c r="AD45" i="4"/>
  <c r="H14" i="8" s="1"/>
  <c r="S45" i="4"/>
  <c r="AE45" i="4"/>
  <c r="H15" i="8" s="1"/>
  <c r="AC46" i="4"/>
  <c r="AC45" i="4"/>
  <c r="H13" i="8" s="1"/>
  <c r="AB45" i="4"/>
  <c r="H12" i="8" s="1"/>
  <c r="AD46" i="4"/>
  <c r="O45" i="4"/>
  <c r="G15" i="8" s="1"/>
  <c r="E16" i="7"/>
  <c r="G16" i="7"/>
  <c r="D17" i="7"/>
  <c r="F16" i="7"/>
  <c r="J13" i="6" l="1"/>
  <c r="D14" i="6"/>
  <c r="P13" i="6"/>
  <c r="M13" i="6"/>
  <c r="S13" i="6"/>
  <c r="G14" i="6"/>
  <c r="L13" i="6"/>
  <c r="R13" i="6"/>
  <c r="F14" i="6"/>
  <c r="Q13" i="6"/>
  <c r="K13" i="6"/>
  <c r="E14" i="6"/>
  <c r="N13" i="6"/>
  <c r="H14" i="6"/>
  <c r="T13" i="6"/>
  <c r="E17" i="7"/>
  <c r="F17" i="7"/>
  <c r="G17" i="7"/>
  <c r="D18" i="7"/>
  <c r="E15" i="6" l="1"/>
  <c r="Q14" i="6"/>
  <c r="K14" i="6"/>
  <c r="H15" i="6"/>
  <c r="T14" i="6"/>
  <c r="N14" i="6"/>
  <c r="G15" i="6"/>
  <c r="M14" i="6"/>
  <c r="S14" i="6"/>
  <c r="J14" i="6"/>
  <c r="D15" i="6"/>
  <c r="P14" i="6"/>
  <c r="R14" i="6"/>
  <c r="L14" i="6"/>
  <c r="F15" i="6"/>
  <c r="F18" i="7"/>
  <c r="G18" i="7"/>
  <c r="E18" i="7"/>
  <c r="D19" i="7"/>
  <c r="J15" i="6" l="1"/>
  <c r="D16" i="6"/>
  <c r="P15" i="6"/>
  <c r="M15" i="6"/>
  <c r="G16" i="6"/>
  <c r="S15" i="6"/>
  <c r="K15" i="6"/>
  <c r="E16" i="6"/>
  <c r="Q15" i="6"/>
  <c r="L15" i="6"/>
  <c r="R15" i="6"/>
  <c r="F16" i="6"/>
  <c r="H16" i="6"/>
  <c r="N15" i="6"/>
  <c r="T15" i="6"/>
  <c r="F19" i="7"/>
  <c r="G19" i="7"/>
  <c r="D20" i="7"/>
  <c r="E19" i="7"/>
  <c r="N16" i="6" l="1"/>
  <c r="T16" i="6"/>
  <c r="H17" i="6"/>
  <c r="J16" i="6"/>
  <c r="P16" i="6"/>
  <c r="D17" i="6"/>
  <c r="L16" i="6"/>
  <c r="F17" i="6"/>
  <c r="R16" i="6"/>
  <c r="K16" i="6"/>
  <c r="Q16" i="6"/>
  <c r="E17" i="6"/>
  <c r="S16" i="6"/>
  <c r="M16" i="6"/>
  <c r="G17" i="6"/>
  <c r="D21" i="7"/>
  <c r="G20" i="7"/>
  <c r="E20" i="7"/>
  <c r="F20" i="7"/>
  <c r="J17" i="6" l="1"/>
  <c r="D18" i="6"/>
  <c r="P17" i="6"/>
  <c r="E18" i="6"/>
  <c r="K17" i="6"/>
  <c r="Q17" i="6"/>
  <c r="L17" i="6"/>
  <c r="F18" i="6"/>
  <c r="R17" i="6"/>
  <c r="M17" i="6"/>
  <c r="G18" i="6"/>
  <c r="S17" i="6"/>
  <c r="N17" i="6"/>
  <c r="H18" i="6"/>
  <c r="T17" i="6"/>
  <c r="G21" i="7"/>
  <c r="F21" i="7"/>
  <c r="D22" i="7"/>
  <c r="E21" i="7"/>
  <c r="F19" i="6" l="1"/>
  <c r="R18" i="6"/>
  <c r="L18" i="6"/>
  <c r="Q18" i="6"/>
  <c r="E19" i="6"/>
  <c r="K18" i="6"/>
  <c r="G19" i="6"/>
  <c r="S18" i="6"/>
  <c r="M18" i="6"/>
  <c r="N18" i="6"/>
  <c r="T18" i="6"/>
  <c r="H19" i="6"/>
  <c r="D19" i="6"/>
  <c r="P18" i="6"/>
  <c r="J18" i="6"/>
  <c r="F22" i="7"/>
  <c r="E22" i="7"/>
  <c r="D23" i="7"/>
  <c r="G22" i="7"/>
  <c r="K19" i="6" l="1"/>
  <c r="E20" i="6"/>
  <c r="Q19" i="6"/>
  <c r="N19" i="6"/>
  <c r="H20" i="6"/>
  <c r="T19" i="6"/>
  <c r="M19" i="6"/>
  <c r="S19" i="6"/>
  <c r="G20" i="6"/>
  <c r="J19" i="6"/>
  <c r="P19" i="6"/>
  <c r="D20" i="6"/>
  <c r="L19" i="6"/>
  <c r="F20" i="6"/>
  <c r="R19" i="6"/>
  <c r="E23" i="7"/>
  <c r="D24" i="7"/>
  <c r="G23" i="7"/>
  <c r="F23" i="7"/>
  <c r="P20" i="6" l="1"/>
  <c r="J20" i="6"/>
  <c r="D21" i="6"/>
  <c r="L20" i="6"/>
  <c r="F21" i="6"/>
  <c r="R20" i="6"/>
  <c r="E21" i="6"/>
  <c r="K20" i="6"/>
  <c r="Q20" i="6"/>
  <c r="M20" i="6"/>
  <c r="G21" i="6"/>
  <c r="S20" i="6"/>
  <c r="H21" i="6"/>
  <c r="T20" i="6"/>
  <c r="N20" i="6"/>
  <c r="G24" i="7"/>
  <c r="D25" i="7"/>
  <c r="E24" i="7"/>
  <c r="F24" i="7"/>
  <c r="M21" i="6" l="1"/>
  <c r="G22" i="6"/>
  <c r="S21" i="6"/>
  <c r="K21" i="6"/>
  <c r="E22" i="6"/>
  <c r="Q21" i="6"/>
  <c r="D22" i="6"/>
  <c r="J21" i="6"/>
  <c r="P21" i="6"/>
  <c r="N21" i="6"/>
  <c r="T21" i="6"/>
  <c r="H22" i="6"/>
  <c r="L21" i="6"/>
  <c r="R21" i="6"/>
  <c r="F22" i="6"/>
  <c r="F25" i="7"/>
  <c r="E25" i="7"/>
  <c r="D26" i="7"/>
  <c r="G25" i="7"/>
  <c r="T22" i="6" l="1"/>
  <c r="H23" i="6"/>
  <c r="N22" i="6"/>
  <c r="L22" i="6"/>
  <c r="F23" i="6"/>
  <c r="R22" i="6"/>
  <c r="D23" i="6"/>
  <c r="J22" i="6"/>
  <c r="P22" i="6"/>
  <c r="G23" i="6"/>
  <c r="S22" i="6"/>
  <c r="M22" i="6"/>
  <c r="K22" i="6"/>
  <c r="E23" i="6"/>
  <c r="Q22" i="6"/>
  <c r="F26" i="7"/>
  <c r="E26" i="7"/>
  <c r="G26" i="7"/>
  <c r="D27" i="7"/>
  <c r="M23" i="6" l="1"/>
  <c r="G24" i="6"/>
  <c r="S23" i="6"/>
  <c r="J23" i="6"/>
  <c r="P23" i="6"/>
  <c r="D24" i="6"/>
  <c r="K23" i="6"/>
  <c r="Q23" i="6"/>
  <c r="E24" i="6"/>
  <c r="N23" i="6"/>
  <c r="H24" i="6"/>
  <c r="T23" i="6"/>
  <c r="L23" i="6"/>
  <c r="F24" i="6"/>
  <c r="R23" i="6"/>
  <c r="F27" i="7"/>
  <c r="D28" i="7"/>
  <c r="G27" i="7"/>
  <c r="E27" i="7"/>
  <c r="H25" i="6" l="1"/>
  <c r="N24" i="6"/>
  <c r="T24" i="6"/>
  <c r="F25" i="6"/>
  <c r="R24" i="6"/>
  <c r="L24" i="6"/>
  <c r="J24" i="6"/>
  <c r="P24" i="6"/>
  <c r="D25" i="6"/>
  <c r="S24" i="6"/>
  <c r="G25" i="6"/>
  <c r="M24" i="6"/>
  <c r="K24" i="6"/>
  <c r="E25" i="6"/>
  <c r="Q24" i="6"/>
  <c r="D29" i="7"/>
  <c r="G28" i="7"/>
  <c r="F28" i="7"/>
  <c r="E28" i="7"/>
  <c r="K25" i="6" l="1"/>
  <c r="Q25" i="6"/>
  <c r="E26" i="6"/>
  <c r="L25" i="6"/>
  <c r="F26" i="6"/>
  <c r="R25" i="6"/>
  <c r="M25" i="6"/>
  <c r="G26" i="6"/>
  <c r="S25" i="6"/>
  <c r="J25" i="6"/>
  <c r="P25" i="6"/>
  <c r="D26" i="6"/>
  <c r="N25" i="6"/>
  <c r="T25" i="6"/>
  <c r="H26" i="6"/>
  <c r="F29" i="7"/>
  <c r="E29" i="7"/>
  <c r="G29" i="7"/>
  <c r="D30" i="7"/>
  <c r="J26" i="6" l="1"/>
  <c r="D27" i="6"/>
  <c r="P26" i="6"/>
  <c r="G27" i="6"/>
  <c r="S26" i="6"/>
  <c r="M26" i="6"/>
  <c r="N26" i="6"/>
  <c r="H27" i="6"/>
  <c r="T26" i="6"/>
  <c r="Q26" i="6"/>
  <c r="E27" i="6"/>
  <c r="K26" i="6"/>
  <c r="R26" i="6"/>
  <c r="F27" i="6"/>
  <c r="L26" i="6"/>
  <c r="G30" i="7"/>
  <c r="F30" i="7"/>
  <c r="D31" i="7"/>
  <c r="E30" i="7"/>
  <c r="T27" i="6" l="1"/>
  <c r="N27" i="6"/>
  <c r="H28" i="6"/>
  <c r="M27" i="6"/>
  <c r="S27" i="6"/>
  <c r="G28" i="6"/>
  <c r="E28" i="6"/>
  <c r="K27" i="6"/>
  <c r="Q27" i="6"/>
  <c r="L27" i="6"/>
  <c r="F28" i="6"/>
  <c r="R27" i="6"/>
  <c r="J27" i="6"/>
  <c r="P27" i="6"/>
  <c r="D28" i="6"/>
  <c r="G31" i="7"/>
  <c r="E31" i="7"/>
  <c r="F31" i="7"/>
  <c r="D32" i="7"/>
  <c r="G29" i="6" l="1"/>
  <c r="M28" i="6"/>
  <c r="S28" i="6"/>
  <c r="P28" i="6"/>
  <c r="J28" i="6"/>
  <c r="D29" i="6"/>
  <c r="L28" i="6"/>
  <c r="F29" i="6"/>
  <c r="R28" i="6"/>
  <c r="E29" i="6"/>
  <c r="K28" i="6"/>
  <c r="Q28" i="6"/>
  <c r="T28" i="6"/>
  <c r="H29" i="6"/>
  <c r="N28" i="6"/>
  <c r="G32" i="7"/>
  <c r="D33" i="7"/>
  <c r="E32" i="7"/>
  <c r="F32" i="7"/>
  <c r="N29" i="6" l="1"/>
  <c r="H30" i="6"/>
  <c r="T29" i="6"/>
  <c r="J29" i="6"/>
  <c r="P29" i="6"/>
  <c r="D30" i="6"/>
  <c r="F30" i="6"/>
  <c r="R29" i="6"/>
  <c r="L29" i="6"/>
  <c r="K29" i="6"/>
  <c r="E30" i="6"/>
  <c r="Q29" i="6"/>
  <c r="M29" i="6"/>
  <c r="G30" i="6"/>
  <c r="S29" i="6"/>
  <c r="G33" i="7"/>
  <c r="F33" i="7"/>
  <c r="D34" i="7"/>
  <c r="E33" i="7"/>
  <c r="G31" i="6" l="1"/>
  <c r="M30" i="6"/>
  <c r="S30" i="6"/>
  <c r="D31" i="6"/>
  <c r="P30" i="6"/>
  <c r="J30" i="6"/>
  <c r="E31" i="6"/>
  <c r="Q30" i="6"/>
  <c r="K30" i="6"/>
  <c r="R30" i="6"/>
  <c r="F31" i="6"/>
  <c r="L30" i="6"/>
  <c r="T30" i="6"/>
  <c r="N30" i="6"/>
  <c r="H31" i="6"/>
  <c r="F34" i="7"/>
  <c r="G34" i="7"/>
  <c r="E34" i="7"/>
  <c r="D35" i="7"/>
  <c r="J31" i="6" l="1"/>
  <c r="P31" i="6"/>
  <c r="D32" i="6"/>
  <c r="N31" i="6"/>
  <c r="T31" i="6"/>
  <c r="H32" i="6"/>
  <c r="R31" i="6"/>
  <c r="L31" i="6"/>
  <c r="F32" i="6"/>
  <c r="K31" i="6"/>
  <c r="E32" i="6"/>
  <c r="Q31" i="6"/>
  <c r="S31" i="6"/>
  <c r="G32" i="6"/>
  <c r="M31" i="6"/>
  <c r="D36" i="7"/>
  <c r="F35" i="7"/>
  <c r="G35" i="7"/>
  <c r="E35" i="7"/>
  <c r="N32" i="6" l="1"/>
  <c r="T32" i="6"/>
  <c r="H33" i="6"/>
  <c r="Q32" i="6"/>
  <c r="K32" i="6"/>
  <c r="E33" i="6"/>
  <c r="P32" i="6"/>
  <c r="J32" i="6"/>
  <c r="D33" i="6"/>
  <c r="M32" i="6"/>
  <c r="S32" i="6"/>
  <c r="G33" i="6"/>
  <c r="R32" i="6"/>
  <c r="L32" i="6"/>
  <c r="F33" i="6"/>
  <c r="F36" i="7"/>
  <c r="D37" i="7"/>
  <c r="E36" i="7"/>
  <c r="G36" i="7"/>
  <c r="Q33" i="6" l="1"/>
  <c r="E34" i="6"/>
  <c r="K33" i="6"/>
  <c r="S33" i="6"/>
  <c r="M33" i="6"/>
  <c r="G34" i="6"/>
  <c r="L33" i="6"/>
  <c r="F34" i="6"/>
  <c r="R33" i="6"/>
  <c r="N33" i="6"/>
  <c r="T33" i="6"/>
  <c r="H34" i="6"/>
  <c r="P33" i="6"/>
  <c r="D34" i="6"/>
  <c r="J33" i="6"/>
  <c r="F37" i="7"/>
  <c r="G37" i="7"/>
  <c r="D38" i="7"/>
  <c r="E37" i="7"/>
  <c r="G35" i="6" l="1"/>
  <c r="S34" i="6"/>
  <c r="M34" i="6"/>
  <c r="T34" i="6"/>
  <c r="H35" i="6"/>
  <c r="N34" i="6"/>
  <c r="F35" i="6"/>
  <c r="R34" i="6"/>
  <c r="L34" i="6"/>
  <c r="D35" i="6"/>
  <c r="J34" i="6"/>
  <c r="P34" i="6"/>
  <c r="E35" i="6"/>
  <c r="Q34" i="6"/>
  <c r="K34" i="6"/>
  <c r="F38" i="7"/>
  <c r="G38" i="7"/>
  <c r="E38" i="7"/>
  <c r="D39" i="7"/>
  <c r="J35" i="6" l="1"/>
  <c r="D36" i="6"/>
  <c r="P35" i="6"/>
  <c r="L35" i="6"/>
  <c r="F36" i="6"/>
  <c r="R35" i="6"/>
  <c r="E36" i="6"/>
  <c r="Q35" i="6"/>
  <c r="K35" i="6"/>
  <c r="H36" i="6"/>
  <c r="T35" i="6"/>
  <c r="N35" i="6"/>
  <c r="G36" i="6"/>
  <c r="S35" i="6"/>
  <c r="M35" i="6"/>
  <c r="F39" i="7"/>
  <c r="G39" i="7"/>
  <c r="E39" i="7"/>
  <c r="D40" i="7"/>
  <c r="Q36" i="6" l="1"/>
  <c r="K36" i="6"/>
  <c r="E37" i="6"/>
  <c r="N36" i="6"/>
  <c r="H37" i="6"/>
  <c r="T36" i="6"/>
  <c r="P36" i="6"/>
  <c r="J36" i="6"/>
  <c r="D37" i="6"/>
  <c r="M36" i="6"/>
  <c r="S36" i="6"/>
  <c r="G37" i="6"/>
  <c r="F37" i="6"/>
  <c r="R36" i="6"/>
  <c r="L36" i="6"/>
  <c r="D41" i="7"/>
  <c r="E40" i="7"/>
  <c r="G40" i="7"/>
  <c r="F40" i="7"/>
  <c r="G38" i="6" l="1"/>
  <c r="S37" i="6"/>
  <c r="M37" i="6"/>
  <c r="K37" i="6"/>
  <c r="Q37" i="6"/>
  <c r="E38" i="6"/>
  <c r="L37" i="6"/>
  <c r="R37" i="6"/>
  <c r="F38" i="6"/>
  <c r="J37" i="6"/>
  <c r="D38" i="6"/>
  <c r="P37" i="6"/>
  <c r="N37" i="6"/>
  <c r="T37" i="6"/>
  <c r="H38" i="6"/>
  <c r="F41" i="7"/>
  <c r="D42" i="7"/>
  <c r="E41" i="7"/>
  <c r="G41" i="7"/>
  <c r="H39" i="6" l="1"/>
  <c r="N38" i="6"/>
  <c r="T38" i="6"/>
  <c r="P38" i="6"/>
  <c r="D39" i="6"/>
  <c r="J38" i="6"/>
  <c r="E39" i="6"/>
  <c r="K38" i="6"/>
  <c r="Q38" i="6"/>
  <c r="R38" i="6"/>
  <c r="F39" i="6"/>
  <c r="L38" i="6"/>
  <c r="G39" i="6"/>
  <c r="M38" i="6"/>
  <c r="S38" i="6"/>
  <c r="F42" i="7"/>
  <c r="G42" i="7"/>
  <c r="E42" i="7"/>
  <c r="D43" i="7"/>
  <c r="F40" i="6" l="1"/>
  <c r="R39" i="6"/>
  <c r="L39" i="6"/>
  <c r="E40" i="6"/>
  <c r="K39" i="6"/>
  <c r="Q39" i="6"/>
  <c r="M39" i="6"/>
  <c r="S39" i="6"/>
  <c r="G40" i="6"/>
  <c r="J39" i="6"/>
  <c r="P39" i="6"/>
  <c r="D40" i="6"/>
  <c r="N39" i="6"/>
  <c r="T39" i="6"/>
  <c r="H40" i="6"/>
  <c r="D44" i="7"/>
  <c r="E43" i="7"/>
  <c r="F43" i="7"/>
  <c r="G43" i="7"/>
  <c r="D41" i="6" l="1"/>
  <c r="J40" i="6"/>
  <c r="P40" i="6"/>
  <c r="E41" i="6"/>
  <c r="K40" i="6"/>
  <c r="Q40" i="6"/>
  <c r="N40" i="6"/>
  <c r="H41" i="6"/>
  <c r="T40" i="6"/>
  <c r="S40" i="6"/>
  <c r="G41" i="6"/>
  <c r="M40" i="6"/>
  <c r="F41" i="6"/>
  <c r="R40" i="6"/>
  <c r="L40" i="6"/>
  <c r="G44" i="7"/>
  <c r="E44" i="7"/>
  <c r="D45" i="7"/>
  <c r="F44" i="7"/>
  <c r="N41" i="6" l="1"/>
  <c r="T41" i="6"/>
  <c r="H42" i="6"/>
  <c r="M41" i="6"/>
  <c r="S41" i="6"/>
  <c r="G42" i="6"/>
  <c r="K41" i="6"/>
  <c r="Q41" i="6"/>
  <c r="E42" i="6"/>
  <c r="L41" i="6"/>
  <c r="F42" i="6"/>
  <c r="R41" i="6"/>
  <c r="P41" i="6"/>
  <c r="J41" i="6"/>
  <c r="D42" i="6"/>
  <c r="F45" i="7"/>
  <c r="D46" i="7"/>
  <c r="G45" i="7"/>
  <c r="E45" i="7"/>
  <c r="F43" i="6" l="1"/>
  <c r="L42" i="6"/>
  <c r="R42" i="6"/>
  <c r="H43" i="6"/>
  <c r="T42" i="6"/>
  <c r="N42" i="6"/>
  <c r="D43" i="6"/>
  <c r="P42" i="6"/>
  <c r="J42" i="6"/>
  <c r="G43" i="6"/>
  <c r="M42" i="6"/>
  <c r="S42" i="6"/>
  <c r="E43" i="6"/>
  <c r="K42" i="6"/>
  <c r="Q42" i="6"/>
  <c r="F46" i="7"/>
  <c r="G46" i="7"/>
  <c r="D47" i="7"/>
  <c r="E46" i="7"/>
  <c r="N43" i="6" l="1"/>
  <c r="H44" i="6"/>
  <c r="T43" i="6"/>
  <c r="D44" i="6"/>
  <c r="P43" i="6"/>
  <c r="J43" i="6"/>
  <c r="M43" i="6"/>
  <c r="G44" i="6"/>
  <c r="S43" i="6"/>
  <c r="K43" i="6"/>
  <c r="E44" i="6"/>
  <c r="Q43" i="6"/>
  <c r="R43" i="6"/>
  <c r="L43" i="6"/>
  <c r="F44" i="6"/>
  <c r="G47" i="7"/>
  <c r="D48" i="7"/>
  <c r="E47" i="7"/>
  <c r="F47" i="7"/>
  <c r="R44" i="6" l="1"/>
  <c r="L44" i="6"/>
  <c r="F45" i="6"/>
  <c r="G45" i="6"/>
  <c r="S44" i="6"/>
  <c r="M44" i="6"/>
  <c r="P44" i="6"/>
  <c r="J44" i="6"/>
  <c r="D45" i="6"/>
  <c r="Q44" i="6"/>
  <c r="E45" i="6"/>
  <c r="K44" i="6"/>
  <c r="T44" i="6"/>
  <c r="N44" i="6"/>
  <c r="H45" i="6"/>
  <c r="E48" i="7"/>
  <c r="F48" i="7"/>
  <c r="D49" i="7"/>
  <c r="G48" i="7"/>
  <c r="G46" i="6" l="1"/>
  <c r="M45" i="6"/>
  <c r="S45" i="6"/>
  <c r="E46" i="6"/>
  <c r="Q45" i="6"/>
  <c r="K45" i="6"/>
  <c r="F46" i="6"/>
  <c r="L45" i="6"/>
  <c r="R45" i="6"/>
  <c r="H46" i="6"/>
  <c r="T45" i="6"/>
  <c r="N45" i="6"/>
  <c r="J45" i="6"/>
  <c r="P45" i="6"/>
  <c r="D46" i="6"/>
  <c r="F49" i="7"/>
  <c r="E49" i="7"/>
  <c r="G49" i="7"/>
  <c r="D50" i="7"/>
  <c r="Q46" i="6" l="1"/>
  <c r="E47" i="6"/>
  <c r="K46" i="6"/>
  <c r="R46" i="6"/>
  <c r="F47" i="6"/>
  <c r="L46" i="6"/>
  <c r="H47" i="6"/>
  <c r="N46" i="6"/>
  <c r="T46" i="6"/>
  <c r="J46" i="6"/>
  <c r="P46" i="6"/>
  <c r="D47" i="6"/>
  <c r="S46" i="6"/>
  <c r="G47" i="6"/>
  <c r="M46" i="6"/>
  <c r="E50" i="7"/>
  <c r="F50" i="7"/>
  <c r="D51" i="7"/>
  <c r="D52" i="7" s="1"/>
  <c r="D53" i="7" s="1"/>
  <c r="G50" i="7"/>
  <c r="H48" i="6" l="1"/>
  <c r="T47" i="6"/>
  <c r="N47" i="6"/>
  <c r="M47" i="6"/>
  <c r="S47" i="6"/>
  <c r="G48" i="6"/>
  <c r="E48" i="6"/>
  <c r="Q47" i="6"/>
  <c r="K47" i="6"/>
  <c r="D48" i="6"/>
  <c r="J47" i="6"/>
  <c r="P47" i="6"/>
  <c r="R47" i="6"/>
  <c r="L47" i="6"/>
  <c r="F48" i="6"/>
  <c r="F52" i="7"/>
  <c r="E52" i="7"/>
  <c r="G52" i="7"/>
  <c r="E51" i="7"/>
  <c r="F51" i="7"/>
  <c r="G51" i="7"/>
  <c r="R48" i="6" l="1"/>
  <c r="L48" i="6"/>
  <c r="F49" i="6"/>
  <c r="Q48" i="6"/>
  <c r="E49" i="6"/>
  <c r="K48" i="6"/>
  <c r="J48" i="6"/>
  <c r="D49" i="6"/>
  <c r="P48" i="6"/>
  <c r="S48" i="6"/>
  <c r="G49" i="6"/>
  <c r="M48" i="6"/>
  <c r="T48" i="6"/>
  <c r="H49" i="6"/>
  <c r="N48" i="6"/>
  <c r="G57" i="7"/>
  <c r="G59" i="7"/>
  <c r="F60" i="7"/>
  <c r="F57" i="7"/>
  <c r="F58" i="7"/>
  <c r="F59" i="7"/>
  <c r="G58" i="7"/>
  <c r="G60" i="7"/>
  <c r="L49" i="6" l="1"/>
  <c r="F50" i="6"/>
  <c r="R49" i="6"/>
  <c r="N49" i="6"/>
  <c r="T49" i="6"/>
  <c r="H50" i="6"/>
  <c r="J49" i="6"/>
  <c r="D50" i="6"/>
  <c r="P49" i="6"/>
  <c r="S49" i="6"/>
  <c r="M49" i="6"/>
  <c r="G50" i="6"/>
  <c r="Q49" i="6"/>
  <c r="K49" i="6"/>
  <c r="E50" i="6"/>
  <c r="J50" i="6" l="1"/>
  <c r="D51" i="6"/>
  <c r="D18" i="8"/>
  <c r="P50" i="6"/>
  <c r="D22" i="8"/>
  <c r="N50" i="6"/>
  <c r="H51" i="6"/>
  <c r="T50" i="6"/>
  <c r="D20" i="8"/>
  <c r="L50" i="6"/>
  <c r="R50" i="6"/>
  <c r="F51" i="6"/>
  <c r="S50" i="6"/>
  <c r="D21" i="8"/>
  <c r="M50" i="6"/>
  <c r="G51" i="6"/>
  <c r="D19" i="8"/>
  <c r="K50" i="6"/>
  <c r="E51" i="6"/>
  <c r="Q50" i="6"/>
  <c r="M51" i="6" l="1"/>
  <c r="G52" i="6"/>
  <c r="S51" i="6"/>
  <c r="S55" i="6" s="1"/>
  <c r="H21" i="8" s="1"/>
  <c r="L51" i="6"/>
  <c r="L58" i="6" s="1"/>
  <c r="F52" i="6"/>
  <c r="R51" i="6"/>
  <c r="R56" i="6" s="1"/>
  <c r="Q51" i="6"/>
  <c r="Q58" i="6" s="1"/>
  <c r="K51" i="6"/>
  <c r="K58" i="6" s="1"/>
  <c r="E52" i="6"/>
  <c r="T51" i="6"/>
  <c r="T57" i="6" s="1"/>
  <c r="N51" i="6"/>
  <c r="N58" i="6" s="1"/>
  <c r="H52" i="6"/>
  <c r="D25" i="8"/>
  <c r="P51" i="6"/>
  <c r="J51" i="6"/>
  <c r="D52" i="6"/>
  <c r="M56" i="6"/>
  <c r="M58" i="6"/>
  <c r="M55" i="6"/>
  <c r="G21" i="8" s="1"/>
  <c r="M57" i="6"/>
  <c r="S58" i="6" l="1"/>
  <c r="R57" i="6"/>
  <c r="R58" i="6"/>
  <c r="T56" i="6"/>
  <c r="S56" i="6"/>
  <c r="T58" i="6"/>
  <c r="R55" i="6"/>
  <c r="H20" i="8" s="1"/>
  <c r="T55" i="6"/>
  <c r="H22" i="8" s="1"/>
  <c r="N56" i="6"/>
  <c r="N57" i="6"/>
  <c r="Q56" i="6"/>
  <c r="L57" i="6"/>
  <c r="Q55" i="6"/>
  <c r="H19" i="8" s="1"/>
  <c r="K55" i="6"/>
  <c r="G19" i="8" s="1"/>
  <c r="L55" i="6"/>
  <c r="G20" i="8" s="1"/>
  <c r="K56" i="6"/>
  <c r="J58" i="6"/>
  <c r="J57" i="6"/>
  <c r="J56" i="6"/>
  <c r="J55" i="6"/>
  <c r="G18" i="8" s="1"/>
  <c r="S57" i="6"/>
  <c r="Q57" i="6"/>
  <c r="N55" i="6"/>
  <c r="G22" i="8" s="1"/>
  <c r="L56" i="6"/>
  <c r="K57" i="6"/>
  <c r="P58" i="6"/>
  <c r="P55" i="6"/>
  <c r="H18" i="8" s="1"/>
  <c r="P56" i="6"/>
  <c r="P57" i="6"/>
</calcChain>
</file>

<file path=xl/comments1.xml><?xml version="1.0" encoding="utf-8"?>
<comments xmlns="http://schemas.openxmlformats.org/spreadsheetml/2006/main">
  <authors>
    <author>Steve Moffitt</author>
    <author>rebrenner</author>
  </authors>
  <commentList>
    <comment ref="F12" authorId="0">
      <text>
        <r>
          <rPr>
            <b/>
            <sz val="14"/>
            <color indexed="81"/>
            <rFont val="Tahoma"/>
            <family val="2"/>
          </rPr>
          <t>Steve Moffitt:</t>
        </r>
        <r>
          <rPr>
            <sz val="14"/>
            <color indexed="81"/>
            <rFont val="Tahoma"/>
            <family val="2"/>
          </rPr>
          <t xml:space="preserve">
Peak aerial survey counts that are NOT adjusted for stream life or observer efficiency.</t>
        </r>
      </text>
    </comment>
    <comment ref="F115" authorId="0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Escapements in red do not match those in the 1998 AMR</t>
        </r>
      </text>
    </comment>
    <comment ref="E116" authorId="0">
      <text>
        <r>
          <rPr>
            <b/>
            <sz val="14"/>
            <color indexed="81"/>
            <rFont val="Tahoma"/>
            <family val="2"/>
          </rPr>
          <t>Steve Moffitt:</t>
        </r>
        <r>
          <rPr>
            <sz val="14"/>
            <color indexed="81"/>
            <rFont val="Tahoma"/>
            <family val="2"/>
          </rPr>
          <t xml:space="preserve">
Escapements in red font do not match those in the 1998 AMR</t>
        </r>
      </text>
    </comment>
    <comment ref="E121" authorId="0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No total given in the 1998 AMR due to poor survey condition s in 1998, but it was at least this amount.</t>
        </r>
      </text>
    </comment>
    <comment ref="B130" authorId="1">
      <text>
        <r>
          <rPr>
            <b/>
            <sz val="14"/>
            <color indexed="81"/>
            <rFont val="Tahoma"/>
            <family val="2"/>
          </rPr>
          <t>rebrenner: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From "PWS 2007 catch rpt (C) Copper River.xls"
See the 1st few tabs
file is located in: S:\CATCH\07catch\Catch Report</t>
        </r>
      </text>
    </comment>
    <comment ref="C130" authorId="1">
      <text>
        <r>
          <rPr>
            <b/>
            <sz val="16"/>
            <color indexed="81"/>
            <rFont val="Tahoma"/>
            <family val="2"/>
          </rPr>
          <t>rebrenner:</t>
        </r>
        <r>
          <rPr>
            <sz val="16"/>
            <color indexed="81"/>
            <rFont val="Tahoma"/>
            <family val="2"/>
          </rPr>
          <t xml:space="preserve">
From "PWS 2007 catch rpt (B) Bering River.xls" 
See the 1st couple of tabs.
This is located in S:\CATCH\07catch\Catch Report</t>
        </r>
      </text>
    </comment>
    <comment ref="B131" authorId="1">
      <text>
        <r>
          <rPr>
            <b/>
            <sz val="8"/>
            <color indexed="81"/>
            <rFont val="Tahoma"/>
            <family val="2"/>
          </rPr>
          <t>rebrenner: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From 2008 Catch Report</t>
        </r>
      </text>
    </comment>
    <comment ref="C131" authorId="1">
      <text>
        <r>
          <rPr>
            <b/>
            <sz val="8"/>
            <color indexed="81"/>
            <rFont val="Tahoma"/>
            <family val="2"/>
          </rPr>
          <t>rebrenner: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From 2008 Catch report</t>
        </r>
      </text>
    </comment>
    <comment ref="E131" authorId="1">
      <text>
        <r>
          <rPr>
            <b/>
            <sz val="8"/>
            <color indexed="81"/>
            <rFont val="Tahoma"/>
            <family val="2"/>
          </rPr>
          <t>rebrenner: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The entire district: from 2008_Delta_Aerial_Survey_data.xls</t>
        </r>
      </text>
    </comment>
    <comment ref="F131" authorId="1">
      <text>
        <r>
          <rPr>
            <b/>
            <sz val="8"/>
            <color indexed="81"/>
            <rFont val="Tahoma"/>
            <family val="2"/>
          </rPr>
          <t>rebrenner: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From 2008_Delta_Aerial_Survey_data.xls</t>
        </r>
      </text>
    </comment>
    <comment ref="B132" authorId="1">
      <text>
        <r>
          <rPr>
            <b/>
            <sz val="8"/>
            <color indexed="81"/>
            <rFont val="Tahoma"/>
            <family val="2"/>
          </rPr>
          <t>rebrenner: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FROM 2009 CATCH REPORT FOR COPPER RIVER.</t>
        </r>
      </text>
    </comment>
    <comment ref="C132" authorId="1">
      <text>
        <r>
          <rPr>
            <b/>
            <sz val="8"/>
            <color indexed="81"/>
            <rFont val="Tahoma"/>
            <family val="2"/>
          </rPr>
          <t>rebrenner: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FROM 2009 CATCH REPORT FOR BERING RIVER DISTRICT.</t>
        </r>
      </text>
    </comment>
    <comment ref="B133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2010 catch report.  9 December 2010</t>
        </r>
      </text>
    </comment>
    <comment ref="B134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DRAFT of 2011 catch report</t>
        </r>
      </text>
    </comment>
    <comment ref="E134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2011 Inseason folder</t>
        </r>
      </text>
    </comment>
    <comment ref="F134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2011 Inseason folder</t>
        </r>
      </text>
    </comment>
    <comment ref="B135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Draft 2012 catch report.   10 December 2012.. Also includes 1037 homepack</t>
        </r>
      </text>
    </comment>
    <comment ref="C135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preliminary 2012 Catch Report.  10 Dec. 2012. Also includes 155 home pack.</t>
        </r>
      </text>
    </comment>
    <comment ref="E135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2012 Inseason folder</t>
        </r>
      </text>
    </comment>
    <comment ref="F135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2012 Inseason folder.</t>
        </r>
      </text>
    </comment>
    <comment ref="B136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OceanAK Catch Report</t>
        </r>
      </text>
    </comment>
    <comment ref="E136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2013 Inseason folder
</t>
        </r>
      </text>
    </comment>
    <comment ref="F136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From 2013 Inseason folder</t>
        </r>
      </text>
    </comment>
    <comment ref="B139" authorId="0">
      <text>
        <r>
          <rPr>
            <b/>
            <sz val="12"/>
            <color indexed="81"/>
            <rFont val="Tahoma"/>
            <family val="2"/>
          </rPr>
          <t>Steve Moffitt:
10 year average was used--has lowest absolute average error.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Steve Moffitt</author>
  </authors>
  <commentList>
    <comment ref="D7" authorId="0">
      <text>
        <r>
          <rPr>
            <b/>
            <sz val="20"/>
            <color indexed="81"/>
            <rFont val="Tahoma"/>
            <family val="2"/>
          </rPr>
          <t>Steve Moffitt:</t>
        </r>
        <r>
          <rPr>
            <sz val="20"/>
            <color indexed="81"/>
            <rFont val="Tahoma"/>
            <family val="2"/>
          </rPr>
          <t xml:space="preserve">
Use of the previous years catch to forecast the current years catch is for comparison only. </t>
        </r>
      </text>
    </comment>
    <comment ref="K73" authorId="0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</t>
        </r>
        <r>
          <rPr>
            <sz val="16"/>
            <color indexed="81"/>
            <rFont val="Tahoma"/>
            <family val="2"/>
          </rPr>
          <t>inimize with Solver</t>
        </r>
      </text>
    </comment>
    <comment ref="L73" authorId="0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</t>
        </r>
        <r>
          <rPr>
            <sz val="16"/>
            <color indexed="81"/>
            <rFont val="Tahoma"/>
            <family val="2"/>
          </rPr>
          <t>inimize with Solver</t>
        </r>
      </text>
    </comment>
  </commentList>
</comments>
</file>

<file path=xl/comments3.xml><?xml version="1.0" encoding="utf-8"?>
<comments xmlns="http://schemas.openxmlformats.org/spreadsheetml/2006/main">
  <authors>
    <author>Steve Moffitt</author>
    <author>rebrenner</author>
  </authors>
  <commentList>
    <comment ref="C7" authorId="0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Peak counts</t>
        </r>
      </text>
    </comment>
    <comment ref="C21" authorId="0">
      <text>
        <r>
          <rPr>
            <b/>
            <sz val="14"/>
            <color indexed="81"/>
            <rFont val="Tahoma"/>
            <family val="2"/>
          </rPr>
          <t>Steve Moffitt:</t>
        </r>
        <r>
          <rPr>
            <sz val="14"/>
            <color indexed="81"/>
            <rFont val="Tahoma"/>
            <family val="2"/>
          </rPr>
          <t xml:space="preserve">
Escapements in red font do not match those in the 1998 AMR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No total given in the 1998 AMR due to poor survey condition s in 1998, but it was at least this amount.</t>
        </r>
      </text>
    </comment>
    <comment ref="D41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 xml:space="preserve">For purposes of ranking only, need to change for 2014 forecast.
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Actual could be at this much LOWER than the forecast.
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 xml:space="preserve">re
</t>
        </r>
        <r>
          <rPr>
            <sz val="14"/>
            <color indexed="81"/>
            <rFont val="Tahoma"/>
            <family val="2"/>
          </rPr>
          <t>Actual could be at this much HIGHER than the forecast.</t>
        </r>
      </text>
    </comment>
    <comment ref="V52" authorId="1">
      <text>
        <r>
          <rPr>
            <b/>
            <sz val="16"/>
            <color indexed="81"/>
            <rFont val="Tahoma"/>
            <family val="2"/>
          </rPr>
          <t>rebrenner: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b/>
            <sz val="20"/>
            <color indexed="81"/>
            <rFont val="Tahoma"/>
            <family val="2"/>
          </rPr>
          <t>This is the forecast for 2014 and has the lowest MAPE….yes, including when compared to exp. Smoothing with lag, etc.</t>
        </r>
      </text>
    </comment>
  </commentList>
</comments>
</file>

<file path=xl/comments4.xml><?xml version="1.0" encoding="utf-8"?>
<comments xmlns="http://schemas.openxmlformats.org/spreadsheetml/2006/main">
  <authors>
    <author>rebrenner</author>
    <author>Steve Moffitt</author>
  </authors>
  <commentList>
    <comment ref="F56" authorId="0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AFTER running solver to minimize MAE, copy the forecast value (from the bottom of the Exponential Smoothing Forecast column) into here.   Then solve for MAPE.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rebrenner: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AFTER solving for MAPE, copy the value from the bottom of the 'Exponential Smoothing Forecast' column and paste here.</t>
        </r>
      </text>
    </comment>
    <comment ref="F57" authorId="1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</t>
        </r>
        <r>
          <rPr>
            <sz val="16"/>
            <color indexed="81"/>
            <rFont val="Tahoma"/>
            <family val="2"/>
          </rPr>
          <t>inimize with Solver</t>
        </r>
      </text>
    </comment>
    <comment ref="G57" authorId="1">
      <text>
        <r>
          <rPr>
            <b/>
            <sz val="8"/>
            <color indexed="81"/>
            <rFont val="Tahoma"/>
            <family val="2"/>
          </rPr>
          <t>Steve Moffitt: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</t>
        </r>
        <r>
          <rPr>
            <sz val="16"/>
            <color indexed="81"/>
            <rFont val="Tahoma"/>
            <family val="2"/>
          </rPr>
          <t>inimize with Solver</t>
        </r>
      </text>
    </comment>
  </commentList>
</comments>
</file>

<file path=xl/sharedStrings.xml><?xml version="1.0" encoding="utf-8"?>
<sst xmlns="http://schemas.openxmlformats.org/spreadsheetml/2006/main" count="480" uniqueCount="254">
  <si>
    <t>File:</t>
  </si>
  <si>
    <t>Sheet:</t>
  </si>
  <si>
    <t>Date:</t>
  </si>
  <si>
    <t>Two main elements missing from 1996 data,  wild contribution to CPF and HCR, and sport harvest.</t>
  </si>
  <si>
    <t>Recommend that a wild forecsast not be submitted.</t>
  </si>
  <si>
    <t>Note:  this sheet was extracted from a Sharr file for forecasting all hatchery and wild coho.  It needs thorough review before trying to use it for real.  JW 12/96.</t>
  </si>
  <si>
    <t>Wild Coho Forecast</t>
  </si>
  <si>
    <t>Revised and updated with catch values from Donaldson and Merritt, 1995.</t>
  </si>
  <si>
    <t>General Purse Seine</t>
  </si>
  <si>
    <t>Gillnet</t>
  </si>
  <si>
    <t/>
  </si>
  <si>
    <t>CWT Recovery Contrib Est</t>
  </si>
  <si>
    <t>Estimated</t>
  </si>
  <si>
    <t>PS</t>
  </si>
  <si>
    <t>GN</t>
  </si>
  <si>
    <t>PWS</t>
  </si>
  <si>
    <t>Hatchery</t>
  </si>
  <si>
    <t>Total</t>
  </si>
  <si>
    <t>Proportion</t>
  </si>
  <si>
    <t>Year</t>
  </si>
  <si>
    <t>Eastern</t>
  </si>
  <si>
    <t>Northern</t>
  </si>
  <si>
    <t>Coghill+HCR</t>
  </si>
  <si>
    <t>Southwest</t>
  </si>
  <si>
    <t>Unakwik</t>
  </si>
  <si>
    <t>Coghill</t>
  </si>
  <si>
    <t>Eshamy</t>
  </si>
  <si>
    <t>SPORT</t>
  </si>
  <si>
    <t>VFDA</t>
  </si>
  <si>
    <t>WNH</t>
  </si>
  <si>
    <t>Wild</t>
  </si>
  <si>
    <t>notes</t>
  </si>
  <si>
    <t xml:space="preserve">  -  Assume all = wild</t>
  </si>
  <si>
    <t xml:space="preserve">  -</t>
  </si>
  <si>
    <t>*  Directly from Sharr</t>
  </si>
  <si>
    <t>*</t>
  </si>
  <si>
    <t xml:space="preserve">   }  From Other Spp EVOS final report 1995</t>
  </si>
  <si>
    <t xml:space="preserve">   }</t>
  </si>
  <si>
    <t>???</t>
  </si>
  <si>
    <t xml:space="preserve"> From 1995 CWT ADF&amp;G report to PWSAC;  Total wild is basically a guess by Tim Joyce. Point:  sport catches and wild contributions are really not known,  Suggest no Wild Forecast.</t>
  </si>
  <si>
    <t>Wild Coho Forecast:</t>
  </si>
  <si>
    <t>(EXCLUDE 93)</t>
  </si>
  <si>
    <t>avg</t>
  </si>
  <si>
    <t>Avg.</t>
  </si>
  <si>
    <t>n</t>
  </si>
  <si>
    <t>n=</t>
  </si>
  <si>
    <t>std</t>
  </si>
  <si>
    <t>t</t>
  </si>
  <si>
    <t>t=</t>
  </si>
  <si>
    <t>t * MSE</t>
  </si>
  <si>
    <t>low</t>
  </si>
  <si>
    <t>lower</t>
  </si>
  <si>
    <t>Mean</t>
  </si>
  <si>
    <t>midpt</t>
  </si>
  <si>
    <t>high</t>
  </si>
  <si>
    <t>upper</t>
  </si>
  <si>
    <t>Wild Average</t>
  </si>
  <si>
    <t>Fishery</t>
  </si>
  <si>
    <t>Forecast</t>
  </si>
  <si>
    <t>Lower</t>
  </si>
  <si>
    <t>Upper</t>
  </si>
  <si>
    <t>Element</t>
  </si>
  <si>
    <t>Estimate</t>
  </si>
  <si>
    <t>Bound</t>
  </si>
  <si>
    <t>Total Hvst</t>
  </si>
  <si>
    <t>MSE (natl prod)* t_n-1,  0.2 +/- Total Run</t>
  </si>
  <si>
    <t>Copper R</t>
  </si>
  <si>
    <t>Bering R</t>
  </si>
  <si>
    <t xml:space="preserve">           Escapement</t>
  </si>
  <si>
    <t xml:space="preserve">        Total Return</t>
  </si>
  <si>
    <t>Return</t>
  </si>
  <si>
    <t>Copper</t>
  </si>
  <si>
    <t>Bering</t>
  </si>
  <si>
    <t xml:space="preserve">Total    </t>
  </si>
  <si>
    <t>River</t>
  </si>
  <si>
    <t>Avg</t>
  </si>
  <si>
    <t>Min</t>
  </si>
  <si>
    <t>Max</t>
  </si>
  <si>
    <t>Point</t>
  </si>
  <si>
    <t>Comparison of different Data Sources.</t>
  </si>
  <si>
    <t>AMR</t>
  </si>
  <si>
    <t>total</t>
  </si>
  <si>
    <t>Fish tikt database</t>
  </si>
  <si>
    <t>difference:</t>
  </si>
  <si>
    <t>&lt;--Kayak Island?</t>
  </si>
  <si>
    <t>Data Sources:</t>
  </si>
  <si>
    <t xml:space="preserve">1896-1926:  </t>
  </si>
  <si>
    <t>Rich, Willis H &amp; Edward M Ball.  1932.  Statistical Review of the Fisheries, Part III: PWS, CBR.  US Dept Commerce, BCF, Bulletin No 7.</t>
  </si>
  <si>
    <t>1928-1951:</t>
  </si>
  <si>
    <t>Seton H Thompson. 1964.  The red salmon of the Copper R, AK.</t>
  </si>
  <si>
    <t>Mostly calculated from case pack and avg size.</t>
  </si>
  <si>
    <t>1952-1959:</t>
  </si>
  <si>
    <t>INPFC publications.  Unknown which?</t>
  </si>
  <si>
    <t>Annual Management Report 1972-73.  Pirtle, Fridgen, and Bailey.  Appendices 6 and 7.  Citing:</t>
  </si>
  <si>
    <t>This AMR ("ADF&amp;G Field Data")</t>
  </si>
  <si>
    <t>1960-1971:</t>
  </si>
  <si>
    <t>1893-1971</t>
  </si>
  <si>
    <t>PWS Area Annual Finfish Management Report, 1981.  Randall, Fridgen, McCurdy, and Roberson.  1982</t>
  </si>
  <si>
    <t>1972-1973</t>
  </si>
  <si>
    <t>1974-1996</t>
  </si>
  <si>
    <t>PWS Management Area 1996 Annual Finfish Report.  Morstad, Sharp, Wilcock, and Johnson.</t>
  </si>
  <si>
    <t xml:space="preserve"> 11/17/92</t>
  </si>
  <si>
    <t>80% Prediction Method</t>
  </si>
  <si>
    <t>Catch</t>
  </si>
  <si>
    <t>Total Rt.</t>
  </si>
  <si>
    <t>Esc.</t>
  </si>
  <si>
    <t xml:space="preserve">Previous </t>
  </si>
  <si>
    <t>3-Year</t>
  </si>
  <si>
    <t>Moving average</t>
  </si>
  <si>
    <t>5-Year</t>
  </si>
  <si>
    <t>Forecast from "Total Return"</t>
  </si>
  <si>
    <t xml:space="preserve">Table </t>
  </si>
  <si>
    <t>Absolute error</t>
  </si>
  <si>
    <t>Mean Absolute Error =</t>
  </si>
  <si>
    <t>10-Year</t>
  </si>
  <si>
    <t>Average</t>
  </si>
  <si>
    <t>20-Year</t>
  </si>
  <si>
    <t>Commercial</t>
  </si>
  <si>
    <t>Harvest</t>
  </si>
  <si>
    <t>Exponential Smoothing forecast</t>
  </si>
  <si>
    <t>Absolute Error</t>
  </si>
  <si>
    <t>Minimum Error =</t>
  </si>
  <si>
    <t>Maximum Error =</t>
  </si>
  <si>
    <t>Standard deviation of Error =</t>
  </si>
  <si>
    <t>Forecast of Copper River coho salmon commercial harvest using a lag 1 exponential smoothing with damping factors</t>
  </si>
  <si>
    <t>Forecast of Copper River coho salmon commercial harvest using exponential smoothing with damping factors</t>
  </si>
  <si>
    <t xml:space="preserve">Exponential </t>
  </si>
  <si>
    <t xml:space="preserve">Smoothing </t>
  </si>
  <si>
    <t>Damping factor at lag</t>
  </si>
  <si>
    <t>Lag 1 =</t>
  </si>
  <si>
    <t>Lag 2 =</t>
  </si>
  <si>
    <t>Lag 3 =</t>
  </si>
  <si>
    <t>Lag 4 =</t>
  </si>
  <si>
    <t>Error</t>
  </si>
  <si>
    <t>Forecast from Comm. Harvest</t>
  </si>
  <si>
    <r>
      <t>Y</t>
    </r>
    <r>
      <rPr>
        <sz val="12"/>
        <rFont val="Arial MT"/>
      </rPr>
      <t xml:space="preserve">ear </t>
    </r>
    <r>
      <rPr>
        <vertAlign val="superscript"/>
        <sz val="12"/>
        <rFont val="Arial MT"/>
      </rPr>
      <t>a</t>
    </r>
  </si>
  <si>
    <r>
      <t>a</t>
    </r>
    <r>
      <rPr>
        <sz val="12"/>
        <rFont val="Arial MT"/>
      </rPr>
      <t xml:space="preserve">   Use of the previous year to forecast the current year provides the most basic method for comparison.</t>
    </r>
  </si>
  <si>
    <r>
      <t>A</t>
    </r>
    <r>
      <rPr>
        <sz val="12"/>
        <rFont val="Arial MT"/>
      </rPr>
      <t xml:space="preserve">bsolute error </t>
    </r>
    <r>
      <rPr>
        <vertAlign val="superscript"/>
        <sz val="12"/>
        <rFont val="Arial MT"/>
      </rPr>
      <t>b</t>
    </r>
  </si>
  <si>
    <r>
      <t>E</t>
    </r>
    <r>
      <rPr>
        <sz val="12"/>
        <rFont val="Arial MT"/>
      </rPr>
      <t xml:space="preserve">rror </t>
    </r>
    <r>
      <rPr>
        <vertAlign val="superscript"/>
        <sz val="12"/>
        <rFont val="Arial MT"/>
      </rPr>
      <t>c</t>
    </r>
  </si>
  <si>
    <r>
      <t>b</t>
    </r>
    <r>
      <rPr>
        <sz val="12"/>
        <rFont val="Arial MT"/>
      </rPr>
      <t xml:space="preserve">  Absolute error is error regardless of sign, i.e., a forecast higher or lower than the actual catch by an equal amount would both have the same absolute error.</t>
    </r>
  </si>
  <si>
    <r>
      <t>c</t>
    </r>
    <r>
      <rPr>
        <sz val="12"/>
        <rFont val="Arial MT"/>
      </rPr>
      <t xml:space="preserve">  The error column shows the difference from the actual--negative values indicated that the forecast was less than the actual catch and positive values indicate the forecast was more than the actual catch.</t>
    </r>
  </si>
  <si>
    <t>10 Year Average</t>
  </si>
  <si>
    <t>MAPE</t>
  </si>
  <si>
    <t>Forecast Type</t>
  </si>
  <si>
    <r>
      <t>A</t>
    </r>
    <r>
      <rPr>
        <sz val="12"/>
        <rFont val="Arial MT"/>
      </rPr>
      <t xml:space="preserve">bsolute percentage error </t>
    </r>
    <r>
      <rPr>
        <vertAlign val="superscript"/>
        <sz val="12"/>
        <rFont val="Arial MT"/>
      </rPr>
      <t>b</t>
    </r>
  </si>
  <si>
    <t>Commercial Harvest</t>
  </si>
  <si>
    <t>Previous Year</t>
  </si>
  <si>
    <t>3-year average</t>
  </si>
  <si>
    <t>5-year average</t>
  </si>
  <si>
    <t>10-year average</t>
  </si>
  <si>
    <t>20-year average</t>
  </si>
  <si>
    <t>Absolute Percentage Error</t>
  </si>
  <si>
    <t>Absolute</t>
  </si>
  <si>
    <t>Percentage</t>
  </si>
  <si>
    <t>MAE</t>
  </si>
  <si>
    <t>Exponential smoothing: lag 1 with damping = 0.1</t>
  </si>
  <si>
    <t>Exponential smoothing: lag 1 with damping = 0.2</t>
  </si>
  <si>
    <t>Exponential smoothing: lag 1 with damping = 0.3</t>
  </si>
  <si>
    <t>Exponential smoothing: lag 1 with damping = 0.4</t>
  </si>
  <si>
    <t>Exponential smoothing: lag 1 with damping = 0.5</t>
  </si>
  <si>
    <t>Forecast method</t>
  </si>
  <si>
    <t>3 year</t>
  </si>
  <si>
    <t>5 year</t>
  </si>
  <si>
    <t>10 year</t>
  </si>
  <si>
    <t>20 year</t>
  </si>
  <si>
    <t>U 80% PI</t>
  </si>
  <si>
    <t>L 80% PI</t>
  </si>
  <si>
    <t>Comments</t>
  </si>
  <si>
    <t>Median</t>
  </si>
  <si>
    <t>Exponential smoothing with damping (lag 1 = 0.85, lag 2 = 0, lag 3 = 0, lag 4 = 0.15)</t>
  </si>
  <si>
    <t>Exponential smoothing with damping (lag 1 = 0.39, lag 2 = 0, lag 3 = 0.33, lag 4 = 0.28)</t>
  </si>
  <si>
    <t>Average of all harvest forecasts  =</t>
  </si>
  <si>
    <t xml:space="preserve">          Commercial Harvest</t>
  </si>
  <si>
    <t>Description</t>
  </si>
  <si>
    <t>Copper/Bering River Coho salmon Harvest Projection (regular std)</t>
  </si>
  <si>
    <t>All Years</t>
  </si>
  <si>
    <t>10 Years</t>
  </si>
  <si>
    <t>5 Years</t>
  </si>
  <si>
    <r>
      <t xml:space="preserve">River DISTRICT </t>
    </r>
    <r>
      <rPr>
        <vertAlign val="superscript"/>
        <sz val="12"/>
        <rFont val="Arial MT"/>
      </rPr>
      <t>c</t>
    </r>
  </si>
  <si>
    <r>
      <t>River DISTRICT</t>
    </r>
    <r>
      <rPr>
        <vertAlign val="superscript"/>
        <sz val="12"/>
        <rFont val="Arial MT"/>
      </rPr>
      <t>d</t>
    </r>
  </si>
  <si>
    <t>Std Deviation</t>
  </si>
  <si>
    <t>Std. Deviation=</t>
  </si>
  <si>
    <t>Prediction  I.( 95%)</t>
  </si>
  <si>
    <t>Minimize MAE or MAPE using Solver by changing the lag damping factors.</t>
  </si>
  <si>
    <t>Total Return</t>
  </si>
  <si>
    <t>z</t>
  </si>
  <si>
    <t>Average of all total run forecasts  =</t>
  </si>
  <si>
    <t>Table x.</t>
  </si>
  <si>
    <t>Solver minimizes MAPE</t>
  </si>
  <si>
    <t>Solver minimizes MAE</t>
  </si>
  <si>
    <r>
      <t xml:space="preserve">River District </t>
    </r>
    <r>
      <rPr>
        <vertAlign val="superscript"/>
        <sz val="12"/>
        <rFont val="Arial MT"/>
      </rPr>
      <t>a</t>
    </r>
  </si>
  <si>
    <r>
      <t>River District</t>
    </r>
    <r>
      <rPr>
        <vertAlign val="superscript"/>
        <sz val="12"/>
        <rFont val="Arial MT"/>
      </rPr>
      <t xml:space="preserve"> b</t>
    </r>
  </si>
  <si>
    <t>Mean Absolute Error (MAE) =</t>
  </si>
  <si>
    <t>from 0.1 to 0.5, 1972-2011.</t>
  </si>
  <si>
    <t>Copper River coho salmon forecasts from an estimate of total return, 1980-201.</t>
  </si>
  <si>
    <t>Copper River coho salmon forecasts from commercial harvest data, 1970-2011.</t>
  </si>
  <si>
    <t>10 yr. Avg</t>
  </si>
  <si>
    <t>10 yr. Min</t>
  </si>
  <si>
    <t>10 yr. Max</t>
  </si>
  <si>
    <t xml:space="preserve">Input Forecast Year Here </t>
  </si>
  <si>
    <t>Microsoft Excel 14.0 Answer Report</t>
  </si>
  <si>
    <t>Worksheet: [2013 Copper and Bering River Wild Coho-DRAFT.xlsx]Exp_smoothing_w_damping</t>
  </si>
  <si>
    <t>Report Created: 12/10/2012 15:30:21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</si>
  <si>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</si>
  <si>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</si>
  <si>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</si>
  <si>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</si>
  <si>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1 Subproblems: 0</t>
  </si>
  <si>
    <t>Solver Options</t>
  </si>
  <si>
    <t>Max Time 100 sec,  Iterations 100, Precision 0.000001</t>
  </si>
  <si>
    <t xml:space="preserve"> Convergence 0.0001, Population Size 100, Random Seed 0, Derivatives Forward, Require Bounds</t>
  </si>
  <si>
    <t>Max Subproblems Unlimited, Max Integer Sols Unlimited, Integer Tolerance 5%, Solve Without Integer Constraints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</si>
  <si>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</si>
  <si>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</si>
  <si>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</si>
  <si>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</si>
  <si>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</si>
  <si>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</si>
  <si>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</si>
  <si>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</si>
  <si>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</si>
  <si>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</si>
  <si>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</si>
  <si>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</si>
  <si>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$G$56</t>
  </si>
  <si>
    <t>Mean Absolute Error (MAE) = Error</t>
  </si>
  <si>
    <t>$J$11</t>
  </si>
  <si>
    <t>Contin</t>
  </si>
  <si>
    <t>$J$12</t>
  </si>
  <si>
    <t>$J$13</t>
  </si>
  <si>
    <t>$J$10</t>
  </si>
  <si>
    <t>$J$10&gt;=0</t>
  </si>
  <si>
    <t>Not Binding</t>
  </si>
  <si>
    <t>$J$11&gt;=0</t>
  </si>
  <si>
    <t>Binding</t>
  </si>
  <si>
    <t>$J$12&gt;=0</t>
  </si>
  <si>
    <t>$J$13&gt;=0</t>
  </si>
  <si>
    <t>Report Created: 12/10/2012 15:36:24</t>
  </si>
  <si>
    <t>Solution Time: 0.015 Seconds.</t>
  </si>
  <si>
    <t>FORECAST TOO HIGH BY THIS AMOUNT</t>
  </si>
  <si>
    <t>FORECAST TOO LOW BY THIS AMOUNT</t>
  </si>
  <si>
    <t>LOWER</t>
  </si>
  <si>
    <t>2013 FORECAST POINT</t>
  </si>
  <si>
    <t>UPPER</t>
  </si>
  <si>
    <t>1)</t>
  </si>
  <si>
    <t>2)</t>
  </si>
  <si>
    <t>Update the data in all tabs</t>
  </si>
  <si>
    <t>updated 11 Dec. 2012 by R. Brenner</t>
  </si>
  <si>
    <t xml:space="preserve">3) </t>
  </si>
  <si>
    <t>Determine which forecast method has the lowest mean absolute % error (MAPE)</t>
  </si>
  <si>
    <t>and choose this as the forecast for the Forecast Year</t>
  </si>
  <si>
    <t>4)</t>
  </si>
  <si>
    <t>Make sure all formulas and values in the "Forecast Summary" tab are correct.</t>
  </si>
  <si>
    <r>
      <t xml:space="preserve">Forecasts for </t>
    </r>
    <r>
      <rPr>
        <b/>
        <sz val="18"/>
        <rFont val="Arial MT"/>
      </rPr>
      <t>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</si>
</sst>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m/dd/yy_)"/>
    <numFmt numFmtId="165" formatCode="0_)"/>
    <numFmt numFmtId="166" formatCode="0.00_)"/>
    <numFmt numFmtId="167" formatCode="_(* #,##0_);_(* \(#,##0\);_(* &quot;-&quot;??_);_(@_)"/>
    <numFmt numFmtId="168" formatCode="_(* #,##0.000_);_(* \(#,##0.000\);_(* &quot;-&quot;??_);_(@_)"/>
    <numFmt numFmtId="169" formatCode="0.0"/>
    <numFmt numFmtId="170" formatCode="0.00_);[Red]\(0.00\)"/>
    <numFmt numFmtId="171" formatCode="0.00000_);[Red]\(0.00000\)"/>
  </numFmts>
  <fonts count="54">
    <font>
      <sz val="12"/>
      <name val="Arial MT"/>
    </font>
    <font>
      <sz val="12"/>
      <name val="Times New Roman"/>
      <family val="1"/>
    </font>
    <font>
      <sz val="12"/>
      <color indexed="10"/>
      <name val="Arial MT"/>
      <family val="2"/>
    </font>
    <font>
      <sz val="12"/>
      <color indexed="12"/>
      <name val="SWISS"/>
      <family val="2"/>
    </font>
    <font>
      <sz val="12"/>
      <color indexed="12"/>
      <name val="Arial MT"/>
      <family val="2"/>
    </font>
    <font>
      <sz val="12"/>
      <color indexed="12"/>
      <name val="Arial MT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b/>
      <sz val="18"/>
      <color indexed="10"/>
      <name val="Arial MT"/>
      <family val="2"/>
    </font>
    <font>
      <b/>
      <sz val="12"/>
      <name val="Arial MT"/>
    </font>
    <font>
      <sz val="12"/>
      <color indexed="10"/>
      <name val="Arial MT"/>
    </font>
    <font>
      <vertAlign val="superscript"/>
      <sz val="12"/>
      <name val="Arial MT"/>
    </font>
    <font>
      <sz val="12"/>
      <color indexed="8"/>
      <name val="Arial MT"/>
      <family val="2"/>
    </font>
    <font>
      <sz val="12"/>
      <name val="Arial MT"/>
    </font>
    <font>
      <sz val="8"/>
      <name val="Arial MT"/>
    </font>
    <font>
      <b/>
      <sz val="14"/>
      <color indexed="12"/>
      <name val="Arial MT"/>
    </font>
    <font>
      <b/>
      <sz val="14"/>
      <color indexed="12"/>
      <name val="Arial MT"/>
      <family val="2"/>
    </font>
    <font>
      <sz val="14"/>
      <color indexed="12"/>
      <name val="Arial MT"/>
      <family val="2"/>
    </font>
    <font>
      <b/>
      <sz val="12"/>
      <color indexed="81"/>
      <name val="Tahoma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b/>
      <sz val="10"/>
      <color indexed="12"/>
      <name val="Arial MT"/>
    </font>
    <font>
      <sz val="10"/>
      <color indexed="12"/>
      <name val="Times New Roman"/>
      <family val="1"/>
    </font>
    <font>
      <sz val="14"/>
      <name val="Times New Roman"/>
      <family val="1"/>
    </font>
    <font>
      <sz val="16"/>
      <color indexed="81"/>
      <name val="Tahoma"/>
      <family val="2"/>
    </font>
    <font>
      <sz val="10"/>
      <color indexed="12"/>
      <name val="Arial MT"/>
    </font>
    <font>
      <b/>
      <sz val="20"/>
      <color indexed="81"/>
      <name val="Tahoma"/>
      <family val="2"/>
    </font>
    <font>
      <sz val="20"/>
      <color indexed="81"/>
      <name val="Tahoma"/>
      <family val="2"/>
    </font>
    <font>
      <b/>
      <sz val="16"/>
      <color indexed="81"/>
      <name val="Tahoma"/>
      <family val="2"/>
    </font>
    <font>
      <sz val="12"/>
      <color indexed="8"/>
      <name val="Arial MT"/>
    </font>
    <font>
      <sz val="10"/>
      <color indexed="10"/>
      <name val="Times New Roman"/>
      <family val="1"/>
    </font>
    <font>
      <b/>
      <sz val="18"/>
      <name val="Arial MT"/>
    </font>
    <font>
      <b/>
      <sz val="16"/>
      <name val="Arial MT"/>
    </font>
    <font>
      <sz val="24"/>
      <color indexed="10"/>
      <name val="Times New Roman"/>
      <family val="1"/>
    </font>
    <font>
      <sz val="12"/>
      <name val="Arial M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1"/>
      <name val="Tahoma"/>
      <family val="2"/>
    </font>
    <font>
      <sz val="12"/>
      <color rgb="FF0000FF"/>
      <name val="Arial MT"/>
    </font>
    <font>
      <sz val="10"/>
      <color rgb="FF0000FF"/>
      <name val="Times New Roman"/>
      <family val="1"/>
    </font>
    <font>
      <b/>
      <sz val="10"/>
      <color rgb="FF0000FF"/>
      <name val="Times New Roman"/>
      <family val="1"/>
    </font>
    <font>
      <sz val="18"/>
      <color rgb="FF0000FF"/>
      <name val="Arial MT"/>
    </font>
    <font>
      <b/>
      <sz val="12"/>
      <color indexed="18"/>
      <name val="Arial MT"/>
    </font>
    <font>
      <b/>
      <sz val="12"/>
      <color indexed="12"/>
      <name val="Arial MT"/>
    </font>
    <font>
      <sz val="12"/>
      <color indexed="12"/>
      <name val="Helv"/>
    </font>
    <font>
      <sz val="18"/>
      <name val="Helv"/>
    </font>
    <font>
      <b/>
      <sz val="12"/>
      <color rgb="FFFF0000"/>
      <name val="Times New Roman"/>
      <family val="1"/>
    </font>
    <font>
      <b/>
      <sz val="12"/>
      <color rgb="FF0000FF"/>
      <name val="Arial MT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15"/>
        <bgColor indexed="15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5">
    <xf numFmtId="0" fontId="0" fillId="0" borderId="0" xfId="0"/>
    <xf numFmtId="164" fontId="0" fillId="0" borderId="0" xfId="0" applyNumberFormat="1" applyProtection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Continuous"/>
    </xf>
    <xf numFmtId="0" fontId="0" fillId="0" borderId="10" xfId="0" applyBorder="1"/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/>
    <xf numFmtId="37" fontId="0" fillId="0" borderId="0" xfId="0" applyNumberFormat="1" applyProtection="1"/>
    <xf numFmtId="165" fontId="0" fillId="0" borderId="0" xfId="0" applyNumberFormat="1" applyProtection="1"/>
    <xf numFmtId="0" fontId="3" fillId="0" borderId="9" xfId="0" applyFont="1" applyBorder="1"/>
    <xf numFmtId="37" fontId="3" fillId="0" borderId="12" xfId="0" applyNumberFormat="1" applyFont="1" applyBorder="1" applyProtection="1"/>
    <xf numFmtId="0" fontId="3" fillId="0" borderId="0" xfId="0" applyFont="1"/>
    <xf numFmtId="165" fontId="0" fillId="0" borderId="8" xfId="0" applyNumberFormat="1" applyBorder="1" applyProtection="1"/>
    <xf numFmtId="165" fontId="3" fillId="0" borderId="9" xfId="0" applyNumberFormat="1" applyFont="1" applyBorder="1" applyProtection="1"/>
    <xf numFmtId="165" fontId="3" fillId="0" borderId="12" xfId="0" applyNumberFormat="1" applyFont="1" applyBorder="1" applyProtection="1"/>
    <xf numFmtId="165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9" xfId="0" applyNumberFormat="1" applyFont="1" applyBorder="1" applyProtection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8" xfId="0" applyNumberFormat="1" applyBorder="1" applyProtection="1"/>
    <xf numFmtId="37" fontId="0" fillId="0" borderId="9" xfId="0" applyNumberFormat="1" applyBorder="1" applyProtection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37" fontId="4" fillId="0" borderId="0" xfId="0" applyNumberFormat="1" applyFont="1" applyProtection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right"/>
    </xf>
    <xf numFmtId="0" fontId="0" fillId="0" borderId="0" xfId="0" applyBorder="1"/>
    <xf numFmtId="167" fontId="5" fillId="0" borderId="0" xfId="1" applyNumberFormat="1" applyFont="1" applyBorder="1"/>
    <xf numFmtId="167" fontId="0" fillId="0" borderId="0" xfId="1" applyNumberFormat="1" applyFont="1"/>
    <xf numFmtId="167" fontId="0" fillId="0" borderId="16" xfId="1" applyNumberFormat="1" applyFont="1" applyBorder="1" applyAlignment="1">
      <alignment horizontal="center"/>
    </xf>
    <xf numFmtId="167" fontId="0" fillId="0" borderId="25" xfId="1" applyNumberFormat="1" applyFont="1" applyBorder="1" applyAlignment="1">
      <alignment horizontal="center"/>
    </xf>
    <xf numFmtId="167" fontId="0" fillId="0" borderId="20" xfId="1" applyNumberFormat="1" applyFont="1" applyBorder="1" applyAlignment="1">
      <alignment horizontal="center"/>
    </xf>
    <xf numFmtId="167" fontId="0" fillId="0" borderId="26" xfId="1" applyNumberFormat="1" applyFont="1" applyBorder="1" applyAlignment="1">
      <alignment horizontal="center"/>
    </xf>
    <xf numFmtId="167" fontId="0" fillId="0" borderId="7" xfId="1" applyNumberFormat="1" applyFont="1" applyBorder="1"/>
    <xf numFmtId="167" fontId="0" fillId="0" borderId="6" xfId="1" applyNumberFormat="1" applyFont="1" applyBorder="1"/>
    <xf numFmtId="167" fontId="0" fillId="0" borderId="4" xfId="1" applyNumberFormat="1" applyFont="1" applyBorder="1" applyAlignment="1">
      <alignment horizontal="center"/>
    </xf>
    <xf numFmtId="167" fontId="0" fillId="0" borderId="4" xfId="1" applyNumberFormat="1" applyFont="1" applyBorder="1"/>
    <xf numFmtId="167" fontId="0" fillId="0" borderId="10" xfId="1" applyNumberFormat="1" applyFont="1" applyBorder="1" applyAlignment="1">
      <alignment horizontal="right"/>
    </xf>
    <xf numFmtId="167" fontId="0" fillId="0" borderId="2" xfId="1" applyNumberFormat="1" applyFont="1" applyBorder="1"/>
    <xf numFmtId="167" fontId="4" fillId="0" borderId="0" xfId="1" applyNumberFormat="1" applyFont="1" applyProtection="1"/>
    <xf numFmtId="167" fontId="0" fillId="0" borderId="0" xfId="1" applyNumberFormat="1" applyFont="1" applyProtection="1"/>
    <xf numFmtId="167" fontId="0" fillId="0" borderId="23" xfId="1" applyNumberFormat="1" applyFont="1" applyBorder="1" applyAlignment="1">
      <alignment horizontal="center"/>
    </xf>
    <xf numFmtId="167" fontId="0" fillId="0" borderId="24" xfId="1" applyNumberFormat="1" applyFont="1" applyBorder="1"/>
    <xf numFmtId="167" fontId="0" fillId="0" borderId="25" xfId="1" applyNumberFormat="1" applyFont="1" applyBorder="1"/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3" fontId="5" fillId="0" borderId="0" xfId="0" applyNumberFormat="1" applyFont="1"/>
    <xf numFmtId="37" fontId="2" fillId="0" borderId="0" xfId="0" applyNumberFormat="1" applyFont="1" applyProtection="1"/>
    <xf numFmtId="0" fontId="11" fillId="0" borderId="0" xfId="0" applyFont="1" applyAlignment="1">
      <alignment horizontal="left"/>
    </xf>
    <xf numFmtId="167" fontId="12" fillId="0" borderId="0" xfId="1" applyNumberFormat="1" applyFont="1"/>
    <xf numFmtId="0" fontId="13" fillId="0" borderId="29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0" fontId="0" fillId="0" borderId="28" xfId="0" applyBorder="1"/>
    <xf numFmtId="0" fontId="0" fillId="0" borderId="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28" xfId="1" applyNumberFormat="1" applyFont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Continuous"/>
    </xf>
    <xf numFmtId="37" fontId="5" fillId="0" borderId="0" xfId="0" applyNumberFormat="1" applyFont="1" applyProtection="1"/>
    <xf numFmtId="167" fontId="15" fillId="0" borderId="0" xfId="1" applyNumberFormat="1" applyFont="1" applyProtection="1"/>
    <xf numFmtId="37" fontId="15" fillId="0" borderId="0" xfId="0" applyNumberFormat="1" applyFont="1" applyProtection="1"/>
    <xf numFmtId="37" fontId="5" fillId="0" borderId="0" xfId="0" applyNumberFormat="1" applyFont="1"/>
    <xf numFmtId="0" fontId="0" fillId="0" borderId="0" xfId="0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3" fontId="0" fillId="0" borderId="0" xfId="0" applyNumberFormat="1"/>
    <xf numFmtId="0" fontId="0" fillId="0" borderId="30" xfId="0" applyFill="1" applyBorder="1" applyAlignment="1">
      <alignment horizontal="center"/>
    </xf>
    <xf numFmtId="0" fontId="5" fillId="0" borderId="0" xfId="0" applyFont="1"/>
    <xf numFmtId="3" fontId="5" fillId="2" borderId="0" xfId="0" applyNumberFormat="1" applyFont="1" applyFill="1"/>
    <xf numFmtId="167" fontId="5" fillId="0" borderId="0" xfId="0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0" borderId="31" xfId="0" applyBorder="1" applyAlignment="1">
      <alignment horizontal="center"/>
    </xf>
    <xf numFmtId="0" fontId="12" fillId="0" borderId="0" xfId="0" applyFont="1"/>
    <xf numFmtId="0" fontId="0" fillId="0" borderId="28" xfId="0" applyBorder="1" applyAlignment="1">
      <alignment horizontal="centerContinuous"/>
    </xf>
    <xf numFmtId="0" fontId="0" fillId="2" borderId="0" xfId="0" applyFill="1" applyBorder="1" applyAlignment="1">
      <alignment horizontal="center"/>
    </xf>
    <xf numFmtId="0" fontId="0" fillId="0" borderId="30" xfId="0" applyBorder="1" applyAlignment="1">
      <alignment horizontal="right"/>
    </xf>
    <xf numFmtId="0" fontId="0" fillId="2" borderId="28" xfId="0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16" fillId="0" borderId="28" xfId="0" applyFont="1" applyFill="1" applyBorder="1" applyAlignment="1">
      <alignment horizontal="center"/>
    </xf>
    <xf numFmtId="0" fontId="14" fillId="0" borderId="0" xfId="0" applyFont="1"/>
    <xf numFmtId="38" fontId="5" fillId="0" borderId="0" xfId="0" applyNumberFormat="1" applyFont="1"/>
    <xf numFmtId="0" fontId="16" fillId="2" borderId="30" xfId="0" applyFont="1" applyFill="1" applyBorder="1" applyAlignment="1">
      <alignment horizontal="centerContinuous"/>
    </xf>
    <xf numFmtId="0" fontId="16" fillId="2" borderId="28" xfId="0" applyFont="1" applyFill="1" applyBorder="1" applyAlignment="1">
      <alignment horizontal="centerContinuous"/>
    </xf>
    <xf numFmtId="3" fontId="5" fillId="0" borderId="30" xfId="0" applyNumberFormat="1" applyFont="1" applyFill="1" applyBorder="1"/>
    <xf numFmtId="167" fontId="12" fillId="0" borderId="0" xfId="0" applyNumberFormat="1" applyFont="1"/>
    <xf numFmtId="0" fontId="0" fillId="0" borderId="0" xfId="0" applyFill="1"/>
    <xf numFmtId="3" fontId="5" fillId="0" borderId="0" xfId="0" applyNumberFormat="1" applyFont="1" applyFill="1"/>
    <xf numFmtId="167" fontId="15" fillId="0" borderId="0" xfId="1" applyNumberFormat="1" applyFont="1" applyFill="1" applyProtection="1"/>
    <xf numFmtId="167" fontId="5" fillId="0" borderId="0" xfId="1" applyNumberFormat="1" applyFont="1"/>
    <xf numFmtId="37" fontId="5" fillId="0" borderId="8" xfId="0" applyNumberFormat="1" applyFont="1" applyBorder="1" applyProtection="1"/>
    <xf numFmtId="167" fontId="5" fillId="0" borderId="2" xfId="1" applyNumberFormat="1" applyFont="1" applyBorder="1" applyProtection="1"/>
    <xf numFmtId="167" fontId="5" fillId="0" borderId="0" xfId="1" applyNumberFormat="1" applyFont="1" applyProtection="1"/>
    <xf numFmtId="37" fontId="5" fillId="0" borderId="2" xfId="0" applyNumberFormat="1" applyFont="1" applyBorder="1" applyProtection="1"/>
    <xf numFmtId="37" fontId="5" fillId="0" borderId="3" xfId="0" applyNumberFormat="1" applyFont="1" applyBorder="1" applyProtection="1"/>
    <xf numFmtId="37" fontId="18" fillId="3" borderId="36" xfId="0" applyNumberFormat="1" applyFont="1" applyFill="1" applyBorder="1" applyProtection="1"/>
    <xf numFmtId="37" fontId="5" fillId="4" borderId="1" xfId="0" applyNumberFormat="1" applyFont="1" applyFill="1" applyBorder="1" applyProtection="1"/>
    <xf numFmtId="37" fontId="5" fillId="4" borderId="3" xfId="0" applyNumberFormat="1" applyFont="1" applyFill="1" applyBorder="1" applyProtection="1"/>
    <xf numFmtId="167" fontId="18" fillId="5" borderId="37" xfId="1" applyNumberFormat="1" applyFont="1" applyFill="1" applyBorder="1" applyProtection="1"/>
    <xf numFmtId="167" fontId="18" fillId="5" borderId="38" xfId="1" applyNumberFormat="1" applyFont="1" applyFill="1" applyBorder="1" applyProtection="1"/>
    <xf numFmtId="37" fontId="5" fillId="4" borderId="12" xfId="0" applyNumberFormat="1" applyFont="1" applyFill="1" applyBorder="1" applyProtection="1"/>
    <xf numFmtId="37" fontId="5" fillId="4" borderId="8" xfId="0" applyNumberFormat="1" applyFont="1" applyFill="1" applyBorder="1" applyProtection="1"/>
    <xf numFmtId="167" fontId="18" fillId="5" borderId="39" xfId="1" applyNumberFormat="1" applyFont="1" applyFill="1" applyBorder="1" applyProtection="1"/>
    <xf numFmtId="167" fontId="18" fillId="5" borderId="40" xfId="1" applyNumberFormat="1" applyFont="1" applyFill="1" applyBorder="1" applyProtection="1"/>
    <xf numFmtId="167" fontId="5" fillId="0" borderId="14" xfId="1" applyNumberFormat="1" applyFont="1" applyBorder="1" applyProtection="1"/>
    <xf numFmtId="37" fontId="5" fillId="0" borderId="14" xfId="0" applyNumberFormat="1" applyFont="1" applyBorder="1" applyProtection="1"/>
    <xf numFmtId="37" fontId="5" fillId="4" borderId="13" xfId="0" applyNumberFormat="1" applyFont="1" applyFill="1" applyBorder="1" applyProtection="1"/>
    <xf numFmtId="37" fontId="5" fillId="4" borderId="15" xfId="0" applyNumberFormat="1" applyFont="1" applyFill="1" applyBorder="1" applyProtection="1"/>
    <xf numFmtId="164" fontId="5" fillId="0" borderId="0" xfId="0" applyNumberFormat="1" applyFont="1" applyProtection="1"/>
    <xf numFmtId="167" fontId="19" fillId="0" borderId="5" xfId="1" applyNumberFormat="1" applyFont="1" applyBorder="1" applyProtection="1"/>
    <xf numFmtId="167" fontId="19" fillId="0" borderId="6" xfId="1" applyNumberFormat="1" applyFont="1" applyBorder="1" applyProtection="1"/>
    <xf numFmtId="167" fontId="19" fillId="0" borderId="7" xfId="1" applyNumberFormat="1" applyFont="1" applyBorder="1" applyProtection="1"/>
    <xf numFmtId="169" fontId="20" fillId="0" borderId="12" xfId="1" applyNumberFormat="1" applyFont="1" applyBorder="1" applyProtection="1"/>
    <xf numFmtId="169" fontId="20" fillId="0" borderId="0" xfId="1" applyNumberFormat="1" applyFont="1" applyProtection="1"/>
    <xf numFmtId="169" fontId="20" fillId="0" borderId="8" xfId="1" applyNumberFormat="1" applyFont="1" applyBorder="1" applyProtection="1"/>
    <xf numFmtId="169" fontId="20" fillId="0" borderId="13" xfId="1" applyNumberFormat="1" applyFont="1" applyBorder="1" applyProtection="1"/>
    <xf numFmtId="169" fontId="20" fillId="0" borderId="14" xfId="1" applyNumberFormat="1" applyFont="1" applyBorder="1" applyProtection="1"/>
    <xf numFmtId="169" fontId="20" fillId="0" borderId="15" xfId="1" applyNumberFormat="1" applyFont="1" applyBorder="1" applyProtection="1"/>
    <xf numFmtId="3" fontId="5" fillId="0" borderId="28" xfId="0" applyNumberFormat="1" applyFont="1" applyFill="1" applyBorder="1"/>
    <xf numFmtId="3" fontId="5" fillId="0" borderId="30" xfId="0" applyNumberFormat="1" applyFont="1" applyBorder="1"/>
    <xf numFmtId="3" fontId="0" fillId="0" borderId="28" xfId="0" applyNumberFormat="1" applyBorder="1"/>
    <xf numFmtId="0" fontId="24" fillId="0" borderId="0" xfId="0" applyFont="1"/>
    <xf numFmtId="0" fontId="23" fillId="0" borderId="0" xfId="0" applyFont="1"/>
    <xf numFmtId="0" fontId="23" fillId="0" borderId="28" xfId="0" applyFont="1" applyBorder="1"/>
    <xf numFmtId="0" fontId="23" fillId="0" borderId="0" xfId="0" applyFont="1" applyBorder="1"/>
    <xf numFmtId="0" fontId="23" fillId="2" borderId="28" xfId="0" applyFont="1" applyFill="1" applyBorder="1" applyAlignment="1">
      <alignment horizontal="centerContinuous"/>
    </xf>
    <xf numFmtId="0" fontId="23" fillId="2" borderId="0" xfId="0" applyFont="1" applyFill="1" applyBorder="1" applyAlignment="1">
      <alignment horizontal="centerContinuous"/>
    </xf>
    <xf numFmtId="0" fontId="23" fillId="0" borderId="0" xfId="0" applyFont="1" applyBorder="1" applyAlignment="1">
      <alignment horizontal="center"/>
    </xf>
    <xf numFmtId="167" fontId="23" fillId="0" borderId="0" xfId="1" applyNumberFormat="1" applyFont="1" applyBorder="1" applyAlignment="1">
      <alignment horizontal="center"/>
    </xf>
    <xf numFmtId="0" fontId="23" fillId="0" borderId="30" xfId="0" applyFont="1" applyBorder="1" applyAlignment="1">
      <alignment horizontal="centerContinuous"/>
    </xf>
    <xf numFmtId="0" fontId="23" fillId="0" borderId="28" xfId="0" applyFont="1" applyBorder="1" applyAlignment="1">
      <alignment horizontal="center"/>
    </xf>
    <xf numFmtId="167" fontId="23" fillId="0" borderId="28" xfId="1" applyNumberFormat="1" applyFont="1" applyBorder="1" applyAlignment="1">
      <alignment horizontal="center"/>
    </xf>
    <xf numFmtId="0" fontId="23" fillId="0" borderId="28" xfId="0" applyFont="1" applyFill="1" applyBorder="1" applyAlignment="1">
      <alignment horizontal="center"/>
    </xf>
    <xf numFmtId="0" fontId="23" fillId="0" borderId="30" xfId="0" applyFont="1" applyFill="1" applyBorder="1" applyAlignment="1">
      <alignment horizontal="center"/>
    </xf>
    <xf numFmtId="167" fontId="24" fillId="0" borderId="0" xfId="1" applyNumberFormat="1" applyFont="1" applyBorder="1" applyProtection="1"/>
    <xf numFmtId="37" fontId="24" fillId="0" borderId="0" xfId="0" applyNumberFormat="1" applyFont="1" applyProtection="1"/>
    <xf numFmtId="37" fontId="23" fillId="0" borderId="0" xfId="0" applyNumberFormat="1" applyFont="1" applyProtection="1"/>
    <xf numFmtId="37" fontId="24" fillId="0" borderId="0" xfId="0" applyNumberFormat="1" applyFont="1"/>
    <xf numFmtId="3" fontId="24" fillId="0" borderId="0" xfId="0" applyNumberFormat="1" applyFont="1"/>
    <xf numFmtId="0" fontId="23" fillId="0" borderId="30" xfId="0" applyFont="1" applyBorder="1"/>
    <xf numFmtId="0" fontId="23" fillId="0" borderId="30" xfId="0" applyFont="1" applyBorder="1" applyAlignment="1">
      <alignment horizontal="right"/>
    </xf>
    <xf numFmtId="3" fontId="5" fillId="2" borderId="28" xfId="0" applyNumberFormat="1" applyFont="1" applyFill="1" applyBorder="1"/>
    <xf numFmtId="0" fontId="23" fillId="0" borderId="0" xfId="0" applyFont="1" applyBorder="1" applyAlignment="1">
      <alignment horizontal="right"/>
    </xf>
    <xf numFmtId="0" fontId="23" fillId="0" borderId="28" xfId="0" applyFont="1" applyFill="1" applyBorder="1" applyAlignment="1">
      <alignment horizontal="right"/>
    </xf>
    <xf numFmtId="0" fontId="25" fillId="0" borderId="0" xfId="0" applyFont="1"/>
    <xf numFmtId="3" fontId="0" fillId="0" borderId="0" xfId="0" applyNumberFormat="1" applyBorder="1"/>
    <xf numFmtId="0" fontId="0" fillId="0" borderId="0" xfId="0" applyAlignment="1">
      <alignment horizontal="left"/>
    </xf>
    <xf numFmtId="9" fontId="5" fillId="0" borderId="0" xfId="2" applyFont="1"/>
    <xf numFmtId="9" fontId="0" fillId="0" borderId="0" xfId="2" applyFont="1" applyBorder="1"/>
    <xf numFmtId="9" fontId="5" fillId="0" borderId="30" xfId="2" applyFont="1" applyBorder="1"/>
    <xf numFmtId="9" fontId="5" fillId="2" borderId="30" xfId="2" applyFont="1" applyFill="1" applyBorder="1"/>
    <xf numFmtId="9" fontId="5" fillId="0" borderId="28" xfId="2" applyFont="1" applyFill="1" applyBorder="1"/>
    <xf numFmtId="9" fontId="5" fillId="2" borderId="0" xfId="2" applyFont="1" applyFill="1"/>
    <xf numFmtId="0" fontId="0" fillId="0" borderId="31" xfId="0" applyBorder="1"/>
    <xf numFmtId="0" fontId="0" fillId="2" borderId="31" xfId="0" applyFill="1" applyBorder="1" applyAlignment="1">
      <alignment horizontal="center"/>
    </xf>
    <xf numFmtId="2" fontId="0" fillId="0" borderId="0" xfId="0" applyNumberFormat="1"/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0" xfId="0" applyNumberFormat="1"/>
    <xf numFmtId="0" fontId="0" fillId="0" borderId="0" xfId="0" applyBorder="1" applyAlignment="1">
      <alignment horizontal="right"/>
    </xf>
    <xf numFmtId="167" fontId="5" fillId="0" borderId="0" xfId="1" applyNumberFormat="1" applyFont="1" applyBorder="1" applyProtection="1"/>
    <xf numFmtId="168" fontId="5" fillId="0" borderId="0" xfId="1" applyNumberFormat="1" applyFont="1" applyBorder="1" applyProtection="1"/>
    <xf numFmtId="0" fontId="13" fillId="0" borderId="0" xfId="0" applyFont="1" applyBorder="1" applyAlignment="1">
      <alignment horizontal="right"/>
    </xf>
    <xf numFmtId="37" fontId="26" fillId="3" borderId="0" xfId="0" applyNumberFormat="1" applyFont="1" applyFill="1" applyBorder="1" applyProtection="1"/>
    <xf numFmtId="167" fontId="26" fillId="5" borderId="0" xfId="1" applyNumberFormat="1" applyFont="1" applyFill="1" applyBorder="1" applyProtection="1"/>
    <xf numFmtId="0" fontId="0" fillId="0" borderId="31" xfId="0" applyBorder="1" applyAlignment="1">
      <alignment horizontal="right"/>
    </xf>
    <xf numFmtId="0" fontId="0" fillId="2" borderId="31" xfId="0" applyFill="1" applyBorder="1" applyAlignment="1">
      <alignment horizontal="centerContinuous"/>
    </xf>
    <xf numFmtId="0" fontId="27" fillId="0" borderId="0" xfId="0" applyFont="1"/>
    <xf numFmtId="0" fontId="22" fillId="0" borderId="0" xfId="0" applyFont="1"/>
    <xf numFmtId="0" fontId="22" fillId="0" borderId="31" xfId="0" applyFont="1" applyBorder="1"/>
    <xf numFmtId="0" fontId="22" fillId="0" borderId="28" xfId="0" applyFont="1" applyBorder="1"/>
    <xf numFmtId="0" fontId="22" fillId="0" borderId="28" xfId="0" applyFont="1" applyBorder="1" applyAlignment="1">
      <alignment horizontal="right"/>
    </xf>
    <xf numFmtId="9" fontId="22" fillId="0" borderId="0" xfId="2" applyFont="1"/>
    <xf numFmtId="0" fontId="28" fillId="0" borderId="0" xfId="0" applyFont="1"/>
    <xf numFmtId="2" fontId="5" fillId="0" borderId="41" xfId="0" applyNumberFormat="1" applyFont="1" applyBorder="1" applyAlignment="1">
      <alignment horizontal="right"/>
    </xf>
    <xf numFmtId="2" fontId="0" fillId="0" borderId="41" xfId="0" applyNumberFormat="1" applyBorder="1"/>
    <xf numFmtId="2" fontId="0" fillId="0" borderId="42" xfId="0" applyNumberFormat="1" applyBorder="1"/>
    <xf numFmtId="0" fontId="22" fillId="2" borderId="30" xfId="0" applyFont="1" applyFill="1" applyBorder="1" applyAlignment="1">
      <alignment horizontal="centerContinuous"/>
    </xf>
    <xf numFmtId="0" fontId="23" fillId="0" borderId="0" xfId="0" applyFont="1" applyFill="1" applyBorder="1" applyAlignment="1">
      <alignment horizontal="center"/>
    </xf>
    <xf numFmtId="37" fontId="23" fillId="0" borderId="0" xfId="0" applyNumberFormat="1" applyFont="1" applyFill="1" applyProtection="1"/>
    <xf numFmtId="0" fontId="23" fillId="0" borderId="0" xfId="0" applyFont="1" applyFill="1"/>
    <xf numFmtId="37" fontId="24" fillId="0" borderId="0" xfId="0" applyNumberFormat="1" applyFont="1" applyFill="1"/>
    <xf numFmtId="3" fontId="24" fillId="0" borderId="30" xfId="0" applyNumberFormat="1" applyFont="1" applyBorder="1"/>
    <xf numFmtId="9" fontId="5" fillId="0" borderId="30" xfId="0" applyNumberFormat="1" applyFont="1" applyFill="1" applyBorder="1"/>
    <xf numFmtId="9" fontId="5" fillId="0" borderId="0" xfId="0" applyNumberFormat="1" applyFont="1" applyFill="1"/>
    <xf numFmtId="9" fontId="5" fillId="0" borderId="28" xfId="0" applyNumberFormat="1" applyFont="1" applyFill="1" applyBorder="1"/>
    <xf numFmtId="0" fontId="22" fillId="0" borderId="0" xfId="0" applyFont="1" applyBorder="1"/>
    <xf numFmtId="2" fontId="0" fillId="0" borderId="0" xfId="0" applyNumberFormat="1" applyBorder="1"/>
    <xf numFmtId="0" fontId="30" fillId="0" borderId="0" xfId="0" applyFont="1"/>
    <xf numFmtId="38" fontId="5" fillId="0" borderId="30" xfId="0" applyNumberFormat="1" applyFont="1" applyBorder="1"/>
    <xf numFmtId="9" fontId="5" fillId="0" borderId="0" xfId="2" applyNumberFormat="1" applyFont="1"/>
    <xf numFmtId="3" fontId="0" fillId="0" borderId="30" xfId="0" applyNumberFormat="1" applyBorder="1"/>
    <xf numFmtId="9" fontId="5" fillId="0" borderId="30" xfId="2" applyNumberFormat="1" applyFont="1" applyBorder="1"/>
    <xf numFmtId="167" fontId="5" fillId="0" borderId="31" xfId="0" applyNumberFormat="1" applyFont="1" applyBorder="1"/>
    <xf numFmtId="167" fontId="5" fillId="2" borderId="0" xfId="0" applyNumberFormat="1" applyFont="1" applyFill="1" applyBorder="1"/>
    <xf numFmtId="167" fontId="5" fillId="0" borderId="28" xfId="0" applyNumberFormat="1" applyFont="1" applyBorder="1"/>
    <xf numFmtId="43" fontId="34" fillId="0" borderId="14" xfId="1" applyNumberFormat="1" applyFont="1" applyBorder="1" applyProtection="1"/>
    <xf numFmtId="167" fontId="5" fillId="2" borderId="32" xfId="1" applyNumberFormat="1" applyFont="1" applyFill="1" applyBorder="1" applyProtection="1"/>
    <xf numFmtId="167" fontId="5" fillId="2" borderId="34" xfId="1" applyNumberFormat="1" applyFont="1" applyFill="1" applyBorder="1" applyProtection="1"/>
    <xf numFmtId="167" fontId="5" fillId="2" borderId="35" xfId="1" applyNumberFormat="1" applyFont="1" applyFill="1" applyBorder="1" applyProtection="1"/>
    <xf numFmtId="166" fontId="5" fillId="0" borderId="0" xfId="0" applyNumberFormat="1" applyFont="1" applyProtection="1"/>
    <xf numFmtId="165" fontId="5" fillId="0" borderId="8" xfId="0" applyNumberFormat="1" applyFont="1" applyBorder="1" applyProtection="1"/>
    <xf numFmtId="165" fontId="5" fillId="0" borderId="0" xfId="0" applyNumberFormat="1" applyFont="1" applyProtection="1"/>
    <xf numFmtId="0" fontId="5" fillId="0" borderId="8" xfId="0" applyFont="1" applyBorder="1"/>
    <xf numFmtId="165" fontId="5" fillId="0" borderId="3" xfId="0" applyNumberFormat="1" applyFont="1" applyBorder="1" applyProtection="1"/>
    <xf numFmtId="37" fontId="5" fillId="0" borderId="9" xfId="0" applyNumberFormat="1" applyFont="1" applyBorder="1" applyProtection="1"/>
    <xf numFmtId="37" fontId="5" fillId="0" borderId="15" xfId="0" applyNumberFormat="1" applyFont="1" applyBorder="1" applyProtection="1"/>
    <xf numFmtId="165" fontId="5" fillId="0" borderId="14" xfId="0" applyNumberFormat="1" applyFont="1" applyBorder="1" applyProtection="1"/>
    <xf numFmtId="0" fontId="5" fillId="0" borderId="14" xfId="0" applyFont="1" applyBorder="1"/>
    <xf numFmtId="37" fontId="5" fillId="0" borderId="10" xfId="0" applyNumberFormat="1" applyFont="1" applyBorder="1" applyProtection="1"/>
    <xf numFmtId="0" fontId="35" fillId="0" borderId="0" xfId="0" applyFont="1"/>
    <xf numFmtId="0" fontId="12" fillId="0" borderId="13" xfId="0" applyFont="1" applyBorder="1" applyAlignment="1">
      <alignment horizontal="center"/>
    </xf>
    <xf numFmtId="167" fontId="12" fillId="0" borderId="5" xfId="1" applyNumberFormat="1" applyFont="1" applyBorder="1"/>
    <xf numFmtId="0" fontId="12" fillId="0" borderId="5" xfId="0" applyFont="1" applyBorder="1"/>
    <xf numFmtId="0" fontId="37" fillId="0" borderId="0" xfId="0" applyFont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Fill="1"/>
    <xf numFmtId="0" fontId="22" fillId="0" borderId="0" xfId="0" applyFont="1" applyFill="1"/>
    <xf numFmtId="0" fontId="22" fillId="2" borderId="30" xfId="0" applyFont="1" applyFill="1" applyBorder="1" applyAlignment="1">
      <alignment horizontal="right"/>
    </xf>
    <xf numFmtId="0" fontId="12" fillId="0" borderId="0" xfId="0" applyFont="1" applyBorder="1" applyAlignment="1">
      <alignment horizontal="center"/>
    </xf>
    <xf numFmtId="3" fontId="35" fillId="0" borderId="0" xfId="0" applyNumberFormat="1" applyFont="1"/>
    <xf numFmtId="0" fontId="35" fillId="0" borderId="28" xfId="0" applyFont="1" applyBorder="1"/>
    <xf numFmtId="0" fontId="13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37" fontId="5" fillId="0" borderId="0" xfId="0" applyNumberFormat="1" applyFont="1" applyFill="1" applyProtection="1"/>
    <xf numFmtId="0" fontId="37" fillId="0" borderId="0" xfId="0" applyFont="1" applyAlignment="1">
      <alignment horizontal="right"/>
    </xf>
    <xf numFmtId="0" fontId="0" fillId="0" borderId="0" xfId="0" applyBorder="1" applyAlignment="1">
      <alignment horizontal="centerContinuous"/>
    </xf>
    <xf numFmtId="3" fontId="5" fillId="0" borderId="0" xfId="0" applyNumberFormat="1" applyFont="1" applyFill="1" applyBorder="1"/>
    <xf numFmtId="0" fontId="22" fillId="0" borderId="0" xfId="0" applyFont="1" applyAlignment="1">
      <alignment horizontal="right"/>
    </xf>
    <xf numFmtId="167" fontId="16" fillId="0" borderId="0" xfId="1" applyNumberFormat="1" applyFont="1" applyBorder="1"/>
    <xf numFmtId="167" fontId="16" fillId="0" borderId="0" xfId="1" applyNumberFormat="1" applyFont="1" applyProtection="1"/>
    <xf numFmtId="167" fontId="43" fillId="0" borderId="0" xfId="1" applyNumberFormat="1" applyFont="1"/>
    <xf numFmtId="167" fontId="39" fillId="0" borderId="46" xfId="1" applyNumberFormat="1" applyFont="1" applyBorder="1" applyProtection="1"/>
    <xf numFmtId="167" fontId="39" fillId="0" borderId="0" xfId="1" applyNumberFormat="1" applyFont="1" applyProtection="1"/>
    <xf numFmtId="167" fontId="43" fillId="0" borderId="47" xfId="1" applyNumberFormat="1" applyFont="1" applyBorder="1"/>
    <xf numFmtId="0" fontId="43" fillId="0" borderId="47" xfId="0" applyFont="1" applyBorder="1"/>
    <xf numFmtId="37" fontId="39" fillId="0" borderId="46" xfId="0" applyNumberFormat="1" applyFont="1" applyBorder="1" applyProtection="1"/>
    <xf numFmtId="0" fontId="39" fillId="0" borderId="0" xfId="0" applyFont="1"/>
    <xf numFmtId="37" fontId="39" fillId="0" borderId="0" xfId="0" applyNumberFormat="1" applyFont="1" applyProtection="1"/>
    <xf numFmtId="0" fontId="43" fillId="0" borderId="0" xfId="0" applyFont="1"/>
    <xf numFmtId="37" fontId="5" fillId="0" borderId="0" xfId="0" applyNumberFormat="1" applyFont="1" applyBorder="1" applyProtection="1"/>
    <xf numFmtId="3" fontId="44" fillId="0" borderId="0" xfId="0" applyNumberFormat="1" applyFont="1" applyBorder="1"/>
    <xf numFmtId="3" fontId="44" fillId="0" borderId="0" xfId="0" applyNumberFormat="1" applyFont="1"/>
    <xf numFmtId="9" fontId="44" fillId="0" borderId="0" xfId="2" applyFont="1" applyFill="1"/>
    <xf numFmtId="3" fontId="45" fillId="2" borderId="0" xfId="0" applyNumberFormat="1" applyFont="1" applyFill="1"/>
    <xf numFmtId="3" fontId="5" fillId="6" borderId="0" xfId="0" applyNumberFormat="1" applyFont="1" applyFill="1" applyBorder="1"/>
    <xf numFmtId="0" fontId="0" fillId="0" borderId="0" xfId="0" applyFont="1" applyBorder="1" applyAlignment="1">
      <alignment horizontal="center"/>
    </xf>
    <xf numFmtId="37" fontId="24" fillId="0" borderId="0" xfId="0" applyNumberFormat="1" applyFont="1" applyFill="1" applyBorder="1"/>
    <xf numFmtId="37" fontId="5" fillId="0" borderId="43" xfId="0" applyNumberFormat="1" applyFont="1" applyFill="1" applyBorder="1" applyProtection="1"/>
    <xf numFmtId="37" fontId="5" fillId="0" borderId="44" xfId="0" applyNumberFormat="1" applyFont="1" applyFill="1" applyBorder="1" applyProtection="1"/>
    <xf numFmtId="37" fontId="5" fillId="0" borderId="45" xfId="0" applyNumberFormat="1" applyFont="1" applyFill="1" applyBorder="1" applyProtection="1"/>
    <xf numFmtId="0" fontId="46" fillId="0" borderId="0" xfId="0" applyFont="1"/>
    <xf numFmtId="3" fontId="5" fillId="0" borderId="0" xfId="0" applyNumberFormat="1" applyFont="1" applyBorder="1"/>
    <xf numFmtId="0" fontId="0" fillId="0" borderId="49" xfId="0" applyFill="1" applyBorder="1" applyAlignment="1"/>
    <xf numFmtId="0" fontId="47" fillId="0" borderId="48" xfId="0" applyFont="1" applyFill="1" applyBorder="1" applyAlignment="1">
      <alignment horizontal="center"/>
    </xf>
    <xf numFmtId="0" fontId="0" fillId="0" borderId="50" xfId="0" applyFill="1" applyBorder="1" applyAlignment="1"/>
    <xf numFmtId="9" fontId="0" fillId="0" borderId="49" xfId="0" applyNumberFormat="1" applyFill="1" applyBorder="1" applyAlignment="1"/>
    <xf numFmtId="2" fontId="0" fillId="0" borderId="50" xfId="0" applyNumberFormat="1" applyFill="1" applyBorder="1" applyAlignment="1"/>
    <xf numFmtId="2" fontId="0" fillId="0" borderId="49" xfId="0" applyNumberFormat="1" applyFill="1" applyBorder="1" applyAlignment="1"/>
    <xf numFmtId="3" fontId="0" fillId="2" borderId="28" xfId="0" applyNumberFormat="1" applyFont="1" applyFill="1" applyBorder="1"/>
    <xf numFmtId="3" fontId="0" fillId="2" borderId="0" xfId="0" applyNumberFormat="1" applyFont="1" applyFill="1"/>
    <xf numFmtId="9" fontId="48" fillId="0" borderId="0" xfId="2" applyNumberFormat="1" applyFont="1"/>
    <xf numFmtId="170" fontId="5" fillId="0" borderId="0" xfId="2" applyNumberFormat="1" applyFont="1"/>
    <xf numFmtId="170" fontId="0" fillId="0" borderId="0" xfId="0" applyNumberFormat="1"/>
    <xf numFmtId="170" fontId="5" fillId="0" borderId="0" xfId="0" applyNumberFormat="1" applyFont="1"/>
    <xf numFmtId="170" fontId="43" fillId="0" borderId="0" xfId="0" applyNumberFormat="1" applyFont="1"/>
    <xf numFmtId="3" fontId="49" fillId="0" borderId="0" xfId="0" applyNumberFormat="1" applyFont="1" applyBorder="1" applyAlignment="1">
      <alignment wrapText="1"/>
    </xf>
    <xf numFmtId="0" fontId="50" fillId="0" borderId="32" xfId="0" applyFont="1" applyBorder="1" applyAlignment="1">
      <alignment wrapText="1"/>
    </xf>
    <xf numFmtId="3" fontId="50" fillId="0" borderId="33" xfId="0" applyNumberFormat="1" applyFont="1" applyBorder="1" applyAlignment="1">
      <alignment wrapText="1"/>
    </xf>
    <xf numFmtId="0" fontId="50" fillId="0" borderId="34" xfId="0" applyFont="1" applyBorder="1" applyAlignment="1">
      <alignment wrapText="1"/>
    </xf>
    <xf numFmtId="3" fontId="50" fillId="0" borderId="41" xfId="0" applyNumberFormat="1" applyFont="1" applyBorder="1" applyAlignment="1">
      <alignment wrapText="1"/>
    </xf>
    <xf numFmtId="0" fontId="50" fillId="0" borderId="35" xfId="0" applyFont="1" applyBorder="1" applyAlignment="1">
      <alignment wrapText="1"/>
    </xf>
    <xf numFmtId="3" fontId="50" fillId="0" borderId="42" xfId="0" applyNumberFormat="1" applyFont="1" applyBorder="1" applyAlignment="1">
      <alignment wrapText="1"/>
    </xf>
    <xf numFmtId="171" fontId="5" fillId="0" borderId="0" xfId="2" applyNumberFormat="1" applyFont="1"/>
    <xf numFmtId="37" fontId="51" fillId="0" borderId="0" xfId="0" applyNumberFormat="1" applyFont="1" applyProtection="1"/>
    <xf numFmtId="37" fontId="5" fillId="0" borderId="0" xfId="0" applyNumberFormat="1" applyFont="1" applyFill="1" applyBorder="1" applyProtection="1"/>
    <xf numFmtId="167" fontId="39" fillId="0" borderId="0" xfId="1" applyNumberFormat="1" applyFont="1"/>
    <xf numFmtId="0" fontId="52" fillId="0" borderId="31" xfId="0" applyFont="1" applyBorder="1" applyAlignment="1">
      <alignment horizontal="center"/>
    </xf>
    <xf numFmtId="0" fontId="53" fillId="0" borderId="0" xfId="0" applyFont="1"/>
    <xf numFmtId="3" fontId="53" fillId="0" borderId="0" xfId="0" applyNumberFormat="1" applyFont="1" applyBorder="1"/>
    <xf numFmtId="3" fontId="53" fillId="0" borderId="0" xfId="0" applyNumberFormat="1" applyFont="1"/>
    <xf numFmtId="9" fontId="53" fillId="0" borderId="0" xfId="2" applyFont="1"/>
    <xf numFmtId="3" fontId="53" fillId="0" borderId="0" xfId="0" applyNumberFormat="1" applyFont="1" applyFill="1"/>
    <xf numFmtId="3" fontId="53" fillId="0" borderId="0" xfId="0" applyNumberFormat="1" applyFont="1" applyFill="1" applyBorder="1"/>
    <xf numFmtId="3" fontId="53" fillId="2" borderId="0" xfId="0" applyNumberFormat="1" applyFont="1" applyFill="1"/>
    <xf numFmtId="3" fontId="53" fillId="2" borderId="0" xfId="0" applyNumberFormat="1" applyFont="1" applyFill="1" applyBorder="1"/>
    <xf numFmtId="9" fontId="53" fillId="0" borderId="0" xfId="2" applyFont="1" applyFill="1"/>
    <xf numFmtId="3" fontId="0" fillId="0" borderId="0" xfId="0" applyNumberFormat="1" applyFont="1" applyBorder="1" applyAlignment="1"/>
    <xf numFmtId="3" fontId="0" fillId="0" borderId="28" xfId="0" applyNumberFormat="1" applyFont="1" applyBorder="1" applyAlignment="1"/>
    <xf numFmtId="3" fontId="0" fillId="0" borderId="0" xfId="0" applyNumberFormat="1" applyFont="1" applyAlignment="1"/>
    <xf numFmtId="167" fontId="0" fillId="0" borderId="0" xfId="1" applyNumberFormat="1" applyFont="1" applyBorder="1"/>
    <xf numFmtId="167" fontId="34" fillId="0" borderId="0" xfId="1" applyNumberFormat="1" applyFont="1" applyProtection="1"/>
    <xf numFmtId="167" fontId="34" fillId="0" borderId="0" xfId="1" applyNumberFormat="1" applyFont="1" applyFill="1" applyProtection="1"/>
    <xf numFmtId="167" fontId="0" fillId="0" borderId="0" xfId="1" applyNumberFormat="1" applyFont="1" applyFill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Copper and Bering River districts 
Coho salmon commercial common property harvests</a:t>
            </a:r>
          </a:p>
        </c:rich>
      </c:tx>
      <c:layout>
        <c:manualLayout>
          <c:xMode val="edge"/>
          <c:yMode val="edge"/>
          <c:x val="0.24168477031974059"/>
          <c:y val="2.5219805723641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5068571040313"/>
          <c:y val="0.10890348697143522"/>
          <c:w val="0.85779778784638661"/>
          <c:h val="0.77608063873328048"/>
        </c:manualLayout>
      </c:layout>
      <c:barChart>
        <c:barDir val="col"/>
        <c:grouping val="clustered"/>
        <c:varyColors val="0"/>
        <c:ser>
          <c:idx val="1"/>
          <c:order val="0"/>
          <c:tx>
            <c:v>Copper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CBR!$A$74:$A$137</c:f>
              <c:numCache>
                <c:formatCode>General</c:formatCode>
                <c:ptCount val="6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</c:numCache>
            </c:numRef>
          </c:cat>
          <c:val>
            <c:numRef>
              <c:f>CBR!$B$74:$B$137</c:f>
              <c:numCache>
                <c:formatCode>_(* #,##0_);_(* \(#,##0\);_(* "-"??_);_(@_)</c:formatCode>
                <c:ptCount val="64"/>
                <c:pt idx="0">
                  <c:v>154418</c:v>
                </c:pt>
                <c:pt idx="1">
                  <c:v>177382</c:v>
                </c:pt>
                <c:pt idx="2">
                  <c:v>29866</c:v>
                </c:pt>
                <c:pt idx="3">
                  <c:v>157941</c:v>
                </c:pt>
                <c:pt idx="4">
                  <c:v>158208</c:v>
                </c:pt>
                <c:pt idx="5">
                  <c:v>109248</c:v>
                </c:pt>
                <c:pt idx="6">
                  <c:v>58705</c:v>
                </c:pt>
                <c:pt idx="7">
                  <c:v>81610</c:v>
                </c:pt>
                <c:pt idx="8">
                  <c:v>132259</c:v>
                </c:pt>
                <c:pt idx="9">
                  <c:v>118395</c:v>
                </c:pt>
                <c:pt idx="10">
                  <c:v>133987</c:v>
                </c:pt>
                <c:pt idx="11">
                  <c:v>174628</c:v>
                </c:pt>
                <c:pt idx="12">
                  <c:v>202621</c:v>
                </c:pt>
                <c:pt idx="13">
                  <c:v>242666</c:v>
                </c:pt>
                <c:pt idx="14">
                  <c:v>70786</c:v>
                </c:pt>
                <c:pt idx="15">
                  <c:v>116147</c:v>
                </c:pt>
                <c:pt idx="16">
                  <c:v>160532</c:v>
                </c:pt>
                <c:pt idx="17">
                  <c:v>230867</c:v>
                </c:pt>
                <c:pt idx="18">
                  <c:v>77405</c:v>
                </c:pt>
                <c:pt idx="19">
                  <c:v>161892</c:v>
                </c:pt>
                <c:pt idx="20">
                  <c:v>208915</c:v>
                </c:pt>
                <c:pt idx="21">
                  <c:v>103211</c:v>
                </c:pt>
                <c:pt idx="22">
                  <c:v>132272</c:v>
                </c:pt>
                <c:pt idx="23">
                  <c:v>46625</c:v>
                </c:pt>
                <c:pt idx="24">
                  <c:v>53805</c:v>
                </c:pt>
                <c:pt idx="25">
                  <c:v>111900</c:v>
                </c:pt>
                <c:pt idx="26">
                  <c:v>131356</c:v>
                </c:pt>
                <c:pt idx="27">
                  <c:v>220338</c:v>
                </c:pt>
                <c:pt idx="28">
                  <c:v>194885</c:v>
                </c:pt>
                <c:pt idx="29">
                  <c:v>225299</c:v>
                </c:pt>
                <c:pt idx="30">
                  <c:v>310154</c:v>
                </c:pt>
                <c:pt idx="31">
                  <c:v>454763</c:v>
                </c:pt>
                <c:pt idx="32">
                  <c:v>234243</c:v>
                </c:pt>
                <c:pt idx="33">
                  <c:v>382432</c:v>
                </c:pt>
                <c:pt idx="34">
                  <c:v>587990</c:v>
                </c:pt>
                <c:pt idx="35">
                  <c:v>295980</c:v>
                </c:pt>
                <c:pt idx="36">
                  <c:v>111599</c:v>
                </c:pt>
                <c:pt idx="37">
                  <c:v>315568</c:v>
                </c:pt>
                <c:pt idx="38">
                  <c:v>194454</c:v>
                </c:pt>
                <c:pt idx="39">
                  <c:v>246797</c:v>
                </c:pt>
                <c:pt idx="40">
                  <c:v>385086</c:v>
                </c:pt>
                <c:pt idx="41">
                  <c:v>291627</c:v>
                </c:pt>
                <c:pt idx="42">
                  <c:v>281469</c:v>
                </c:pt>
                <c:pt idx="43">
                  <c:v>677633</c:v>
                </c:pt>
                <c:pt idx="44">
                  <c:v>542658</c:v>
                </c:pt>
                <c:pt idx="45">
                  <c:v>193042</c:v>
                </c:pt>
                <c:pt idx="46">
                  <c:v>18656</c:v>
                </c:pt>
                <c:pt idx="47">
                  <c:v>108232</c:v>
                </c:pt>
                <c:pt idx="48">
                  <c:v>153061</c:v>
                </c:pt>
                <c:pt idx="49">
                  <c:v>304944</c:v>
                </c:pt>
                <c:pt idx="50">
                  <c:v>251473</c:v>
                </c:pt>
                <c:pt idx="51">
                  <c:v>538277</c:v>
                </c:pt>
                <c:pt idx="52">
                  <c:v>363489</c:v>
                </c:pt>
                <c:pt idx="53">
                  <c:v>467859</c:v>
                </c:pt>
                <c:pt idx="54">
                  <c:v>263465</c:v>
                </c:pt>
                <c:pt idx="55">
                  <c:v>312150</c:v>
                </c:pt>
                <c:pt idx="56">
                  <c:v>117182</c:v>
                </c:pt>
                <c:pt idx="57">
                  <c:v>202412</c:v>
                </c:pt>
                <c:pt idx="58">
                  <c:v>207776</c:v>
                </c:pt>
                <c:pt idx="59">
                  <c:v>210621</c:v>
                </c:pt>
                <c:pt idx="60">
                  <c:v>127502</c:v>
                </c:pt>
                <c:pt idx="61">
                  <c:v>131250</c:v>
                </c:pt>
                <c:pt idx="62">
                  <c:v>244985</c:v>
                </c:pt>
              </c:numCache>
            </c:numRef>
          </c:val>
        </c:ser>
        <c:ser>
          <c:idx val="0"/>
          <c:order val="1"/>
          <c:tx>
            <c:v>Bering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CBR!$A$74:$A$137</c:f>
              <c:numCache>
                <c:formatCode>General</c:formatCode>
                <c:ptCount val="6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</c:numCache>
            </c:numRef>
          </c:cat>
          <c:val>
            <c:numRef>
              <c:f>CBR!$C$74:$C$137</c:f>
              <c:numCache>
                <c:formatCode>_(* #,##0_);_(* \(#,##0\);_(* "-"??_);_(@_)</c:formatCode>
                <c:ptCount val="64"/>
                <c:pt idx="0">
                  <c:v>46306</c:v>
                </c:pt>
                <c:pt idx="1">
                  <c:v>13642</c:v>
                </c:pt>
                <c:pt idx="2">
                  <c:v>0</c:v>
                </c:pt>
                <c:pt idx="3">
                  <c:v>91964</c:v>
                </c:pt>
                <c:pt idx="4">
                  <c:v>70100</c:v>
                </c:pt>
                <c:pt idx="5">
                  <c:v>53484</c:v>
                </c:pt>
                <c:pt idx="6">
                  <c:v>27441</c:v>
                </c:pt>
                <c:pt idx="7">
                  <c:v>21202</c:v>
                </c:pt>
                <c:pt idx="8">
                  <c:v>58560</c:v>
                </c:pt>
                <c:pt idx="9">
                  <c:v>68255</c:v>
                </c:pt>
                <c:pt idx="10">
                  <c:v>50883</c:v>
                </c:pt>
                <c:pt idx="11">
                  <c:v>55502</c:v>
                </c:pt>
                <c:pt idx="12">
                  <c:v>87507</c:v>
                </c:pt>
                <c:pt idx="13">
                  <c:v>77360</c:v>
                </c:pt>
                <c:pt idx="14">
                  <c:v>52162</c:v>
                </c:pt>
                <c:pt idx="15">
                  <c:v>49580</c:v>
                </c:pt>
                <c:pt idx="16">
                  <c:v>46135</c:v>
                </c:pt>
                <c:pt idx="17">
                  <c:v>67310</c:v>
                </c:pt>
                <c:pt idx="18">
                  <c:v>4033</c:v>
                </c:pt>
                <c:pt idx="19">
                  <c:v>79264</c:v>
                </c:pt>
                <c:pt idx="20">
                  <c:v>88231</c:v>
                </c:pt>
                <c:pt idx="21">
                  <c:v>19825</c:v>
                </c:pt>
                <c:pt idx="22">
                  <c:v>65348</c:v>
                </c:pt>
                <c:pt idx="23">
                  <c:v>28615</c:v>
                </c:pt>
                <c:pt idx="24">
                  <c:v>24162</c:v>
                </c:pt>
                <c:pt idx="25">
                  <c:v>42423</c:v>
                </c:pt>
                <c:pt idx="26">
                  <c:v>47218</c:v>
                </c:pt>
                <c:pt idx="27">
                  <c:v>91097</c:v>
                </c:pt>
                <c:pt idx="28">
                  <c:v>114046</c:v>
                </c:pt>
                <c:pt idx="29">
                  <c:v>108872</c:v>
                </c:pt>
                <c:pt idx="30">
                  <c:v>82626</c:v>
                </c:pt>
                <c:pt idx="31">
                  <c:v>144752</c:v>
                </c:pt>
                <c:pt idx="32">
                  <c:v>117669</c:v>
                </c:pt>
                <c:pt idx="33">
                  <c:v>214632</c:v>
                </c:pt>
                <c:pt idx="34">
                  <c:v>419276</c:v>
                </c:pt>
                <c:pt idx="35">
                  <c:v>115809</c:v>
                </c:pt>
                <c:pt idx="36">
                  <c:v>15864</c:v>
                </c:pt>
                <c:pt idx="37">
                  <c:v>86539</c:v>
                </c:pt>
                <c:pt idx="38">
                  <c:v>26952</c:v>
                </c:pt>
                <c:pt idx="39">
                  <c:v>42952</c:v>
                </c:pt>
                <c:pt idx="40">
                  <c:v>110951</c:v>
                </c:pt>
                <c:pt idx="41">
                  <c:v>125616</c:v>
                </c:pt>
                <c:pt idx="42">
                  <c:v>115833</c:v>
                </c:pt>
                <c:pt idx="43">
                  <c:v>259003</c:v>
                </c:pt>
                <c:pt idx="44">
                  <c:v>282045</c:v>
                </c:pt>
                <c:pt idx="45">
                  <c:v>93763</c:v>
                </c:pt>
                <c:pt idx="46">
                  <c:v>97</c:v>
                </c:pt>
                <c:pt idx="47">
                  <c:v>12284</c:v>
                </c:pt>
                <c:pt idx="48">
                  <c:v>9852</c:v>
                </c:pt>
                <c:pt idx="49">
                  <c:v>56329</c:v>
                </c:pt>
                <c:pt idx="50">
                  <c:v>2715</c:v>
                </c:pt>
                <c:pt idx="51">
                  <c:v>108522</c:v>
                </c:pt>
                <c:pt idx="52">
                  <c:v>59481</c:v>
                </c:pt>
                <c:pt idx="53">
                  <c:v>95595</c:v>
                </c:pt>
                <c:pt idx="54">
                  <c:v>43030</c:v>
                </c:pt>
                <c:pt idx="55">
                  <c:v>29609</c:v>
                </c:pt>
                <c:pt idx="56">
                  <c:v>9305</c:v>
                </c:pt>
                <c:pt idx="57">
                  <c:v>40380</c:v>
                </c:pt>
                <c:pt idx="58">
                  <c:v>45522</c:v>
                </c:pt>
                <c:pt idx="59">
                  <c:v>80560</c:v>
                </c:pt>
                <c:pt idx="60">
                  <c:v>19956</c:v>
                </c:pt>
                <c:pt idx="61">
                  <c:v>46324</c:v>
                </c:pt>
                <c:pt idx="62">
                  <c:v>46959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48640"/>
        <c:axId val="321254912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CBR!$D$74:$D$137</c:f>
              <c:numCache>
                <c:formatCode>_(* #,##0_);_(* \(#,##0\);_(* "-"??_);_(@_)</c:formatCode>
                <c:ptCount val="64"/>
                <c:pt idx="0">
                  <c:v>200724</c:v>
                </c:pt>
                <c:pt idx="1">
                  <c:v>191024</c:v>
                </c:pt>
                <c:pt idx="2">
                  <c:v>29866</c:v>
                </c:pt>
                <c:pt idx="3">
                  <c:v>249905</c:v>
                </c:pt>
                <c:pt idx="4">
                  <c:v>228308</c:v>
                </c:pt>
                <c:pt idx="5">
                  <c:v>162732</c:v>
                </c:pt>
                <c:pt idx="6">
                  <c:v>86146</c:v>
                </c:pt>
                <c:pt idx="7">
                  <c:v>102812</c:v>
                </c:pt>
                <c:pt idx="8">
                  <c:v>190819</c:v>
                </c:pt>
                <c:pt idx="9">
                  <c:v>186650</c:v>
                </c:pt>
                <c:pt idx="10">
                  <c:v>184870</c:v>
                </c:pt>
                <c:pt idx="11">
                  <c:v>230130</c:v>
                </c:pt>
                <c:pt idx="12">
                  <c:v>290128</c:v>
                </c:pt>
                <c:pt idx="13">
                  <c:v>320026</c:v>
                </c:pt>
                <c:pt idx="14">
                  <c:v>122948</c:v>
                </c:pt>
                <c:pt idx="15">
                  <c:v>165727</c:v>
                </c:pt>
                <c:pt idx="16">
                  <c:v>206667</c:v>
                </c:pt>
                <c:pt idx="17">
                  <c:v>298177</c:v>
                </c:pt>
                <c:pt idx="18">
                  <c:v>81438</c:v>
                </c:pt>
                <c:pt idx="19">
                  <c:v>241156</c:v>
                </c:pt>
                <c:pt idx="20">
                  <c:v>297146</c:v>
                </c:pt>
                <c:pt idx="21">
                  <c:v>123036</c:v>
                </c:pt>
                <c:pt idx="22">
                  <c:v>197620</c:v>
                </c:pt>
                <c:pt idx="23">
                  <c:v>75240</c:v>
                </c:pt>
                <c:pt idx="24">
                  <c:v>77967</c:v>
                </c:pt>
                <c:pt idx="25">
                  <c:v>154323</c:v>
                </c:pt>
                <c:pt idx="26">
                  <c:v>178574</c:v>
                </c:pt>
                <c:pt idx="27">
                  <c:v>311435</c:v>
                </c:pt>
                <c:pt idx="28">
                  <c:v>308931</c:v>
                </c:pt>
                <c:pt idx="29">
                  <c:v>334171</c:v>
                </c:pt>
                <c:pt idx="30">
                  <c:v>392780</c:v>
                </c:pt>
                <c:pt idx="31">
                  <c:v>599515</c:v>
                </c:pt>
                <c:pt idx="32">
                  <c:v>351912</c:v>
                </c:pt>
                <c:pt idx="33">
                  <c:v>597064</c:v>
                </c:pt>
                <c:pt idx="34">
                  <c:v>1007266</c:v>
                </c:pt>
                <c:pt idx="35">
                  <c:v>411789</c:v>
                </c:pt>
                <c:pt idx="36">
                  <c:v>127463</c:v>
                </c:pt>
                <c:pt idx="37">
                  <c:v>402107</c:v>
                </c:pt>
                <c:pt idx="38">
                  <c:v>221406</c:v>
                </c:pt>
                <c:pt idx="39">
                  <c:v>289749</c:v>
                </c:pt>
                <c:pt idx="40">
                  <c:v>496037</c:v>
                </c:pt>
                <c:pt idx="41">
                  <c:v>417243</c:v>
                </c:pt>
                <c:pt idx="42">
                  <c:v>397302</c:v>
                </c:pt>
                <c:pt idx="43">
                  <c:v>936636</c:v>
                </c:pt>
                <c:pt idx="44">
                  <c:v>824703</c:v>
                </c:pt>
                <c:pt idx="45">
                  <c:v>286805</c:v>
                </c:pt>
                <c:pt idx="46">
                  <c:v>18753</c:v>
                </c:pt>
                <c:pt idx="47">
                  <c:v>120516</c:v>
                </c:pt>
                <c:pt idx="48">
                  <c:v>162913</c:v>
                </c:pt>
                <c:pt idx="49">
                  <c:v>361273</c:v>
                </c:pt>
                <c:pt idx="50">
                  <c:v>254188</c:v>
                </c:pt>
                <c:pt idx="51">
                  <c:v>646799</c:v>
                </c:pt>
                <c:pt idx="52">
                  <c:v>422970</c:v>
                </c:pt>
                <c:pt idx="53">
                  <c:v>563454</c:v>
                </c:pt>
                <c:pt idx="54">
                  <c:v>306495</c:v>
                </c:pt>
                <c:pt idx="55">
                  <c:v>341759</c:v>
                </c:pt>
                <c:pt idx="56">
                  <c:v>126487</c:v>
                </c:pt>
                <c:pt idx="57">
                  <c:v>242792</c:v>
                </c:pt>
                <c:pt idx="58">
                  <c:v>253298</c:v>
                </c:pt>
                <c:pt idx="59">
                  <c:v>291181</c:v>
                </c:pt>
                <c:pt idx="60">
                  <c:v>147458</c:v>
                </c:pt>
                <c:pt idx="61">
                  <c:v>177574</c:v>
                </c:pt>
                <c:pt idx="62">
                  <c:v>291944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56832"/>
        <c:axId val="321266816"/>
      </c:lineChart>
      <c:catAx>
        <c:axId val="321248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21254912"/>
        <c:crosses val="autoZero"/>
        <c:auto val="0"/>
        <c:lblAlgn val="ctr"/>
        <c:lblOffset val="100"/>
        <c:tickLblSkip val="1"/>
        <c:tickMarkSkip val="4"/>
        <c:noMultiLvlLbl val="0"/>
      </c:catAx>
      <c:valAx>
        <c:axId val="32125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Harvest</a:t>
                </a:r>
              </a:p>
            </c:rich>
          </c:tx>
          <c:layout>
            <c:manualLayout>
              <c:xMode val="edge"/>
              <c:yMode val="edge"/>
              <c:x val="4.5772904341155824E-3"/>
              <c:y val="0.439052980113820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21248640"/>
        <c:crosses val="autoZero"/>
        <c:crossBetween val="between"/>
      </c:valAx>
      <c:catAx>
        <c:axId val="32125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21266816"/>
        <c:crosses val="autoZero"/>
        <c:auto val="0"/>
        <c:lblAlgn val="ctr"/>
        <c:lblOffset val="100"/>
        <c:noMultiLvlLbl val="0"/>
      </c:catAx>
      <c:valAx>
        <c:axId val="32126681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3212568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45039885281515"/>
          <c:y val="6.122771631038082E-2"/>
          <c:w val="0.14189823600294238"/>
          <c:h val="0.170806559147952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Three-year Moving Average</a:t>
            </a:r>
          </a:p>
        </c:rich>
      </c:tx>
      <c:layout>
        <c:manualLayout>
          <c:xMode val="edge"/>
          <c:yMode val="edge"/>
          <c:x val="0.324657870147184"/>
          <c:y val="3.2452766460492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75393139556962"/>
          <c:y val="0.11358491379936449"/>
          <c:w val="0.78230804748154015"/>
          <c:h val="0.67610067737716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Harvest_based!$A$11:$A$48</c:f>
              <c:numCache>
                <c:formatCode>General</c:formatCode>
                <c:ptCount val="3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</c:numCache>
            </c:numRef>
          </c:cat>
          <c:val>
            <c:numRef>
              <c:f>Harvest_based!$Q$11:$Q$51</c:f>
              <c:numCache>
                <c:formatCode>#,##0_);[Red]\(#,##0\)</c:formatCode>
                <c:ptCount val="41"/>
                <c:pt idx="0">
                  <c:v>25734</c:v>
                </c:pt>
                <c:pt idx="1">
                  <c:v>101507.66666666666</c:v>
                </c:pt>
                <c:pt idx="2">
                  <c:v>40231</c:v>
                </c:pt>
                <c:pt idx="3">
                  <c:v>-34332.666666666672</c:v>
                </c:pt>
                <c:pt idx="4">
                  <c:v>-60579.333333333328</c:v>
                </c:pt>
                <c:pt idx="5">
                  <c:v>-121317.66666666667</c:v>
                </c:pt>
                <c:pt idx="6">
                  <c:v>-40353.666666666657</c:v>
                </c:pt>
                <c:pt idx="7">
                  <c:v>-43106</c:v>
                </c:pt>
                <c:pt idx="8">
                  <c:v>-96646.666666666657</c:v>
                </c:pt>
                <c:pt idx="9">
                  <c:v>-211317</c:v>
                </c:pt>
                <c:pt idx="10">
                  <c:v>95829</c:v>
                </c:pt>
                <c:pt idx="11">
                  <c:v>-49378.666666666686</c:v>
                </c:pt>
                <c:pt idx="12">
                  <c:v>-230844</c:v>
                </c:pt>
                <c:pt idx="13">
                  <c:v>105575</c:v>
                </c:pt>
                <c:pt idx="14">
                  <c:v>310535</c:v>
                </c:pt>
                <c:pt idx="15">
                  <c:v>16288.333333333314</c:v>
                </c:pt>
                <c:pt idx="16">
                  <c:v>46595</c:v>
                </c:pt>
                <c:pt idx="17">
                  <c:v>-39590</c:v>
                </c:pt>
                <c:pt idx="18">
                  <c:v>-132813</c:v>
                </c:pt>
                <c:pt idx="19">
                  <c:v>-16181.333333333314</c:v>
                </c:pt>
                <c:pt idx="20">
                  <c:v>26367.666666666686</c:v>
                </c:pt>
                <c:pt idx="21">
                  <c:v>-358239</c:v>
                </c:pt>
                <c:pt idx="22">
                  <c:v>-125748.33333333331</c:v>
                </c:pt>
                <c:pt idx="23">
                  <c:v>307544.66666666669</c:v>
                </c:pt>
                <c:pt idx="24">
                  <c:v>452455</c:v>
                </c:pt>
                <c:pt idx="25">
                  <c:v>143220</c:v>
                </c:pt>
                <c:pt idx="26">
                  <c:v>-46417.666666666672</c:v>
                </c:pt>
                <c:pt idx="27">
                  <c:v>-211627.66666666669</c:v>
                </c:pt>
                <c:pt idx="28">
                  <c:v>-62727.333333333343</c:v>
                </c:pt>
                <c:pt idx="29">
                  <c:v>-301784.33333333337</c:v>
                </c:pt>
                <c:pt idx="30">
                  <c:v>1409</c:v>
                </c:pt>
                <c:pt idx="31">
                  <c:v>-83446</c:v>
                </c:pt>
                <c:pt idx="32">
                  <c:v>193076.66666666669</c:v>
                </c:pt>
                <c:pt idx="33">
                  <c:v>52787.666666666686</c:v>
                </c:pt>
                <c:pt idx="34">
                  <c:v>230642.66666666669</c:v>
                </c:pt>
                <c:pt idx="35">
                  <c:v>28520.333333333343</c:v>
                </c:pt>
                <c:pt idx="36">
                  <c:v>2805.333333333343</c:v>
                </c:pt>
                <c:pt idx="37">
                  <c:v>-34831</c:v>
                </c:pt>
                <c:pt idx="38">
                  <c:v>79434.333333333343</c:v>
                </c:pt>
                <c:pt idx="39">
                  <c:v>50716.333333333343</c:v>
                </c:pt>
                <c:pt idx="40">
                  <c:v>-88527.333333333343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33824"/>
        <c:axId val="321692416"/>
      </c:lineChart>
      <c:catAx>
        <c:axId val="3215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 Year</a:t>
                </a:r>
              </a:p>
            </c:rich>
          </c:tx>
          <c:layout>
            <c:manualLayout>
              <c:xMode val="edge"/>
              <c:yMode val="edge"/>
              <c:x val="0.51045595491039819"/>
              <c:y val="0.89786184233673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692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216924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Forecast Error</a:t>
                </a:r>
              </a:p>
            </c:rich>
          </c:tx>
          <c:layout>
            <c:manualLayout>
              <c:xMode val="edge"/>
              <c:yMode val="edge"/>
              <c:x val="3.3248105891525465E-2"/>
              <c:y val="0.33534609782356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533824"/>
        <c:crosses val="autoZero"/>
        <c:crossBetween val="between"/>
        <c:majorUnit val="15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Five-year Moving Average</a:t>
            </a:r>
          </a:p>
        </c:rich>
      </c:tx>
      <c:layout>
        <c:manualLayout>
          <c:xMode val="edge"/>
          <c:yMode val="edge"/>
          <c:x val="0.33443659133052056"/>
          <c:y val="2.86752267265074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75393139556962"/>
          <c:y val="7.9278703484833388E-2"/>
          <c:w val="0.78230804748154015"/>
          <c:h val="0.791100253923124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Harvest_based!$A$14:$A$49</c:f>
              <c:numCache>
                <c:formatCode>General</c:formatCode>
                <c:ptCount val="3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</c:numCache>
            </c:numRef>
          </c:cat>
          <c:val>
            <c:numRef>
              <c:f>Harvest_based!$R$14:$R$51</c:f>
              <c:numCache>
                <c:formatCode>#,##0_);[Red]\(#,##0\)</c:formatCode>
                <c:ptCount val="38"/>
                <c:pt idx="0">
                  <c:v>-2934.3999999999942</c:v>
                </c:pt>
                <c:pt idx="1">
                  <c:v>-41793.399999999994</c:v>
                </c:pt>
                <c:pt idx="2">
                  <c:v>-125146.4</c:v>
                </c:pt>
                <c:pt idx="3">
                  <c:v>-82080.2</c:v>
                </c:pt>
                <c:pt idx="4">
                  <c:v>-82842.200000000012</c:v>
                </c:pt>
                <c:pt idx="5">
                  <c:v>-133398.39999999999</c:v>
                </c:pt>
                <c:pt idx="6">
                  <c:v>-238356.6</c:v>
                </c:pt>
                <c:pt idx="7">
                  <c:v>46844.799999999988</c:v>
                </c:pt>
                <c:pt idx="8">
                  <c:v>-98563.200000000012</c:v>
                </c:pt>
                <c:pt idx="9">
                  <c:v>-266611.8</c:v>
                </c:pt>
                <c:pt idx="10">
                  <c:v>97936.400000000023</c:v>
                </c:pt>
                <c:pt idx="11">
                  <c:v>279482.59999999998</c:v>
                </c:pt>
                <c:pt idx="12">
                  <c:v>6880.7999999999884</c:v>
                </c:pt>
                <c:pt idx="13">
                  <c:v>144259.79999999999</c:v>
                </c:pt>
                <c:pt idx="14">
                  <c:v>54321.200000000012</c:v>
                </c:pt>
                <c:pt idx="15">
                  <c:v>-152206.39999999999</c:v>
                </c:pt>
                <c:pt idx="16">
                  <c:v>-40926.200000000012</c:v>
                </c:pt>
                <c:pt idx="17">
                  <c:v>5237.4000000000233</c:v>
                </c:pt>
                <c:pt idx="18">
                  <c:v>-397746.4</c:v>
                </c:pt>
                <c:pt idx="19">
                  <c:v>-166135.59999999998</c:v>
                </c:pt>
                <c:pt idx="20">
                  <c:v>242652.59999999998</c:v>
                </c:pt>
                <c:pt idx="21">
                  <c:v>378629.8</c:v>
                </c:pt>
                <c:pt idx="22">
                  <c:v>234459.59999999998</c:v>
                </c:pt>
                <c:pt idx="23">
                  <c:v>154983.20000000001</c:v>
                </c:pt>
                <c:pt idx="24">
                  <c:v>-101814.20000000001</c:v>
                </c:pt>
                <c:pt idx="25">
                  <c:v>-95886</c:v>
                </c:pt>
                <c:pt idx="26">
                  <c:v>-371003.8</c:v>
                </c:pt>
                <c:pt idx="27">
                  <c:v>-92291.599999999977</c:v>
                </c:pt>
                <c:pt idx="28">
                  <c:v>-145610.20000000001</c:v>
                </c:pt>
                <c:pt idx="29">
                  <c:v>121743.40000000002</c:v>
                </c:pt>
                <c:pt idx="30">
                  <c:v>64762.599999999977</c:v>
                </c:pt>
                <c:pt idx="31">
                  <c:v>271866</c:v>
                </c:pt>
                <c:pt idx="32">
                  <c:v>102417</c:v>
                </c:pt>
                <c:pt idx="33">
                  <c:v>64837.599999999977</c:v>
                </c:pt>
                <c:pt idx="34">
                  <c:v>9976</c:v>
                </c:pt>
                <c:pt idx="35">
                  <c:v>82526.200000000012</c:v>
                </c:pt>
                <c:pt idx="36">
                  <c:v>41848.600000000006</c:v>
                </c:pt>
                <c:pt idx="37">
                  <c:v>-69072.799999999988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42304"/>
        <c:axId val="476244608"/>
      </c:lineChart>
      <c:catAx>
        <c:axId val="4762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 Year</a:t>
                </a:r>
              </a:p>
            </c:rich>
          </c:tx>
          <c:layout>
            <c:manualLayout>
              <c:xMode val="edge"/>
              <c:yMode val="edge"/>
              <c:x val="0.51045610766231009"/>
              <c:y val="0.93785024763978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244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7624460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Forecast Error</a:t>
                </a:r>
              </a:p>
            </c:rich>
          </c:tx>
          <c:layout>
            <c:manualLayout>
              <c:xMode val="edge"/>
              <c:yMode val="edge"/>
              <c:x val="3.3248113610372082E-2"/>
              <c:y val="0.40145388234565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242304"/>
        <c:crosses val="autoZero"/>
        <c:crossBetween val="between"/>
        <c:majorUnit val="15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Ten-year Moving Average</a:t>
            </a:r>
          </a:p>
        </c:rich>
      </c:tx>
      <c:layout>
        <c:manualLayout>
          <c:xMode val="edge"/>
          <c:yMode val="edge"/>
          <c:x val="0.33646247959162584"/>
          <c:y val="3.245292707976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89125696123868"/>
          <c:y val="0.11358491379936449"/>
          <c:w val="0.7811440522251224"/>
          <c:h val="0.678805080086678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Harvest_based!$A$18:$A$43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cat>
          <c:val>
            <c:numRef>
              <c:f>Harvest_based!$S$18:$S$51</c:f>
              <c:numCache>
                <c:formatCode>#,##0_);[Red]\(#,##0\)</c:formatCode>
                <c:ptCount val="34"/>
                <c:pt idx="0">
                  <c:v>-88779.1</c:v>
                </c:pt>
                <c:pt idx="1">
                  <c:v>-167293.4</c:v>
                </c:pt>
                <c:pt idx="2">
                  <c:v>-301778.5</c:v>
                </c:pt>
                <c:pt idx="3">
                  <c:v>-46103.299999999988</c:v>
                </c:pt>
                <c:pt idx="4">
                  <c:v>-184095.2</c:v>
                </c:pt>
                <c:pt idx="5">
                  <c:v>-356072.5</c:v>
                </c:pt>
                <c:pt idx="6">
                  <c:v>-10644</c:v>
                </c:pt>
                <c:pt idx="7">
                  <c:v>192145</c:v>
                </c:pt>
                <c:pt idx="8">
                  <c:v>-13799.700000000012</c:v>
                </c:pt>
                <c:pt idx="9">
                  <c:v>116837.29999999999</c:v>
                </c:pt>
                <c:pt idx="10">
                  <c:v>64451.200000000012</c:v>
                </c:pt>
                <c:pt idx="11">
                  <c:v>-71688</c:v>
                </c:pt>
                <c:pt idx="12">
                  <c:v>29264.200000000012</c:v>
                </c:pt>
                <c:pt idx="13">
                  <c:v>23108.599999999977</c:v>
                </c:pt>
                <c:pt idx="14">
                  <c:v>-368332.79999999999</c:v>
                </c:pt>
                <c:pt idx="15">
                  <c:v>-203837.7</c:v>
                </c:pt>
                <c:pt idx="16">
                  <c:v>141245.09999999998</c:v>
                </c:pt>
                <c:pt idx="17">
                  <c:v>305337.3</c:v>
                </c:pt>
                <c:pt idx="18">
                  <c:v>206467</c:v>
                </c:pt>
                <c:pt idx="19">
                  <c:v>140904.40000000002</c:v>
                </c:pt>
                <c:pt idx="20">
                  <c:v>-15117.900000000023</c:v>
                </c:pt>
                <c:pt idx="21">
                  <c:v>44167.799999999988</c:v>
                </c:pt>
                <c:pt idx="22">
                  <c:v>-255997.5</c:v>
                </c:pt>
                <c:pt idx="23">
                  <c:v>-56544.5</c:v>
                </c:pt>
                <c:pt idx="24">
                  <c:v>-152712.5</c:v>
                </c:pt>
                <c:pt idx="25">
                  <c:v>30704.099999999977</c:v>
                </c:pt>
                <c:pt idx="26">
                  <c:v>-45900.200000000012</c:v>
                </c:pt>
                <c:pt idx="27">
                  <c:v>160978.59999999998</c:v>
                </c:pt>
                <c:pt idx="28">
                  <c:v>85601.200000000012</c:v>
                </c:pt>
                <c:pt idx="29">
                  <c:v>89655.200000000012</c:v>
                </c:pt>
                <c:pt idx="30">
                  <c:v>92281.700000000012</c:v>
                </c:pt>
                <c:pt idx="31">
                  <c:v>165968.40000000002</c:v>
                </c:pt>
                <c:pt idx="32">
                  <c:v>149823.29999999999</c:v>
                </c:pt>
                <c:pt idx="33">
                  <c:v>-4614.3999999999942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44352"/>
        <c:axId val="477455104"/>
      </c:lineChart>
      <c:catAx>
        <c:axId val="477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 Year</a:t>
                </a:r>
              </a:p>
            </c:rich>
          </c:tx>
          <c:layout>
            <c:manualLayout>
              <c:xMode val="edge"/>
              <c:yMode val="edge"/>
              <c:x val="0.50961291255915842"/>
              <c:y val="0.90056601620449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455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7745510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Forecast Error</a:t>
                </a:r>
              </a:p>
            </c:rich>
          </c:tx>
          <c:layout>
            <c:manualLayout>
              <c:xMode val="edge"/>
              <c:yMode val="edge"/>
              <c:x val="3.3449480232293799E-2"/>
              <c:y val="0.33534605728631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444352"/>
        <c:crosses val="autoZero"/>
        <c:crossBetween val="between"/>
        <c:majorUnit val="15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Twenty-year Moving Average</a:t>
            </a:r>
          </a:p>
        </c:rich>
      </c:tx>
      <c:layout>
        <c:manualLayout>
          <c:xMode val="edge"/>
          <c:yMode val="edge"/>
          <c:x val="0.31481885630437928"/>
          <c:y val="2.8600861166863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89125696123868"/>
          <c:y val="7.9073391552366534E-2"/>
          <c:w val="0.7811440522251224"/>
          <c:h val="0.790733915523665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Harvest_based!$A$28:$A$43</c:f>
              <c:numCache>
                <c:formatCode>General</c:formatCode>
                <c:ptCount val="1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</c:numCache>
            </c:numRef>
          </c:cat>
          <c:val>
            <c:numRef>
              <c:f>Harvest_based!$T$28:$T$51</c:f>
              <c:numCache>
                <c:formatCode>#,##0_);[Red]\(#,##0\)</c:formatCode>
                <c:ptCount val="24"/>
                <c:pt idx="0">
                  <c:v>-22912.950000000012</c:v>
                </c:pt>
                <c:pt idx="1">
                  <c:v>-156956.70000000001</c:v>
                </c:pt>
                <c:pt idx="2">
                  <c:v>-54689.149999999994</c:v>
                </c:pt>
                <c:pt idx="3">
                  <c:v>-35110.350000000006</c:v>
                </c:pt>
                <c:pt idx="4">
                  <c:v>-423814.5</c:v>
                </c:pt>
                <c:pt idx="5">
                  <c:v>-257289.09999999998</c:v>
                </c:pt>
                <c:pt idx="6">
                  <c:v>116769.54999999999</c:v>
                </c:pt>
                <c:pt idx="7">
                  <c:v>295212.65000000002</c:v>
                </c:pt>
                <c:pt idx="8">
                  <c:v>200001.65000000002</c:v>
                </c:pt>
                <c:pt idx="9">
                  <c:v>149567.34999999998</c:v>
                </c:pt>
                <c:pt idx="10">
                  <c:v>-4406.8499999999767</c:v>
                </c:pt>
                <c:pt idx="11">
                  <c:v>53046.400000000023</c:v>
                </c:pt>
                <c:pt idx="12">
                  <c:v>-236691.65000000002</c:v>
                </c:pt>
                <c:pt idx="13">
                  <c:v>-57727.950000000012</c:v>
                </c:pt>
                <c:pt idx="14">
                  <c:v>-155635.65000000002</c:v>
                </c:pt>
                <c:pt idx="15">
                  <c:v>53029.700000000012</c:v>
                </c:pt>
                <c:pt idx="16">
                  <c:v>-11881.549999999988</c:v>
                </c:pt>
                <c:pt idx="17">
                  <c:v>183894.95</c:v>
                </c:pt>
                <c:pt idx="18">
                  <c:v>98944.099999999977</c:v>
                </c:pt>
                <c:pt idx="19">
                  <c:v>87922.299999999988</c:v>
                </c:pt>
                <c:pt idx="20">
                  <c:v>85743.400000000023</c:v>
                </c:pt>
                <c:pt idx="21">
                  <c:v>167053.59999999998</c:v>
                </c:pt>
                <c:pt idx="22">
                  <c:v>150426.40000000002</c:v>
                </c:pt>
                <c:pt idx="23">
                  <c:v>28672.549999999988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75584"/>
        <c:axId val="477477888"/>
      </c:lineChart>
      <c:catAx>
        <c:axId val="4774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 Year</a:t>
                </a:r>
              </a:p>
            </c:rich>
          </c:tx>
          <c:layout>
            <c:manualLayout>
              <c:xMode val="edge"/>
              <c:yMode val="edge"/>
              <c:x val="0.50961291255915842"/>
              <c:y val="0.937103768891633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4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4778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Forecast Error</a:t>
                </a:r>
              </a:p>
            </c:rich>
          </c:tx>
          <c:layout>
            <c:manualLayout>
              <c:xMode val="edge"/>
              <c:yMode val="edge"/>
              <c:x val="3.3449480232293799E-2"/>
              <c:y val="0.402096478136311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475584"/>
        <c:crosses val="autoZero"/>
        <c:crossBetween val="between"/>
        <c:majorUnit val="15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0</xdr:row>
      <xdr:rowOff>161925</xdr:rowOff>
    </xdr:from>
    <xdr:to>
      <xdr:col>5</xdr:col>
      <xdr:colOff>704850</xdr:colOff>
      <xdr:row>2</xdr:row>
      <xdr:rowOff>69850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2619376" y="161925"/>
          <a:ext cx="1895474" cy="393700"/>
        </a:xfrm>
        <a:prstGeom prst="rightArrow">
          <a:avLst>
            <a:gd name="adj1" fmla="val 50000"/>
            <a:gd name="adj2" fmla="val 53750"/>
          </a:avLst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>
          <a:noFill/>
          <a:miter lim="800000"/>
          <a:headEnd/>
          <a:tailEnd/>
        </a:ln>
        <a:effectLst>
          <a:glow rad="228600">
            <a:schemeClr val="accent2">
              <a:satMod val="175000"/>
              <a:alpha val="40000"/>
            </a:schemeClr>
          </a:glow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103</xdr:row>
      <xdr:rowOff>28575</xdr:rowOff>
    </xdr:from>
    <xdr:to>
      <xdr:col>30</xdr:col>
      <xdr:colOff>85725</xdr:colOff>
      <xdr:row>148</xdr:row>
      <xdr:rowOff>152400</xdr:rowOff>
    </xdr:to>
    <xdr:graphicFrame macro="">
      <xdr:nvGraphicFramePr>
        <xdr:cNvPr id="14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152</xdr:row>
      <xdr:rowOff>19050</xdr:rowOff>
    </xdr:from>
    <xdr:to>
      <xdr:col>13</xdr:col>
      <xdr:colOff>504825</xdr:colOff>
      <xdr:row>166</xdr:row>
      <xdr:rowOff>114300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33350" y="12315825"/>
          <a:ext cx="13735050" cy="2762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Forecast to be the average harvest, 1981-2004 and the ???% Prediction interval.  This should be refered to as a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prediction interval</a:t>
          </a:r>
          <a:r>
            <a:rPr lang="en-US" sz="1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rather than a confidence interval because we are not interested in estimating a population parameter (mean), but in the prediction of a single future observation (a random variable).   The prediction interval should be interpreted to mean :  the limits within which we can say with a given degree of confidence (100(1-</a:t>
          </a:r>
          <a:r>
            <a:rPr lang="en-US" sz="1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1800" b="0" i="0" u="none" strike="noStrike" baseline="0">
              <a:solidFill>
                <a:srgbClr val="000000"/>
              </a:solidFill>
              <a:latin typeface="Symbol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)% confidence) that they will contain a future observation ; or if we add new observations (new harvest totals)  and recalculate the prediction interval,  in the long run the resulting intervals will contain the future values 100(1- </a:t>
          </a:r>
          <a:r>
            <a:rPr lang="en-US" sz="1800" b="0" i="0" u="none" strike="noStrike" baseline="0">
              <a:solidFill>
                <a:srgbClr val="000000"/>
              </a:solidFill>
              <a:latin typeface="Symbol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)% of the time.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See Devore pg 482 or Freund pg 420 for explanation of prediction intervals in a linear regression context.</a:t>
          </a:r>
        </a:p>
      </xdr:txBody>
    </xdr:sp>
    <xdr:clientData fPrintsWithSheet="0"/>
  </xdr:twoCellAnchor>
  <xdr:twoCellAnchor>
    <xdr:from>
      <xdr:col>1</xdr:col>
      <xdr:colOff>800100</xdr:colOff>
      <xdr:row>148</xdr:row>
      <xdr:rowOff>114300</xdr:rowOff>
    </xdr:from>
    <xdr:to>
      <xdr:col>1</xdr:col>
      <xdr:colOff>1133475</xdr:colOff>
      <xdr:row>152</xdr:row>
      <xdr:rowOff>19050</xdr:rowOff>
    </xdr:to>
    <xdr:sp macro="" textlink="">
      <xdr:nvSpPr>
        <xdr:cNvPr id="1454" name="Line 6"/>
        <xdr:cNvSpPr>
          <a:spLocks noChangeShapeType="1"/>
        </xdr:cNvSpPr>
      </xdr:nvSpPr>
      <xdr:spPr bwMode="auto">
        <a:xfrm flipH="1" flipV="1">
          <a:off x="2257425" y="24888825"/>
          <a:ext cx="33337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438150</xdr:colOff>
      <xdr:row>16</xdr:row>
      <xdr:rowOff>142875</xdr:rowOff>
    </xdr:from>
    <xdr:to>
      <xdr:col>38</xdr:col>
      <xdr:colOff>390525</xdr:colOff>
      <xdr:row>35</xdr:row>
      <xdr:rowOff>76200</xdr:rowOff>
    </xdr:to>
    <xdr:graphicFrame macro="">
      <xdr:nvGraphicFramePr>
        <xdr:cNvPr id="464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714375</xdr:colOff>
      <xdr:row>65</xdr:row>
      <xdr:rowOff>47625</xdr:rowOff>
    </xdr:from>
    <xdr:to>
      <xdr:col>28</xdr:col>
      <xdr:colOff>438150</xdr:colOff>
      <xdr:row>93</xdr:row>
      <xdr:rowOff>66675</xdr:rowOff>
    </xdr:to>
    <xdr:graphicFrame macro="">
      <xdr:nvGraphicFramePr>
        <xdr:cNvPr id="464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295275</xdr:colOff>
      <xdr:row>6</xdr:row>
      <xdr:rowOff>219075</xdr:rowOff>
    </xdr:from>
    <xdr:to>
      <xdr:col>41</xdr:col>
      <xdr:colOff>561975</xdr:colOff>
      <xdr:row>25</xdr:row>
      <xdr:rowOff>66675</xdr:rowOff>
    </xdr:to>
    <xdr:graphicFrame macro="">
      <xdr:nvGraphicFramePr>
        <xdr:cNvPr id="464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295275</xdr:colOff>
      <xdr:row>25</xdr:row>
      <xdr:rowOff>76200</xdr:rowOff>
    </xdr:from>
    <xdr:to>
      <xdr:col>41</xdr:col>
      <xdr:colOff>561975</xdr:colOff>
      <xdr:row>56</xdr:row>
      <xdr:rowOff>161925</xdr:rowOff>
    </xdr:to>
    <xdr:graphicFrame macro="">
      <xdr:nvGraphicFramePr>
        <xdr:cNvPr id="464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29</xdr:row>
      <xdr:rowOff>155575</xdr:rowOff>
    </xdr:from>
    <xdr:to>
      <xdr:col>17</xdr:col>
      <xdr:colOff>476250</xdr:colOff>
      <xdr:row>47</xdr:row>
      <xdr:rowOff>127000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6889750" y="5718175"/>
          <a:ext cx="6858000" cy="3400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COMPLETE THIS SHEET, SIMPLY GO TO DATA --&gt; SOLVER.    THE ONLY THING THAT NEEDS TO BE DONE IS SWITCHING THE "SET TARGET CELL:"  BETWEEN MEAN ABSOLUTE ERROR (MAE) AND THEN MEAN ABSOLUTE PERCENTAGE ERROR (MAPE).  OBTAIN FORECAST ESTIMATES &amp; MAE and MAPE VALUES USING BOTH OF THESE METHODS AND PASTE THESE VALUES INTO THE 'FORECASTS SUMMARY' TAB.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="115" zoomScaleNormal="115" workbookViewId="0">
      <selection activeCell="G2" sqref="G2"/>
    </sheetView>
  </sheetViews>
  <sheetFormatPr defaultRowHeight="15"/>
  <sheetData>
    <row r="2" spans="1:7" ht="23.25">
      <c r="A2" t="s">
        <v>244</v>
      </c>
      <c r="B2" t="s">
        <v>199</v>
      </c>
      <c r="G2" s="292">
        <v>2014</v>
      </c>
    </row>
    <row r="5" spans="1:7">
      <c r="A5" t="s">
        <v>245</v>
      </c>
      <c r="B5" t="s">
        <v>246</v>
      </c>
    </row>
    <row r="8" spans="1:7">
      <c r="A8" t="s">
        <v>248</v>
      </c>
      <c r="B8" t="s">
        <v>249</v>
      </c>
    </row>
    <row r="9" spans="1:7">
      <c r="B9" t="s">
        <v>250</v>
      </c>
    </row>
    <row r="11" spans="1:7">
      <c r="A11" t="s">
        <v>251</v>
      </c>
      <c r="B11" t="s">
        <v>252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zoomScale="75" workbookViewId="0">
      <pane ySplit="7" topLeftCell="A26" activePane="bottomLeft" state="frozen"/>
      <selection pane="bottomLeft" activeCell="P59" sqref="P59"/>
    </sheetView>
  </sheetViews>
  <sheetFormatPr defaultRowHeight="15"/>
  <cols>
    <col min="2" max="2" width="12.44140625" customWidth="1"/>
    <col min="3" max="3" width="1.77734375" customWidth="1"/>
    <col min="4" max="4" width="11.33203125" bestFit="1" customWidth="1"/>
    <col min="8" max="8" width="9.77734375" customWidth="1"/>
    <col min="9" max="9" width="1.77734375" customWidth="1"/>
    <col min="15" max="15" width="1.77734375" customWidth="1"/>
  </cols>
  <sheetData>
    <row r="1" spans="1:20">
      <c r="A1" s="105" t="str">
        <f ca="1">CELL("filename",A1)</f>
        <v>O:\DCF\SALMON\FORECAST\2014\[2014_Copper_&amp;_ Bering_Wild_Coho_FINAL.xlsx]Lag1_Exp_smoothing</v>
      </c>
    </row>
    <row r="3" spans="1:20" ht="15.75">
      <c r="A3" s="111" t="s">
        <v>111</v>
      </c>
      <c r="B3" s="111" t="s">
        <v>124</v>
      </c>
    </row>
    <row r="4" spans="1:20" ht="15.75">
      <c r="A4" s="111"/>
      <c r="B4" s="111" t="s">
        <v>193</v>
      </c>
    </row>
    <row r="5" spans="1:20">
      <c r="A5" s="87"/>
      <c r="B5" s="87"/>
      <c r="C5" s="87"/>
    </row>
    <row r="6" spans="1:20">
      <c r="A6" s="90" t="s">
        <v>70</v>
      </c>
      <c r="B6" s="92" t="s">
        <v>117</v>
      </c>
      <c r="D6" s="101" t="s">
        <v>119</v>
      </c>
      <c r="E6" s="101"/>
      <c r="F6" s="101"/>
      <c r="G6" s="101"/>
      <c r="H6" s="101"/>
      <c r="J6" s="101" t="s">
        <v>120</v>
      </c>
      <c r="K6" s="101"/>
      <c r="L6" s="101"/>
      <c r="M6" s="101"/>
      <c r="N6" s="101"/>
      <c r="P6" s="101" t="s">
        <v>151</v>
      </c>
      <c r="Q6" s="101"/>
      <c r="R6" s="101"/>
      <c r="S6" s="101"/>
      <c r="T6" s="101"/>
    </row>
    <row r="7" spans="1:20">
      <c r="A7" s="91" t="s">
        <v>19</v>
      </c>
      <c r="B7" s="93" t="s">
        <v>118</v>
      </c>
      <c r="C7" s="87"/>
      <c r="D7" s="87">
        <v>0.1</v>
      </c>
      <c r="E7" s="87">
        <v>0.2</v>
      </c>
      <c r="F7" s="87">
        <v>0.3</v>
      </c>
      <c r="G7" s="87">
        <v>0.4</v>
      </c>
      <c r="H7" s="87">
        <v>0.5</v>
      </c>
      <c r="J7" s="87">
        <v>0.1</v>
      </c>
      <c r="K7" s="87">
        <v>0.2</v>
      </c>
      <c r="L7" s="87">
        <v>0.3</v>
      </c>
      <c r="M7" s="87">
        <v>0.4</v>
      </c>
      <c r="N7" s="87">
        <v>0.5</v>
      </c>
      <c r="P7" s="87">
        <v>0.1</v>
      </c>
      <c r="Q7" s="87">
        <v>0.2</v>
      </c>
      <c r="R7" s="87">
        <v>0.3</v>
      </c>
      <c r="S7" s="87">
        <v>0.4</v>
      </c>
      <c r="T7" s="87">
        <v>0.5</v>
      </c>
    </row>
    <row r="8" spans="1:20">
      <c r="A8" s="90">
        <v>1970</v>
      </c>
      <c r="B8" s="73">
        <f>CBR!B93</f>
        <v>161892</v>
      </c>
      <c r="D8" s="103"/>
    </row>
    <row r="9" spans="1:20">
      <c r="A9" s="90">
        <v>1971</v>
      </c>
      <c r="B9" s="73">
        <f>CBR!B94</f>
        <v>208915</v>
      </c>
      <c r="D9" s="106">
        <f>$B8</f>
        <v>161892</v>
      </c>
      <c r="E9" s="106">
        <f>$B8</f>
        <v>161892</v>
      </c>
      <c r="F9" s="106">
        <f>$B8</f>
        <v>161892</v>
      </c>
      <c r="G9" s="106">
        <f>$B8</f>
        <v>161892</v>
      </c>
      <c r="H9" s="106">
        <f>$B8</f>
        <v>161892</v>
      </c>
      <c r="J9" s="80"/>
      <c r="K9" s="80"/>
      <c r="L9" s="80"/>
      <c r="M9" s="80"/>
      <c r="N9" s="80"/>
      <c r="P9" s="188"/>
      <c r="Q9" s="188"/>
      <c r="R9" s="188"/>
      <c r="S9" s="188"/>
      <c r="T9" s="188"/>
    </row>
    <row r="10" spans="1:20">
      <c r="A10" s="90">
        <v>1972</v>
      </c>
      <c r="B10" s="73">
        <f>CBR!B95</f>
        <v>103211</v>
      </c>
      <c r="D10" s="80">
        <f>0.9*$B9+D$7*D9</f>
        <v>204212.7</v>
      </c>
      <c r="E10" s="80">
        <f>0.9*$B9+E$7*E9</f>
        <v>220401.9</v>
      </c>
      <c r="F10" s="80">
        <f>0.9*$B9+F$7*F9</f>
        <v>236591.1</v>
      </c>
      <c r="G10" s="80">
        <f>0.9*$B9+G$7*G9</f>
        <v>252780.3</v>
      </c>
      <c r="H10" s="80">
        <f>0.9*$B9+H$7*H9</f>
        <v>268969.5</v>
      </c>
      <c r="J10" s="80">
        <f>ABS(D10-$B10)</f>
        <v>101001.70000000001</v>
      </c>
      <c r="K10" s="80">
        <f>ABS(E10-$B10)</f>
        <v>117190.9</v>
      </c>
      <c r="L10" s="80">
        <f>ABS(F10-$B10)</f>
        <v>133380.1</v>
      </c>
      <c r="M10" s="80">
        <f>ABS(G10-$B10)</f>
        <v>149569.29999999999</v>
      </c>
      <c r="N10" s="80">
        <f>ABS(H10-$B10)</f>
        <v>165758.5</v>
      </c>
      <c r="P10" s="188">
        <f t="shared" ref="P10:P42" si="0">ABS(($B10-D10)/$B10)</f>
        <v>0.97859433587505218</v>
      </c>
      <c r="Q10" s="188">
        <f t="shared" ref="Q10:Q42" si="1">ABS(($B10-E10)/$B10)</f>
        <v>1.1354497098177518</v>
      </c>
      <c r="R10" s="188">
        <f t="shared" ref="R10:R42" si="2">ABS(($B10-F10)/$B10)</f>
        <v>1.2923050837604519</v>
      </c>
      <c r="S10" s="188">
        <f t="shared" ref="S10:S42" si="3">ABS(($B10-G10)/$B10)</f>
        <v>1.4491604577031516</v>
      </c>
      <c r="T10" s="188">
        <f t="shared" ref="T10:T42" si="4">ABS(($B10-H10)/$B10)</f>
        <v>1.6060158316458517</v>
      </c>
    </row>
    <row r="11" spans="1:20">
      <c r="A11" s="90">
        <v>1973</v>
      </c>
      <c r="B11" s="73">
        <f>CBR!B96</f>
        <v>132272</v>
      </c>
      <c r="D11" s="80">
        <f>0.9*$B10+D$7*D10</f>
        <v>113311.17000000001</v>
      </c>
      <c r="E11" s="80">
        <f t="shared" ref="E11:E46" si="5">0.9*$B10+E$7*E10</f>
        <v>136970.28000000003</v>
      </c>
      <c r="F11" s="80">
        <f t="shared" ref="F11:F46" si="6">0.9*$B10+F$7*F10</f>
        <v>163867.23000000001</v>
      </c>
      <c r="G11" s="80">
        <f t="shared" ref="G11:G46" si="7">0.9*$B10+G$7*G10</f>
        <v>194002.02000000002</v>
      </c>
      <c r="H11" s="80">
        <f t="shared" ref="H11:H46" si="8">0.9*$B10+H$7*H10</f>
        <v>227374.65000000002</v>
      </c>
      <c r="J11" s="80">
        <f t="shared" ref="J11:J38" si="9">ABS(D11-$B11)</f>
        <v>18960.829999999987</v>
      </c>
      <c r="K11" s="80">
        <f t="shared" ref="K11:K39" si="10">ABS(E11-$B11)</f>
        <v>4698.2800000000279</v>
      </c>
      <c r="L11" s="80">
        <f t="shared" ref="L11:L39" si="11">ABS(F11-$B11)</f>
        <v>31595.23000000001</v>
      </c>
      <c r="M11" s="80">
        <f t="shared" ref="M11:M39" si="12">ABS(G11-$B11)</f>
        <v>61730.020000000019</v>
      </c>
      <c r="N11" s="80">
        <f t="shared" ref="N11:N39" si="13">ABS(H11-$B11)</f>
        <v>95102.650000000023</v>
      </c>
      <c r="P11" s="188">
        <f t="shared" si="0"/>
        <v>0.14334726926333605</v>
      </c>
      <c r="Q11" s="188">
        <f t="shared" si="1"/>
        <v>3.5519837909761917E-2</v>
      </c>
      <c r="R11" s="188">
        <f t="shared" si="2"/>
        <v>0.23886559513729294</v>
      </c>
      <c r="S11" s="188">
        <f t="shared" si="3"/>
        <v>0.46669000241925745</v>
      </c>
      <c r="T11" s="188">
        <f t="shared" si="4"/>
        <v>0.71899305975565519</v>
      </c>
    </row>
    <row r="12" spans="1:20">
      <c r="A12" s="90">
        <v>1974</v>
      </c>
      <c r="B12" s="73">
        <f>CBR!B97</f>
        <v>46625</v>
      </c>
      <c r="D12" s="80">
        <f t="shared" ref="D12:D45" si="14">0.9*$B11+D$7*D11</f>
        <v>130375.917</v>
      </c>
      <c r="E12" s="80">
        <f t="shared" si="5"/>
        <v>146438.856</v>
      </c>
      <c r="F12" s="80">
        <f t="shared" si="6"/>
        <v>168204.96900000001</v>
      </c>
      <c r="G12" s="80">
        <f t="shared" si="7"/>
        <v>196645.60800000001</v>
      </c>
      <c r="H12" s="80">
        <f t="shared" si="8"/>
        <v>232732.125</v>
      </c>
      <c r="J12" s="80">
        <f t="shared" si="9"/>
        <v>83750.917000000001</v>
      </c>
      <c r="K12" s="80">
        <f t="shared" si="10"/>
        <v>99813.856</v>
      </c>
      <c r="L12" s="80">
        <f t="shared" si="11"/>
        <v>121579.96900000001</v>
      </c>
      <c r="M12" s="80">
        <f t="shared" si="12"/>
        <v>150020.60800000001</v>
      </c>
      <c r="N12" s="80">
        <f t="shared" si="13"/>
        <v>186107.125</v>
      </c>
      <c r="P12" s="188">
        <f t="shared" si="0"/>
        <v>1.7962663163538874</v>
      </c>
      <c r="Q12" s="188">
        <f t="shared" si="1"/>
        <v>2.1407797533512065</v>
      </c>
      <c r="R12" s="188">
        <f t="shared" si="2"/>
        <v>2.6076132761394106</v>
      </c>
      <c r="S12" s="188">
        <f t="shared" si="3"/>
        <v>3.2176001715817697</v>
      </c>
      <c r="T12" s="188">
        <f t="shared" si="4"/>
        <v>3.9915737265415552</v>
      </c>
    </row>
    <row r="13" spans="1:20">
      <c r="A13" s="90">
        <v>1975</v>
      </c>
      <c r="B13" s="73">
        <f>CBR!B98</f>
        <v>53805</v>
      </c>
      <c r="D13" s="80">
        <f t="shared" si="14"/>
        <v>55000.091700000004</v>
      </c>
      <c r="E13" s="80">
        <f t="shared" si="5"/>
        <v>71250.271200000003</v>
      </c>
      <c r="F13" s="80">
        <f t="shared" si="6"/>
        <v>92423.990699999995</v>
      </c>
      <c r="G13" s="80">
        <f t="shared" si="7"/>
        <v>120620.74320000001</v>
      </c>
      <c r="H13" s="80">
        <f t="shared" si="8"/>
        <v>158328.5625</v>
      </c>
      <c r="J13" s="80">
        <f t="shared" si="9"/>
        <v>1195.0917000000045</v>
      </c>
      <c r="K13" s="80">
        <f t="shared" si="10"/>
        <v>17445.271200000003</v>
      </c>
      <c r="L13" s="80">
        <f t="shared" si="11"/>
        <v>38618.990699999995</v>
      </c>
      <c r="M13" s="80">
        <f t="shared" si="12"/>
        <v>66815.743200000012</v>
      </c>
      <c r="N13" s="80">
        <f t="shared" si="13"/>
        <v>104523.5625</v>
      </c>
      <c r="P13" s="188">
        <f t="shared" si="0"/>
        <v>2.2211536102592778E-2</v>
      </c>
      <c r="Q13" s="188">
        <f t="shared" si="1"/>
        <v>0.32423141343741291</v>
      </c>
      <c r="R13" s="188">
        <f t="shared" si="2"/>
        <v>0.71775839977697231</v>
      </c>
      <c r="S13" s="188">
        <f t="shared" si="3"/>
        <v>1.2418129021466409</v>
      </c>
      <c r="T13" s="188">
        <f t="shared" si="4"/>
        <v>1.9426366044047951</v>
      </c>
    </row>
    <row r="14" spans="1:20">
      <c r="A14" s="90">
        <v>1976</v>
      </c>
      <c r="B14" s="73">
        <f>CBR!B99</f>
        <v>111900</v>
      </c>
      <c r="D14" s="80">
        <f t="shared" si="14"/>
        <v>53924.509170000005</v>
      </c>
      <c r="E14" s="80">
        <f t="shared" si="5"/>
        <v>62674.554239999998</v>
      </c>
      <c r="F14" s="80">
        <f t="shared" si="6"/>
        <v>76151.697209999998</v>
      </c>
      <c r="G14" s="80">
        <f t="shared" si="7"/>
        <v>96672.797279999999</v>
      </c>
      <c r="H14" s="80">
        <f t="shared" si="8"/>
        <v>127588.78125</v>
      </c>
      <c r="J14" s="80">
        <f t="shared" si="9"/>
        <v>57975.490829999995</v>
      </c>
      <c r="K14" s="80">
        <f t="shared" si="10"/>
        <v>49225.445760000002</v>
      </c>
      <c r="L14" s="80">
        <f t="shared" si="11"/>
        <v>35748.302790000002</v>
      </c>
      <c r="M14" s="80">
        <f t="shared" si="12"/>
        <v>15227.202720000001</v>
      </c>
      <c r="N14" s="80">
        <f t="shared" si="13"/>
        <v>15688.78125</v>
      </c>
      <c r="P14" s="188">
        <f t="shared" si="0"/>
        <v>0.51810090107238604</v>
      </c>
      <c r="Q14" s="188">
        <f t="shared" si="1"/>
        <v>0.43990568150134052</v>
      </c>
      <c r="R14" s="188">
        <f t="shared" si="2"/>
        <v>0.3194665128686327</v>
      </c>
      <c r="S14" s="188">
        <f t="shared" si="3"/>
        <v>0.13607866595174264</v>
      </c>
      <c r="T14" s="188">
        <f t="shared" si="4"/>
        <v>0.14020358579088471</v>
      </c>
    </row>
    <row r="15" spans="1:20">
      <c r="A15" s="90">
        <v>1977</v>
      </c>
      <c r="B15" s="73">
        <f>CBR!B100</f>
        <v>131356</v>
      </c>
      <c r="D15" s="80">
        <f t="shared" si="14"/>
        <v>106102.45091699999</v>
      </c>
      <c r="E15" s="80">
        <f t="shared" si="5"/>
        <v>113244.910848</v>
      </c>
      <c r="F15" s="80">
        <f t="shared" si="6"/>
        <v>123555.509163</v>
      </c>
      <c r="G15" s="80">
        <f t="shared" si="7"/>
        <v>139379.11891200001</v>
      </c>
      <c r="H15" s="80">
        <f t="shared" si="8"/>
        <v>164504.390625</v>
      </c>
      <c r="J15" s="80">
        <f t="shared" si="9"/>
        <v>25253.549083000005</v>
      </c>
      <c r="K15" s="80">
        <f t="shared" si="10"/>
        <v>18111.089152</v>
      </c>
      <c r="L15" s="80">
        <f t="shared" si="11"/>
        <v>7800.4908370000048</v>
      </c>
      <c r="M15" s="80">
        <f t="shared" si="12"/>
        <v>8023.1189120000054</v>
      </c>
      <c r="N15" s="80">
        <f t="shared" si="13"/>
        <v>33148.390625</v>
      </c>
      <c r="P15" s="188">
        <f t="shared" si="0"/>
        <v>0.19225272604981886</v>
      </c>
      <c r="Q15" s="188">
        <f t="shared" si="1"/>
        <v>0.13787789786534305</v>
      </c>
      <c r="R15" s="188">
        <f t="shared" si="2"/>
        <v>5.9384351205883285E-2</v>
      </c>
      <c r="S15" s="188">
        <f t="shared" si="3"/>
        <v>6.10791963214471E-2</v>
      </c>
      <c r="T15" s="188">
        <f t="shared" si="4"/>
        <v>0.25235535967142725</v>
      </c>
    </row>
    <row r="16" spans="1:20">
      <c r="A16" s="90">
        <v>1978</v>
      </c>
      <c r="B16" s="73">
        <f>CBR!B101</f>
        <v>220338</v>
      </c>
      <c r="D16" s="80">
        <f t="shared" si="14"/>
        <v>128830.6450917</v>
      </c>
      <c r="E16" s="80">
        <f t="shared" si="5"/>
        <v>140869.38216959999</v>
      </c>
      <c r="F16" s="80">
        <f t="shared" si="6"/>
        <v>155287.05274890002</v>
      </c>
      <c r="G16" s="80">
        <f t="shared" si="7"/>
        <v>173972.04756480001</v>
      </c>
      <c r="H16" s="80">
        <f t="shared" si="8"/>
        <v>200472.59531250002</v>
      </c>
      <c r="J16" s="80">
        <f t="shared" si="9"/>
        <v>91507.354908299996</v>
      </c>
      <c r="K16" s="80">
        <f t="shared" si="10"/>
        <v>79468.617830400006</v>
      </c>
      <c r="L16" s="80">
        <f t="shared" si="11"/>
        <v>65050.947251099977</v>
      </c>
      <c r="M16" s="80">
        <f t="shared" si="12"/>
        <v>46365.952435199986</v>
      </c>
      <c r="N16" s="80">
        <f t="shared" si="13"/>
        <v>19865.404687499977</v>
      </c>
      <c r="P16" s="188">
        <f t="shared" si="0"/>
        <v>0.41530446363450696</v>
      </c>
      <c r="Q16" s="188">
        <f t="shared" si="1"/>
        <v>0.3606668746671024</v>
      </c>
      <c r="R16" s="188">
        <f t="shared" si="2"/>
        <v>0.29523253933093691</v>
      </c>
      <c r="S16" s="188">
        <f t="shared" si="3"/>
        <v>0.21043103066742908</v>
      </c>
      <c r="T16" s="188">
        <f t="shared" si="4"/>
        <v>9.015877736704507E-2</v>
      </c>
    </row>
    <row r="17" spans="1:20">
      <c r="A17" s="90">
        <v>1979</v>
      </c>
      <c r="B17" s="73">
        <f>CBR!B102</f>
        <v>194885</v>
      </c>
      <c r="D17" s="80">
        <f t="shared" si="14"/>
        <v>211187.26450917003</v>
      </c>
      <c r="E17" s="80">
        <f t="shared" si="5"/>
        <v>226478.07643392001</v>
      </c>
      <c r="F17" s="80">
        <f t="shared" si="6"/>
        <v>244890.31582467002</v>
      </c>
      <c r="G17" s="80">
        <f t="shared" si="7"/>
        <v>267893.01902592002</v>
      </c>
      <c r="H17" s="80">
        <f t="shared" si="8"/>
        <v>298540.49765625002</v>
      </c>
      <c r="J17" s="80">
        <f t="shared" si="9"/>
        <v>16302.264509170025</v>
      </c>
      <c r="K17" s="80">
        <f t="shared" si="10"/>
        <v>31593.07643392001</v>
      </c>
      <c r="L17" s="80">
        <f t="shared" si="11"/>
        <v>50005.315824670019</v>
      </c>
      <c r="M17" s="80">
        <f t="shared" si="12"/>
        <v>73008.019025920017</v>
      </c>
      <c r="N17" s="80">
        <f t="shared" si="13"/>
        <v>103655.49765625002</v>
      </c>
      <c r="P17" s="188">
        <f t="shared" si="0"/>
        <v>8.3650688914847351E-2</v>
      </c>
      <c r="Q17" s="188">
        <f t="shared" si="1"/>
        <v>0.16211138073181625</v>
      </c>
      <c r="R17" s="188">
        <f t="shared" si="2"/>
        <v>0.25658883867239662</v>
      </c>
      <c r="S17" s="188">
        <f t="shared" si="3"/>
        <v>0.37462102791861879</v>
      </c>
      <c r="T17" s="188">
        <f t="shared" si="4"/>
        <v>0.53188032766118487</v>
      </c>
    </row>
    <row r="18" spans="1:20">
      <c r="A18" s="90">
        <v>1980</v>
      </c>
      <c r="B18" s="73">
        <f>CBR!B103</f>
        <v>225299</v>
      </c>
      <c r="D18" s="80">
        <f t="shared" si="14"/>
        <v>196515.22645091702</v>
      </c>
      <c r="E18" s="80">
        <f t="shared" si="5"/>
        <v>220692.11528678401</v>
      </c>
      <c r="F18" s="80">
        <f t="shared" si="6"/>
        <v>248863.59474740102</v>
      </c>
      <c r="G18" s="80">
        <f t="shared" si="7"/>
        <v>282553.70761036803</v>
      </c>
      <c r="H18" s="80">
        <f t="shared" si="8"/>
        <v>324666.74882812501</v>
      </c>
      <c r="J18" s="80">
        <f t="shared" si="9"/>
        <v>28783.77354908298</v>
      </c>
      <c r="K18" s="80">
        <f t="shared" si="10"/>
        <v>4606.8847132159863</v>
      </c>
      <c r="L18" s="80">
        <f t="shared" si="11"/>
        <v>23564.594747401017</v>
      </c>
      <c r="M18" s="80">
        <f t="shared" si="12"/>
        <v>57254.70761036803</v>
      </c>
      <c r="N18" s="80">
        <f t="shared" si="13"/>
        <v>99367.748828125012</v>
      </c>
      <c r="P18" s="188">
        <f t="shared" si="0"/>
        <v>0.12775810611269015</v>
      </c>
      <c r="Q18" s="188">
        <f t="shared" si="1"/>
        <v>2.0447870222308959E-2</v>
      </c>
      <c r="R18" s="188">
        <f t="shared" si="2"/>
        <v>0.1045925403459448</v>
      </c>
      <c r="S18" s="188">
        <f t="shared" si="3"/>
        <v>0.25412765973381163</v>
      </c>
      <c r="T18" s="188">
        <f t="shared" si="4"/>
        <v>0.44104833500426105</v>
      </c>
    </row>
    <row r="19" spans="1:20">
      <c r="A19" s="90">
        <v>1981</v>
      </c>
      <c r="B19" s="73">
        <f>CBR!B104</f>
        <v>310154</v>
      </c>
      <c r="D19" s="80">
        <f t="shared" si="14"/>
        <v>222420.6226450917</v>
      </c>
      <c r="E19" s="80">
        <f t="shared" si="5"/>
        <v>246907.52305735683</v>
      </c>
      <c r="F19" s="80">
        <f t="shared" si="6"/>
        <v>277428.1784242203</v>
      </c>
      <c r="G19" s="80">
        <f t="shared" si="7"/>
        <v>315790.58304414724</v>
      </c>
      <c r="H19" s="80">
        <f t="shared" si="8"/>
        <v>365102.47441406251</v>
      </c>
      <c r="J19" s="80">
        <f t="shared" si="9"/>
        <v>87733.377354908298</v>
      </c>
      <c r="K19" s="80">
        <f t="shared" si="10"/>
        <v>63246.476942643174</v>
      </c>
      <c r="L19" s="80">
        <f t="shared" si="11"/>
        <v>32725.821575779701</v>
      </c>
      <c r="M19" s="80">
        <f t="shared" si="12"/>
        <v>5636.5830441472353</v>
      </c>
      <c r="N19" s="80">
        <f t="shared" si="13"/>
        <v>54948.474414062512</v>
      </c>
      <c r="P19" s="188">
        <f t="shared" si="0"/>
        <v>0.28287037199232734</v>
      </c>
      <c r="Q19" s="188">
        <f t="shared" si="1"/>
        <v>0.20391959137281213</v>
      </c>
      <c r="R19" s="188">
        <f t="shared" si="2"/>
        <v>0.10551474936895767</v>
      </c>
      <c r="S19" s="188">
        <f t="shared" si="3"/>
        <v>1.8173497824136509E-2</v>
      </c>
      <c r="T19" s="188">
        <f t="shared" si="4"/>
        <v>0.17716513220549313</v>
      </c>
    </row>
    <row r="20" spans="1:20">
      <c r="A20" s="90">
        <v>1982</v>
      </c>
      <c r="B20" s="73">
        <f>CBR!B105</f>
        <v>454763</v>
      </c>
      <c r="D20" s="80">
        <f t="shared" si="14"/>
        <v>301380.66226450918</v>
      </c>
      <c r="E20" s="80">
        <f t="shared" si="5"/>
        <v>328520.10461147141</v>
      </c>
      <c r="F20" s="80">
        <f t="shared" si="6"/>
        <v>362367.05352726614</v>
      </c>
      <c r="G20" s="80">
        <f t="shared" si="7"/>
        <v>405454.83321765892</v>
      </c>
      <c r="H20" s="80">
        <f t="shared" si="8"/>
        <v>461689.83720703132</v>
      </c>
      <c r="J20" s="80">
        <f t="shared" si="9"/>
        <v>153382.33773549082</v>
      </c>
      <c r="K20" s="80">
        <f t="shared" si="10"/>
        <v>126242.89538852859</v>
      </c>
      <c r="L20" s="80">
        <f t="shared" si="11"/>
        <v>92395.946472733864</v>
      </c>
      <c r="M20" s="80">
        <f t="shared" si="12"/>
        <v>49308.166782341083</v>
      </c>
      <c r="N20" s="80">
        <f t="shared" si="13"/>
        <v>6926.8372070313198</v>
      </c>
      <c r="P20" s="188">
        <f t="shared" si="0"/>
        <v>0.33727972094363617</v>
      </c>
      <c r="Q20" s="188">
        <f t="shared" si="1"/>
        <v>0.27760150977218595</v>
      </c>
      <c r="R20" s="188">
        <f t="shared" si="2"/>
        <v>0.20317384323864049</v>
      </c>
      <c r="S20" s="188">
        <f t="shared" si="3"/>
        <v>0.10842607420203729</v>
      </c>
      <c r="T20" s="188">
        <f t="shared" si="4"/>
        <v>1.5231751938990902E-2</v>
      </c>
    </row>
    <row r="21" spans="1:20">
      <c r="A21" s="90">
        <v>1983</v>
      </c>
      <c r="B21" s="73">
        <f>CBR!B106</f>
        <v>234243</v>
      </c>
      <c r="D21" s="80">
        <f t="shared" si="14"/>
        <v>439424.76622645091</v>
      </c>
      <c r="E21" s="80">
        <f t="shared" si="5"/>
        <v>474990.72092229431</v>
      </c>
      <c r="F21" s="80">
        <f t="shared" si="6"/>
        <v>517996.81605817983</v>
      </c>
      <c r="G21" s="80">
        <f t="shared" si="7"/>
        <v>571468.63328706357</v>
      </c>
      <c r="H21" s="80">
        <f t="shared" si="8"/>
        <v>640131.61860351567</v>
      </c>
      <c r="J21" s="80">
        <f t="shared" si="9"/>
        <v>205181.76622645091</v>
      </c>
      <c r="K21" s="80">
        <f t="shared" si="10"/>
        <v>240747.72092229431</v>
      </c>
      <c r="L21" s="80">
        <f t="shared" si="11"/>
        <v>283753.81605817983</v>
      </c>
      <c r="M21" s="80">
        <f t="shared" si="12"/>
        <v>337225.63328706357</v>
      </c>
      <c r="N21" s="80">
        <f t="shared" si="13"/>
        <v>405888.61860351567</v>
      </c>
      <c r="P21" s="188">
        <f t="shared" si="0"/>
        <v>0.87593552945638042</v>
      </c>
      <c r="Q21" s="188">
        <f t="shared" si="1"/>
        <v>1.0277691155009725</v>
      </c>
      <c r="R21" s="188">
        <f t="shared" si="2"/>
        <v>1.2113651893895647</v>
      </c>
      <c r="S21" s="188">
        <f t="shared" si="3"/>
        <v>1.4396401740374891</v>
      </c>
      <c r="T21" s="188">
        <f t="shared" si="4"/>
        <v>1.7327673339374738</v>
      </c>
    </row>
    <row r="22" spans="1:20">
      <c r="A22" s="90">
        <v>1984</v>
      </c>
      <c r="B22" s="73">
        <f>CBR!B107</f>
        <v>382432</v>
      </c>
      <c r="D22" s="80">
        <f t="shared" si="14"/>
        <v>254761.17662264511</v>
      </c>
      <c r="E22" s="80">
        <f t="shared" si="5"/>
        <v>305816.8441844589</v>
      </c>
      <c r="F22" s="80">
        <f t="shared" si="6"/>
        <v>366217.74481745396</v>
      </c>
      <c r="G22" s="80">
        <f t="shared" si="7"/>
        <v>439406.15331482544</v>
      </c>
      <c r="H22" s="80">
        <f t="shared" si="8"/>
        <v>530884.50930175791</v>
      </c>
      <c r="J22" s="80">
        <f t="shared" si="9"/>
        <v>127670.82337735489</v>
      </c>
      <c r="K22" s="80">
        <f t="shared" si="10"/>
        <v>76615.155815541104</v>
      </c>
      <c r="L22" s="80">
        <f t="shared" si="11"/>
        <v>16214.25518254604</v>
      </c>
      <c r="M22" s="80">
        <f t="shared" si="12"/>
        <v>56974.153314825438</v>
      </c>
      <c r="N22" s="80">
        <f t="shared" si="13"/>
        <v>148452.50930175791</v>
      </c>
      <c r="P22" s="188">
        <f t="shared" si="0"/>
        <v>0.33383927960357629</v>
      </c>
      <c r="Q22" s="188">
        <f t="shared" si="1"/>
        <v>0.20033667636479455</v>
      </c>
      <c r="R22" s="188">
        <f t="shared" si="2"/>
        <v>4.2397747004816647E-2</v>
      </c>
      <c r="S22" s="188">
        <f t="shared" si="3"/>
        <v>0.14897851988020208</v>
      </c>
      <c r="T22" s="188">
        <f t="shared" si="4"/>
        <v>0.38818014523302941</v>
      </c>
    </row>
    <row r="23" spans="1:20">
      <c r="A23" s="90">
        <v>1985</v>
      </c>
      <c r="B23" s="73">
        <f>CBR!B108</f>
        <v>587990</v>
      </c>
      <c r="D23" s="80">
        <f t="shared" si="14"/>
        <v>369664.91766226449</v>
      </c>
      <c r="E23" s="80">
        <f t="shared" si="5"/>
        <v>405352.16883689177</v>
      </c>
      <c r="F23" s="80">
        <f t="shared" si="6"/>
        <v>454054.12344523618</v>
      </c>
      <c r="G23" s="80">
        <f t="shared" si="7"/>
        <v>519951.26132593019</v>
      </c>
      <c r="H23" s="80">
        <f t="shared" si="8"/>
        <v>609631.054650879</v>
      </c>
      <c r="J23" s="80">
        <f t="shared" si="9"/>
        <v>218325.08233773551</v>
      </c>
      <c r="K23" s="80">
        <f t="shared" si="10"/>
        <v>182637.83116310823</v>
      </c>
      <c r="L23" s="80">
        <f t="shared" si="11"/>
        <v>133935.87655476382</v>
      </c>
      <c r="M23" s="80">
        <f t="shared" si="12"/>
        <v>68038.738674069813</v>
      </c>
      <c r="N23" s="80">
        <f t="shared" si="13"/>
        <v>21641.054650878999</v>
      </c>
      <c r="P23" s="188">
        <f t="shared" si="0"/>
        <v>0.37130747519130514</v>
      </c>
      <c r="Q23" s="188">
        <f t="shared" si="1"/>
        <v>0.31061383894812539</v>
      </c>
      <c r="R23" s="188">
        <f t="shared" si="2"/>
        <v>0.2277859768954639</v>
      </c>
      <c r="S23" s="188">
        <f t="shared" si="3"/>
        <v>0.11571410852917535</v>
      </c>
      <c r="T23" s="188">
        <f t="shared" si="4"/>
        <v>3.680514065014541E-2</v>
      </c>
    </row>
    <row r="24" spans="1:20">
      <c r="A24" s="90">
        <v>1986</v>
      </c>
      <c r="B24" s="73">
        <f>CBR!B109</f>
        <v>295980</v>
      </c>
      <c r="D24" s="80">
        <f t="shared" si="14"/>
        <v>566157.49176622648</v>
      </c>
      <c r="E24" s="80">
        <f t="shared" si="5"/>
        <v>610261.43376737833</v>
      </c>
      <c r="F24" s="80">
        <f t="shared" si="6"/>
        <v>665407.23703357088</v>
      </c>
      <c r="G24" s="80">
        <f t="shared" si="7"/>
        <v>737171.5045303721</v>
      </c>
      <c r="H24" s="80">
        <f t="shared" si="8"/>
        <v>834006.5273254395</v>
      </c>
      <c r="J24" s="80">
        <f t="shared" si="9"/>
        <v>270177.49176622648</v>
      </c>
      <c r="K24" s="80">
        <f t="shared" si="10"/>
        <v>314281.43376737833</v>
      </c>
      <c r="L24" s="80">
        <f t="shared" si="11"/>
        <v>369427.23703357088</v>
      </c>
      <c r="M24" s="80">
        <f t="shared" si="12"/>
        <v>441191.5045303721</v>
      </c>
      <c r="N24" s="80">
        <f t="shared" si="13"/>
        <v>538026.5273254395</v>
      </c>
      <c r="P24" s="188">
        <f t="shared" si="0"/>
        <v>0.91282347376926309</v>
      </c>
      <c r="Q24" s="188">
        <f t="shared" si="1"/>
        <v>1.0618333460618228</v>
      </c>
      <c r="R24" s="188">
        <f t="shared" si="2"/>
        <v>1.2481493243920903</v>
      </c>
      <c r="S24" s="188">
        <f t="shared" si="3"/>
        <v>1.4906125566942769</v>
      </c>
      <c r="T24" s="188">
        <f t="shared" si="4"/>
        <v>1.8177800098839094</v>
      </c>
    </row>
    <row r="25" spans="1:20">
      <c r="A25" s="90">
        <v>1987</v>
      </c>
      <c r="B25" s="73">
        <f>CBR!B110</f>
        <v>111599</v>
      </c>
      <c r="D25" s="80">
        <f t="shared" si="14"/>
        <v>322997.74917662266</v>
      </c>
      <c r="E25" s="80">
        <f t="shared" si="5"/>
        <v>388434.28675347567</v>
      </c>
      <c r="F25" s="80">
        <f t="shared" si="6"/>
        <v>466004.17111007124</v>
      </c>
      <c r="G25" s="80">
        <f t="shared" si="7"/>
        <v>561250.60181214893</v>
      </c>
      <c r="H25" s="80">
        <f t="shared" si="8"/>
        <v>683385.26366271975</v>
      </c>
      <c r="J25" s="80">
        <f t="shared" si="9"/>
        <v>211398.74917662266</v>
      </c>
      <c r="K25" s="80">
        <f t="shared" si="10"/>
        <v>276835.28675347567</v>
      </c>
      <c r="L25" s="80">
        <f t="shared" si="11"/>
        <v>354405.17111007124</v>
      </c>
      <c r="M25" s="80">
        <f t="shared" si="12"/>
        <v>449651.60181214893</v>
      </c>
      <c r="N25" s="80">
        <f t="shared" si="13"/>
        <v>571786.26366271975</v>
      </c>
      <c r="P25" s="188">
        <f t="shared" si="0"/>
        <v>1.8942709986345994</v>
      </c>
      <c r="Q25" s="188">
        <f t="shared" si="1"/>
        <v>2.4806251557225036</v>
      </c>
      <c r="R25" s="188">
        <f t="shared" si="2"/>
        <v>3.1757020323665199</v>
      </c>
      <c r="S25" s="188">
        <f t="shared" si="3"/>
        <v>4.0291723206493693</v>
      </c>
      <c r="T25" s="188">
        <f t="shared" si="4"/>
        <v>5.1235787387227463</v>
      </c>
    </row>
    <row r="26" spans="1:20">
      <c r="A26" s="90">
        <v>1988</v>
      </c>
      <c r="B26" s="73">
        <f>CBR!B111</f>
        <v>315568</v>
      </c>
      <c r="D26" s="80">
        <f t="shared" si="14"/>
        <v>132738.87491766227</v>
      </c>
      <c r="E26" s="80">
        <f t="shared" si="5"/>
        <v>178125.95735069516</v>
      </c>
      <c r="F26" s="80">
        <f t="shared" si="6"/>
        <v>240240.35133302136</v>
      </c>
      <c r="G26" s="80">
        <f t="shared" si="7"/>
        <v>324939.34072485962</v>
      </c>
      <c r="H26" s="80">
        <f t="shared" si="8"/>
        <v>442131.73183135991</v>
      </c>
      <c r="J26" s="80">
        <f t="shared" si="9"/>
        <v>182829.12508233773</v>
      </c>
      <c r="K26" s="80">
        <f t="shared" si="10"/>
        <v>137442.04264930484</v>
      </c>
      <c r="L26" s="80">
        <f t="shared" si="11"/>
        <v>75327.648666978639</v>
      </c>
      <c r="M26" s="80">
        <f t="shared" si="12"/>
        <v>9371.3407248596195</v>
      </c>
      <c r="N26" s="80">
        <f t="shared" si="13"/>
        <v>126563.73183135991</v>
      </c>
      <c r="P26" s="188">
        <f t="shared" si="0"/>
        <v>0.57936522423800174</v>
      </c>
      <c r="Q26" s="188">
        <f t="shared" si="1"/>
        <v>0.43553859278920815</v>
      </c>
      <c r="R26" s="188">
        <f t="shared" si="2"/>
        <v>0.23870496586148987</v>
      </c>
      <c r="S26" s="188">
        <f t="shared" si="3"/>
        <v>2.9696739608767744E-2</v>
      </c>
      <c r="T26" s="188">
        <f t="shared" si="4"/>
        <v>0.401066432056989</v>
      </c>
    </row>
    <row r="27" spans="1:20">
      <c r="A27" s="90">
        <v>1989</v>
      </c>
      <c r="B27" s="73">
        <f>CBR!B112</f>
        <v>194454</v>
      </c>
      <c r="D27" s="80">
        <f t="shared" si="14"/>
        <v>297285.08749176626</v>
      </c>
      <c r="E27" s="80">
        <f t="shared" si="5"/>
        <v>319636.39147013903</v>
      </c>
      <c r="F27" s="80">
        <f t="shared" si="6"/>
        <v>356083.30539990641</v>
      </c>
      <c r="G27" s="80">
        <f t="shared" si="7"/>
        <v>413986.93628994387</v>
      </c>
      <c r="H27" s="80">
        <f t="shared" si="8"/>
        <v>505077.06591567997</v>
      </c>
      <c r="J27" s="80">
        <f t="shared" si="9"/>
        <v>102831.08749176626</v>
      </c>
      <c r="K27" s="80">
        <f t="shared" si="10"/>
        <v>125182.39147013903</v>
      </c>
      <c r="L27" s="80">
        <f t="shared" si="11"/>
        <v>161629.30539990641</v>
      </c>
      <c r="M27" s="80">
        <f t="shared" si="12"/>
        <v>219532.93628994387</v>
      </c>
      <c r="N27" s="80">
        <f t="shared" si="13"/>
        <v>310623.06591567997</v>
      </c>
      <c r="P27" s="188">
        <f t="shared" si="0"/>
        <v>0.52881960510848969</v>
      </c>
      <c r="Q27" s="188">
        <f t="shared" si="1"/>
        <v>0.64376351975345858</v>
      </c>
      <c r="R27" s="188">
        <f t="shared" si="2"/>
        <v>0.83119558044527964</v>
      </c>
      <c r="S27" s="188">
        <f t="shared" si="3"/>
        <v>1.1289710486281788</v>
      </c>
      <c r="T27" s="188">
        <f t="shared" si="4"/>
        <v>1.5974115519129459</v>
      </c>
    </row>
    <row r="28" spans="1:20">
      <c r="A28" s="90">
        <v>1990</v>
      </c>
      <c r="B28" s="73">
        <f>CBR!B113</f>
        <v>246797</v>
      </c>
      <c r="D28" s="80">
        <f t="shared" si="14"/>
        <v>204737.10874917664</v>
      </c>
      <c r="E28" s="80">
        <f t="shared" si="5"/>
        <v>238935.87829402782</v>
      </c>
      <c r="F28" s="80">
        <f t="shared" si="6"/>
        <v>281833.59161997191</v>
      </c>
      <c r="G28" s="80">
        <f t="shared" si="7"/>
        <v>340603.37451597757</v>
      </c>
      <c r="H28" s="80">
        <f t="shared" si="8"/>
        <v>427547.13295783999</v>
      </c>
      <c r="J28" s="80">
        <f t="shared" si="9"/>
        <v>42059.891250823362</v>
      </c>
      <c r="K28" s="80">
        <f t="shared" si="10"/>
        <v>7861.1217059721821</v>
      </c>
      <c r="L28" s="80">
        <f t="shared" si="11"/>
        <v>35036.591619971907</v>
      </c>
      <c r="M28" s="80">
        <f t="shared" si="12"/>
        <v>93806.374515977572</v>
      </c>
      <c r="N28" s="80">
        <f t="shared" si="13"/>
        <v>180750.13295783999</v>
      </c>
      <c r="P28" s="188">
        <f t="shared" si="0"/>
        <v>0.17042302479699251</v>
      </c>
      <c r="Q28" s="188">
        <f t="shared" si="1"/>
        <v>3.1852582105828607E-2</v>
      </c>
      <c r="R28" s="188">
        <f t="shared" si="2"/>
        <v>0.14196522494184252</v>
      </c>
      <c r="S28" s="188">
        <f t="shared" si="3"/>
        <v>0.38009527877558308</v>
      </c>
      <c r="T28" s="188">
        <f t="shared" si="4"/>
        <v>0.73238383350624192</v>
      </c>
    </row>
    <row r="29" spans="1:20">
      <c r="A29" s="90">
        <v>1991</v>
      </c>
      <c r="B29" s="73">
        <f>CBR!B114</f>
        <v>385086</v>
      </c>
      <c r="D29" s="80">
        <f t="shared" si="14"/>
        <v>242591.01087491767</v>
      </c>
      <c r="E29" s="80">
        <f t="shared" si="5"/>
        <v>269904.47565880558</v>
      </c>
      <c r="F29" s="80">
        <f t="shared" si="6"/>
        <v>306667.37748599157</v>
      </c>
      <c r="G29" s="80">
        <f t="shared" si="7"/>
        <v>358358.64980639104</v>
      </c>
      <c r="H29" s="80">
        <f t="shared" si="8"/>
        <v>435890.86647891998</v>
      </c>
      <c r="J29" s="80">
        <f t="shared" si="9"/>
        <v>142494.98912508233</v>
      </c>
      <c r="K29" s="80">
        <f t="shared" si="10"/>
        <v>115181.52434119442</v>
      </c>
      <c r="L29" s="80">
        <f t="shared" si="11"/>
        <v>78418.622514008428</v>
      </c>
      <c r="M29" s="80">
        <f t="shared" si="12"/>
        <v>26727.35019360896</v>
      </c>
      <c r="N29" s="80">
        <f t="shared" si="13"/>
        <v>50804.866478919983</v>
      </c>
      <c r="P29" s="188">
        <f t="shared" si="0"/>
        <v>0.37003419788068725</v>
      </c>
      <c r="Q29" s="188">
        <f t="shared" si="1"/>
        <v>0.29910597721338722</v>
      </c>
      <c r="R29" s="188">
        <f t="shared" si="2"/>
        <v>0.20363924555556012</v>
      </c>
      <c r="S29" s="188">
        <f t="shared" si="3"/>
        <v>6.9406185095300679E-2</v>
      </c>
      <c r="T29" s="188">
        <f t="shared" si="4"/>
        <v>0.1319312218021948</v>
      </c>
    </row>
    <row r="30" spans="1:20">
      <c r="A30" s="90">
        <v>1992</v>
      </c>
      <c r="B30" s="73">
        <f>CBR!B115</f>
        <v>291627</v>
      </c>
      <c r="D30" s="80">
        <f t="shared" si="14"/>
        <v>370836.50108749181</v>
      </c>
      <c r="E30" s="80">
        <f t="shared" si="5"/>
        <v>400558.29513176112</v>
      </c>
      <c r="F30" s="80">
        <f t="shared" si="6"/>
        <v>438577.61324579746</v>
      </c>
      <c r="G30" s="80">
        <f t="shared" si="7"/>
        <v>489920.85992255644</v>
      </c>
      <c r="H30" s="80">
        <f t="shared" si="8"/>
        <v>564522.83323946001</v>
      </c>
      <c r="J30" s="80">
        <f t="shared" si="9"/>
        <v>79209.501087491808</v>
      </c>
      <c r="K30" s="80">
        <f t="shared" si="10"/>
        <v>108931.29513176112</v>
      </c>
      <c r="L30" s="80">
        <f t="shared" si="11"/>
        <v>146950.61324579746</v>
      </c>
      <c r="M30" s="80">
        <f t="shared" si="12"/>
        <v>198293.85992255644</v>
      </c>
      <c r="N30" s="80">
        <f t="shared" si="13"/>
        <v>272895.83323946001</v>
      </c>
      <c r="P30" s="188">
        <f t="shared" si="0"/>
        <v>0.27161237158250712</v>
      </c>
      <c r="Q30" s="188">
        <f t="shared" si="1"/>
        <v>0.37352952618159879</v>
      </c>
      <c r="R30" s="188">
        <f t="shared" si="2"/>
        <v>0.503899204277373</v>
      </c>
      <c r="S30" s="188">
        <f t="shared" si="3"/>
        <v>0.67995713676222169</v>
      </c>
      <c r="T30" s="188">
        <f t="shared" si="4"/>
        <v>0.93577012155753758</v>
      </c>
    </row>
    <row r="31" spans="1:20">
      <c r="A31" s="90">
        <v>1993</v>
      </c>
      <c r="B31" s="73">
        <f>CBR!B116</f>
        <v>281469</v>
      </c>
      <c r="D31" s="80">
        <f t="shared" si="14"/>
        <v>299547.95010874915</v>
      </c>
      <c r="E31" s="80">
        <f t="shared" si="5"/>
        <v>342575.95902635221</v>
      </c>
      <c r="F31" s="80">
        <f t="shared" si="6"/>
        <v>394037.58397373918</v>
      </c>
      <c r="G31" s="80">
        <f t="shared" si="7"/>
        <v>458432.64396902255</v>
      </c>
      <c r="H31" s="80">
        <f t="shared" si="8"/>
        <v>544725.71661973</v>
      </c>
      <c r="J31" s="80">
        <f t="shared" si="9"/>
        <v>18078.950108749152</v>
      </c>
      <c r="K31" s="80">
        <f t="shared" si="10"/>
        <v>61106.959026352211</v>
      </c>
      <c r="L31" s="80">
        <f t="shared" si="11"/>
        <v>112568.58397373918</v>
      </c>
      <c r="M31" s="80">
        <f t="shared" si="12"/>
        <v>176963.64396902255</v>
      </c>
      <c r="N31" s="80">
        <f t="shared" si="13"/>
        <v>263256.71661973</v>
      </c>
      <c r="P31" s="188">
        <f t="shared" si="0"/>
        <v>6.4230697194892342E-2</v>
      </c>
      <c r="Q31" s="188">
        <f t="shared" si="1"/>
        <v>0.21710013900767833</v>
      </c>
      <c r="R31" s="188">
        <f t="shared" si="2"/>
        <v>0.39993244006885015</v>
      </c>
      <c r="S31" s="188">
        <f t="shared" si="3"/>
        <v>0.6287145084148611</v>
      </c>
      <c r="T31" s="188">
        <f t="shared" si="4"/>
        <v>0.93529559780910154</v>
      </c>
    </row>
    <row r="32" spans="1:20">
      <c r="A32" s="90">
        <v>1994</v>
      </c>
      <c r="B32" s="73">
        <f>CBR!B117</f>
        <v>677633</v>
      </c>
      <c r="D32" s="80">
        <f t="shared" si="14"/>
        <v>283276.8950108749</v>
      </c>
      <c r="E32" s="80">
        <f t="shared" si="5"/>
        <v>321837.29180527048</v>
      </c>
      <c r="F32" s="80">
        <f t="shared" si="6"/>
        <v>371533.37519212172</v>
      </c>
      <c r="G32" s="80">
        <f t="shared" si="7"/>
        <v>436695.15758760902</v>
      </c>
      <c r="H32" s="80">
        <f t="shared" si="8"/>
        <v>525684.95830986497</v>
      </c>
      <c r="J32" s="80">
        <f t="shared" si="9"/>
        <v>394356.1049891251</v>
      </c>
      <c r="K32" s="80">
        <f t="shared" si="10"/>
        <v>355795.70819472952</v>
      </c>
      <c r="L32" s="80">
        <f t="shared" si="11"/>
        <v>306099.62480787828</v>
      </c>
      <c r="M32" s="80">
        <f t="shared" si="12"/>
        <v>240937.84241239098</v>
      </c>
      <c r="N32" s="80">
        <f t="shared" si="13"/>
        <v>151948.04169013503</v>
      </c>
      <c r="P32" s="188">
        <f t="shared" si="0"/>
        <v>0.58196118693913235</v>
      </c>
      <c r="Q32" s="188">
        <f t="shared" si="1"/>
        <v>0.52505664304236888</v>
      </c>
      <c r="R32" s="188">
        <f t="shared" si="2"/>
        <v>0.45171888737395949</v>
      </c>
      <c r="S32" s="188">
        <f t="shared" si="3"/>
        <v>0.35555801209857102</v>
      </c>
      <c r="T32" s="188">
        <f t="shared" si="4"/>
        <v>0.22423353303356688</v>
      </c>
    </row>
    <row r="33" spans="1:20">
      <c r="A33" s="90">
        <v>1995</v>
      </c>
      <c r="B33" s="73">
        <f>CBR!B118</f>
        <v>542658</v>
      </c>
      <c r="D33" s="80">
        <f t="shared" si="14"/>
        <v>638197.3895010876</v>
      </c>
      <c r="E33" s="80">
        <f t="shared" si="5"/>
        <v>674237.15836105414</v>
      </c>
      <c r="F33" s="80">
        <f t="shared" si="6"/>
        <v>721329.71255763655</v>
      </c>
      <c r="G33" s="80">
        <f t="shared" si="7"/>
        <v>784547.76303504372</v>
      </c>
      <c r="H33" s="80">
        <f t="shared" si="8"/>
        <v>872712.1791549325</v>
      </c>
      <c r="J33" s="80">
        <f t="shared" si="9"/>
        <v>95539.3895010876</v>
      </c>
      <c r="K33" s="80">
        <f t="shared" si="10"/>
        <v>131579.15836105414</v>
      </c>
      <c r="L33" s="80">
        <f t="shared" si="11"/>
        <v>178671.71255763655</v>
      </c>
      <c r="M33" s="80">
        <f t="shared" si="12"/>
        <v>241889.76303504372</v>
      </c>
      <c r="N33" s="80">
        <f t="shared" si="13"/>
        <v>330054.1791549325</v>
      </c>
      <c r="P33" s="188">
        <f t="shared" si="0"/>
        <v>0.17605819779877491</v>
      </c>
      <c r="Q33" s="188">
        <f t="shared" si="1"/>
        <v>0.24247160893427194</v>
      </c>
      <c r="R33" s="188">
        <f t="shared" si="2"/>
        <v>0.32925288590168494</v>
      </c>
      <c r="S33" s="188">
        <f t="shared" si="3"/>
        <v>0.44574992543193637</v>
      </c>
      <c r="T33" s="188">
        <f t="shared" si="4"/>
        <v>0.60821766039555758</v>
      </c>
    </row>
    <row r="34" spans="1:20">
      <c r="A34" s="90">
        <v>1996</v>
      </c>
      <c r="B34" s="73">
        <f>CBR!B119</f>
        <v>193042</v>
      </c>
      <c r="D34" s="80">
        <f t="shared" si="14"/>
        <v>552211.93895010883</v>
      </c>
      <c r="E34" s="80">
        <f t="shared" si="5"/>
        <v>623239.63167221087</v>
      </c>
      <c r="F34" s="80">
        <f t="shared" si="6"/>
        <v>704791.11376729095</v>
      </c>
      <c r="G34" s="80">
        <f t="shared" si="7"/>
        <v>802211.30521401751</v>
      </c>
      <c r="H34" s="80">
        <f t="shared" si="8"/>
        <v>924748.2895774662</v>
      </c>
      <c r="J34" s="80">
        <f t="shared" si="9"/>
        <v>359169.93895010883</v>
      </c>
      <c r="K34" s="80">
        <f t="shared" si="10"/>
        <v>430197.63167221087</v>
      </c>
      <c r="L34" s="80">
        <f t="shared" si="11"/>
        <v>511749.11376729095</v>
      </c>
      <c r="M34" s="80">
        <f t="shared" si="12"/>
        <v>609169.30521401751</v>
      </c>
      <c r="N34" s="80">
        <f t="shared" si="13"/>
        <v>731706.2895774662</v>
      </c>
      <c r="P34" s="188">
        <f t="shared" si="0"/>
        <v>1.8605792467447957</v>
      </c>
      <c r="Q34" s="188">
        <f t="shared" si="1"/>
        <v>2.2285183103791448</v>
      </c>
      <c r="R34" s="188">
        <f t="shared" si="2"/>
        <v>2.6509729166051477</v>
      </c>
      <c r="S34" s="188">
        <f t="shared" si="3"/>
        <v>3.1556309259851094</v>
      </c>
      <c r="T34" s="188">
        <f t="shared" si="4"/>
        <v>3.7903994445637021</v>
      </c>
    </row>
    <row r="35" spans="1:20">
      <c r="A35" s="90">
        <v>1997</v>
      </c>
      <c r="B35" s="73">
        <f>CBR!B120</f>
        <v>18656</v>
      </c>
      <c r="D35" s="80">
        <f>0.9*$B34+D$7*D34</f>
        <v>228958.99389501091</v>
      </c>
      <c r="E35" s="80">
        <f t="shared" si="5"/>
        <v>298385.72633444221</v>
      </c>
      <c r="F35" s="80">
        <f t="shared" si="6"/>
        <v>385175.13413018733</v>
      </c>
      <c r="G35" s="80">
        <f t="shared" si="7"/>
        <v>494622.3220856071</v>
      </c>
      <c r="H35" s="80">
        <f t="shared" si="8"/>
        <v>636111.94478873315</v>
      </c>
      <c r="J35" s="80">
        <f t="shared" si="9"/>
        <v>210302.99389501091</v>
      </c>
      <c r="K35" s="80">
        <f t="shared" si="10"/>
        <v>279729.72633444221</v>
      </c>
      <c r="L35" s="80">
        <f t="shared" si="11"/>
        <v>366519.13413018733</v>
      </c>
      <c r="M35" s="80">
        <f t="shared" si="12"/>
        <v>475966.3220856071</v>
      </c>
      <c r="N35" s="80">
        <f t="shared" si="13"/>
        <v>617455.94478873315</v>
      </c>
      <c r="P35" s="188">
        <f>ABS(($B35-D35)/$B35)</f>
        <v>11.272673343428972</v>
      </c>
      <c r="Q35" s="188">
        <f t="shared" si="1"/>
        <v>14.994089104547717</v>
      </c>
      <c r="R35" s="188">
        <f t="shared" si="2"/>
        <v>19.646180002690144</v>
      </c>
      <c r="S35" s="188">
        <f t="shared" si="3"/>
        <v>25.512774554331425</v>
      </c>
      <c r="T35" s="188">
        <f t="shared" si="4"/>
        <v>33.096909562003276</v>
      </c>
    </row>
    <row r="36" spans="1:20">
      <c r="A36" s="90">
        <v>1998</v>
      </c>
      <c r="B36" s="73">
        <f>CBR!B121</f>
        <v>108232</v>
      </c>
      <c r="D36" s="80">
        <f t="shared" si="14"/>
        <v>39686.299389501095</v>
      </c>
      <c r="E36" s="80">
        <f t="shared" si="5"/>
        <v>76467.545266888454</v>
      </c>
      <c r="F36" s="80">
        <f t="shared" si="6"/>
        <v>132342.94023905619</v>
      </c>
      <c r="G36" s="80">
        <f t="shared" si="7"/>
        <v>214639.32883424286</v>
      </c>
      <c r="H36" s="80">
        <f t="shared" si="8"/>
        <v>334846.3723943666</v>
      </c>
      <c r="J36" s="80">
        <f t="shared" si="9"/>
        <v>68545.700610498898</v>
      </c>
      <c r="K36" s="80">
        <f t="shared" si="10"/>
        <v>31764.454733111546</v>
      </c>
      <c r="L36" s="80">
        <f t="shared" si="11"/>
        <v>24110.940239056188</v>
      </c>
      <c r="M36" s="80">
        <f t="shared" si="12"/>
        <v>106407.32883424286</v>
      </c>
      <c r="N36" s="80">
        <f t="shared" si="13"/>
        <v>226614.3723943666</v>
      </c>
      <c r="P36" s="188">
        <f t="shared" si="0"/>
        <v>0.63332194369963501</v>
      </c>
      <c r="Q36" s="188">
        <f t="shared" si="1"/>
        <v>0.29348487261726242</v>
      </c>
      <c r="R36" s="188">
        <f t="shared" si="2"/>
        <v>0.22277090175785524</v>
      </c>
      <c r="S36" s="188">
        <f t="shared" si="3"/>
        <v>0.98314111200239174</v>
      </c>
      <c r="T36" s="188">
        <f t="shared" si="4"/>
        <v>2.0937834687926546</v>
      </c>
    </row>
    <row r="37" spans="1:20">
      <c r="A37" s="90">
        <v>1999</v>
      </c>
      <c r="B37" s="73">
        <f>CBR!B122</f>
        <v>153061</v>
      </c>
      <c r="D37" s="80">
        <f t="shared" si="14"/>
        <v>101377.42993895011</v>
      </c>
      <c r="E37" s="80">
        <f t="shared" si="5"/>
        <v>112702.3090533777</v>
      </c>
      <c r="F37" s="80">
        <f t="shared" si="6"/>
        <v>137111.68207171687</v>
      </c>
      <c r="G37" s="80">
        <f t="shared" si="7"/>
        <v>183264.53153369715</v>
      </c>
      <c r="H37" s="80">
        <f t="shared" si="8"/>
        <v>264831.98619718332</v>
      </c>
      <c r="J37" s="80">
        <f t="shared" si="9"/>
        <v>51683.57006104989</v>
      </c>
      <c r="K37" s="80">
        <f t="shared" si="10"/>
        <v>40358.690946622301</v>
      </c>
      <c r="L37" s="80">
        <f t="shared" si="11"/>
        <v>15949.317928283126</v>
      </c>
      <c r="M37" s="80">
        <f t="shared" si="12"/>
        <v>30203.531533697154</v>
      </c>
      <c r="N37" s="80">
        <f t="shared" si="13"/>
        <v>111770.98619718332</v>
      </c>
      <c r="P37" s="188">
        <f t="shared" si="0"/>
        <v>0.33766648630970586</v>
      </c>
      <c r="Q37" s="188">
        <f t="shared" si="1"/>
        <v>0.26367716757777815</v>
      </c>
      <c r="R37" s="188">
        <f t="shared" si="2"/>
        <v>0.10420236329491592</v>
      </c>
      <c r="S37" s="188">
        <f t="shared" si="3"/>
        <v>0.19733002877086361</v>
      </c>
      <c r="T37" s="188">
        <f t="shared" si="4"/>
        <v>0.73023818083759617</v>
      </c>
    </row>
    <row r="38" spans="1:20">
      <c r="A38" s="90">
        <v>2000</v>
      </c>
      <c r="B38" s="73">
        <f>CBR!B123</f>
        <v>304944</v>
      </c>
      <c r="D38" s="80">
        <f t="shared" si="14"/>
        <v>147892.64299389502</v>
      </c>
      <c r="E38" s="80">
        <f t="shared" si="5"/>
        <v>160295.36181067553</v>
      </c>
      <c r="F38" s="80">
        <f t="shared" si="6"/>
        <v>178888.40462151504</v>
      </c>
      <c r="G38" s="80">
        <f t="shared" si="7"/>
        <v>211060.71261347886</v>
      </c>
      <c r="H38" s="80">
        <f t="shared" si="8"/>
        <v>270170.89309859165</v>
      </c>
      <c r="J38" s="80">
        <f t="shared" si="9"/>
        <v>157051.35700610498</v>
      </c>
      <c r="K38" s="80">
        <f t="shared" si="10"/>
        <v>144648.63818932447</v>
      </c>
      <c r="L38" s="80">
        <f t="shared" si="11"/>
        <v>126055.59537848496</v>
      </c>
      <c r="M38" s="80">
        <f t="shared" si="12"/>
        <v>93883.287386521144</v>
      </c>
      <c r="N38" s="80">
        <f t="shared" si="13"/>
        <v>34773.106901408348</v>
      </c>
      <c r="P38" s="188">
        <f t="shared" si="0"/>
        <v>0.5150170424933922</v>
      </c>
      <c r="Q38" s="188">
        <f t="shared" si="1"/>
        <v>0.47434492296724801</v>
      </c>
      <c r="R38" s="188">
        <f t="shared" si="2"/>
        <v>0.4133729320087785</v>
      </c>
      <c r="S38" s="188">
        <f t="shared" si="3"/>
        <v>0.30787058406304485</v>
      </c>
      <c r="T38" s="188">
        <f t="shared" si="4"/>
        <v>0.11403112342400031</v>
      </c>
    </row>
    <row r="39" spans="1:20">
      <c r="A39" s="90">
        <v>2001</v>
      </c>
      <c r="B39" s="73">
        <f>CBR!B124</f>
        <v>251473</v>
      </c>
      <c r="D39" s="80">
        <f t="shared" si="14"/>
        <v>289238.86429938953</v>
      </c>
      <c r="E39" s="80">
        <f t="shared" si="5"/>
        <v>306508.67236213514</v>
      </c>
      <c r="F39" s="80">
        <f t="shared" si="6"/>
        <v>328116.12138645456</v>
      </c>
      <c r="G39" s="80">
        <f t="shared" si="7"/>
        <v>358873.88504539157</v>
      </c>
      <c r="H39" s="80">
        <f t="shared" si="8"/>
        <v>409535.04654929589</v>
      </c>
      <c r="J39" s="80">
        <f t="shared" ref="J39:J44" si="15">ABS(D39-$B39)</f>
        <v>37765.864299389534</v>
      </c>
      <c r="K39" s="80">
        <f t="shared" si="10"/>
        <v>55035.672362135141</v>
      </c>
      <c r="L39" s="80">
        <f t="shared" si="11"/>
        <v>76643.121386454557</v>
      </c>
      <c r="M39" s="80">
        <f t="shared" si="12"/>
        <v>107400.88504539157</v>
      </c>
      <c r="N39" s="80">
        <f t="shared" si="13"/>
        <v>158062.04654929589</v>
      </c>
      <c r="P39" s="188">
        <f t="shared" si="0"/>
        <v>0.15017860485773635</v>
      </c>
      <c r="Q39" s="188">
        <f t="shared" si="1"/>
        <v>0.21885320635668695</v>
      </c>
      <c r="R39" s="188">
        <f t="shared" si="2"/>
        <v>0.3047767409879174</v>
      </c>
      <c r="S39" s="188">
        <f t="shared" si="3"/>
        <v>0.42708714273656245</v>
      </c>
      <c r="T39" s="188">
        <f t="shared" si="4"/>
        <v>0.62854480023420367</v>
      </c>
    </row>
    <row r="40" spans="1:20">
      <c r="A40" s="88">
        <v>2002</v>
      </c>
      <c r="B40" s="73">
        <f>CBR!B125</f>
        <v>538277</v>
      </c>
      <c r="C40" s="127"/>
      <c r="D40" s="80">
        <f t="shared" si="14"/>
        <v>255249.58642993897</v>
      </c>
      <c r="E40" s="80">
        <f t="shared" si="5"/>
        <v>287627.43447242706</v>
      </c>
      <c r="F40" s="80">
        <f t="shared" si="6"/>
        <v>324760.53641593637</v>
      </c>
      <c r="G40" s="80">
        <f t="shared" si="7"/>
        <v>369875.25401815667</v>
      </c>
      <c r="H40" s="80">
        <f t="shared" si="8"/>
        <v>431093.22327464796</v>
      </c>
      <c r="I40" s="127"/>
      <c r="J40" s="80">
        <f t="shared" si="15"/>
        <v>283027.41357006103</v>
      </c>
      <c r="K40" s="80">
        <f t="shared" ref="K40:N42" si="16">ABS(E40-$B40)</f>
        <v>250649.56552757294</v>
      </c>
      <c r="L40" s="80">
        <f t="shared" si="16"/>
        <v>213516.46358406363</v>
      </c>
      <c r="M40" s="80">
        <f t="shared" si="16"/>
        <v>168401.74598184333</v>
      </c>
      <c r="N40" s="80">
        <f t="shared" si="16"/>
        <v>107183.77672535204</v>
      </c>
      <c r="P40" s="188">
        <f t="shared" si="0"/>
        <v>0.52580253952901768</v>
      </c>
      <c r="Q40" s="188">
        <f t="shared" si="1"/>
        <v>0.4656516357332246</v>
      </c>
      <c r="R40" s="188">
        <f t="shared" si="2"/>
        <v>0.3966665185101047</v>
      </c>
      <c r="S40" s="188">
        <f t="shared" si="3"/>
        <v>0.31285331898231455</v>
      </c>
      <c r="T40" s="188">
        <f t="shared" si="4"/>
        <v>0.19912382792753924</v>
      </c>
    </row>
    <row r="41" spans="1:20">
      <c r="A41" s="90">
        <v>2003</v>
      </c>
      <c r="B41" s="73">
        <f>CBR!B126</f>
        <v>363489</v>
      </c>
      <c r="C41" s="127"/>
      <c r="D41" s="80">
        <f t="shared" si="14"/>
        <v>509974.25864299387</v>
      </c>
      <c r="E41" s="80">
        <f t="shared" si="5"/>
        <v>541974.78689448535</v>
      </c>
      <c r="F41" s="80">
        <f t="shared" si="6"/>
        <v>581877.46092478093</v>
      </c>
      <c r="G41" s="80">
        <f t="shared" si="7"/>
        <v>632399.40160726267</v>
      </c>
      <c r="H41" s="80">
        <f t="shared" si="8"/>
        <v>699995.91163732391</v>
      </c>
      <c r="I41" s="127"/>
      <c r="J41" s="80">
        <f t="shared" si="15"/>
        <v>146485.25864299387</v>
      </c>
      <c r="K41" s="80">
        <f t="shared" si="16"/>
        <v>178485.78689448535</v>
      </c>
      <c r="L41" s="80">
        <f t="shared" si="16"/>
        <v>218388.46092478093</v>
      </c>
      <c r="M41" s="80">
        <f t="shared" si="16"/>
        <v>268910.40160726267</v>
      </c>
      <c r="N41" s="80">
        <f t="shared" si="16"/>
        <v>336506.91163732391</v>
      </c>
      <c r="P41" s="188">
        <f t="shared" si="0"/>
        <v>0.40299777611700455</v>
      </c>
      <c r="Q41" s="188">
        <f t="shared" si="1"/>
        <v>0.49103490585543264</v>
      </c>
      <c r="R41" s="188">
        <f t="shared" si="2"/>
        <v>0.60081174650341806</v>
      </c>
      <c r="S41" s="188">
        <f t="shared" si="3"/>
        <v>0.73980340975177428</v>
      </c>
      <c r="T41" s="188">
        <f t="shared" si="4"/>
        <v>0.92576917496079358</v>
      </c>
    </row>
    <row r="42" spans="1:20">
      <c r="A42" s="90">
        <v>2004</v>
      </c>
      <c r="B42" s="73">
        <f>CBR!B127</f>
        <v>467859</v>
      </c>
      <c r="C42" s="127"/>
      <c r="D42" s="80">
        <f t="shared" si="14"/>
        <v>378137.52586429944</v>
      </c>
      <c r="E42" s="80">
        <f t="shared" si="5"/>
        <v>435535.05737889709</v>
      </c>
      <c r="F42" s="80">
        <f t="shared" si="6"/>
        <v>501703.33827743435</v>
      </c>
      <c r="G42" s="80">
        <f t="shared" si="7"/>
        <v>580099.86064290511</v>
      </c>
      <c r="H42" s="80">
        <f t="shared" si="8"/>
        <v>677138.05581866205</v>
      </c>
      <c r="I42" s="127"/>
      <c r="J42" s="80">
        <f t="shared" si="15"/>
        <v>89721.474135700555</v>
      </c>
      <c r="K42" s="80">
        <f t="shared" si="16"/>
        <v>32323.942621102906</v>
      </c>
      <c r="L42" s="80">
        <f t="shared" si="16"/>
        <v>33844.338277434348</v>
      </c>
      <c r="M42" s="80">
        <f t="shared" si="16"/>
        <v>112240.86064290511</v>
      </c>
      <c r="N42" s="80">
        <f t="shared" si="16"/>
        <v>209279.05581866205</v>
      </c>
      <c r="P42" s="188">
        <f t="shared" si="0"/>
        <v>0.19177032852996428</v>
      </c>
      <c r="Q42" s="188">
        <f t="shared" si="1"/>
        <v>6.9089068760252351E-2</v>
      </c>
      <c r="R42" s="188">
        <f t="shared" si="2"/>
        <v>7.2338756500215554E-2</v>
      </c>
      <c r="S42" s="188">
        <f t="shared" si="3"/>
        <v>0.23990317733100167</v>
      </c>
      <c r="T42" s="188">
        <f t="shared" si="4"/>
        <v>0.44731223684627641</v>
      </c>
    </row>
    <row r="43" spans="1:20">
      <c r="A43" s="90">
        <v>2005</v>
      </c>
      <c r="B43" s="73">
        <f>CBR!B128</f>
        <v>263465</v>
      </c>
      <c r="C43" s="127"/>
      <c r="D43" s="80">
        <f t="shared" si="14"/>
        <v>458886.85258642997</v>
      </c>
      <c r="E43" s="80">
        <f t="shared" si="5"/>
        <v>508180.11147577944</v>
      </c>
      <c r="F43" s="80">
        <f t="shared" si="6"/>
        <v>571584.10148323036</v>
      </c>
      <c r="G43" s="80">
        <f t="shared" si="7"/>
        <v>653113.04425716214</v>
      </c>
      <c r="H43" s="80">
        <f t="shared" si="8"/>
        <v>759642.12790933112</v>
      </c>
      <c r="I43" s="127"/>
      <c r="J43" s="80">
        <f t="shared" si="15"/>
        <v>195421.85258642997</v>
      </c>
      <c r="K43" s="80">
        <f t="shared" ref="K43:N44" si="17">ABS(E43-$B43)</f>
        <v>244715.11147577944</v>
      </c>
      <c r="L43" s="80">
        <f t="shared" si="17"/>
        <v>308119.10148323036</v>
      </c>
      <c r="M43" s="80">
        <f t="shared" si="17"/>
        <v>389648.04425716214</v>
      </c>
      <c r="N43" s="80">
        <f t="shared" si="17"/>
        <v>496177.12790933112</v>
      </c>
      <c r="P43" s="188">
        <f t="shared" ref="P43:T44" si="18">ABS(($B43-D43)/$B43)</f>
        <v>0.74173743224500399</v>
      </c>
      <c r="Q43" s="188">
        <f t="shared" si="18"/>
        <v>0.92883347494270374</v>
      </c>
      <c r="R43" s="188">
        <f t="shared" si="18"/>
        <v>1.1694877933813992</v>
      </c>
      <c r="S43" s="188">
        <f t="shared" si="18"/>
        <v>1.4789366491077074</v>
      </c>
      <c r="T43" s="188">
        <f t="shared" si="18"/>
        <v>1.8832753037759518</v>
      </c>
    </row>
    <row r="44" spans="1:20">
      <c r="A44" s="88">
        <v>2006</v>
      </c>
      <c r="B44" s="73">
        <f>CBR!B129</f>
        <v>312150</v>
      </c>
      <c r="C44" s="127"/>
      <c r="D44" s="80">
        <f t="shared" si="14"/>
        <v>283007.185258643</v>
      </c>
      <c r="E44" s="80">
        <f t="shared" si="5"/>
        <v>338754.52229515591</v>
      </c>
      <c r="F44" s="80">
        <f t="shared" si="6"/>
        <v>408593.73044496914</v>
      </c>
      <c r="G44" s="80">
        <f t="shared" si="7"/>
        <v>498363.7177028649</v>
      </c>
      <c r="H44" s="80">
        <f t="shared" si="8"/>
        <v>616939.56395466556</v>
      </c>
      <c r="I44" s="127"/>
      <c r="J44" s="80">
        <f t="shared" si="15"/>
        <v>29142.814741356997</v>
      </c>
      <c r="K44" s="80">
        <f t="shared" si="17"/>
        <v>26604.522295155912</v>
      </c>
      <c r="L44" s="80">
        <f t="shared" si="17"/>
        <v>96443.730444969144</v>
      </c>
      <c r="M44" s="80">
        <f t="shared" si="17"/>
        <v>186213.7177028649</v>
      </c>
      <c r="N44" s="80">
        <f t="shared" si="17"/>
        <v>304789.56395466556</v>
      </c>
      <c r="P44" s="188">
        <f t="shared" si="18"/>
        <v>9.3361572133131496E-2</v>
      </c>
      <c r="Q44" s="188">
        <f t="shared" si="18"/>
        <v>8.5229928864827526E-2</v>
      </c>
      <c r="R44" s="188">
        <f t="shared" si="18"/>
        <v>0.30896597932074049</v>
      </c>
      <c r="S44" s="188">
        <f t="shared" si="18"/>
        <v>0.59655203492828734</v>
      </c>
      <c r="T44" s="188">
        <f t="shared" si="18"/>
        <v>0.97642019527363622</v>
      </c>
    </row>
    <row r="45" spans="1:20">
      <c r="A45" s="90">
        <v>2007</v>
      </c>
      <c r="B45" s="73">
        <f>CBR!B130</f>
        <v>117182</v>
      </c>
      <c r="C45" s="127"/>
      <c r="D45" s="80">
        <f t="shared" si="14"/>
        <v>309235.7185258643</v>
      </c>
      <c r="E45" s="80">
        <f t="shared" si="5"/>
        <v>348685.90445903118</v>
      </c>
      <c r="F45" s="80">
        <f t="shared" si="6"/>
        <v>403513.11913349072</v>
      </c>
      <c r="G45" s="80">
        <f t="shared" si="7"/>
        <v>480280.48708114598</v>
      </c>
      <c r="H45" s="80">
        <f t="shared" si="8"/>
        <v>589404.78197733278</v>
      </c>
      <c r="I45" s="127"/>
      <c r="J45" s="80">
        <f t="shared" ref="J45:N47" si="19">ABS(D45-$B45)</f>
        <v>192053.7185258643</v>
      </c>
      <c r="K45" s="80">
        <f t="shared" si="19"/>
        <v>231503.90445903118</v>
      </c>
      <c r="L45" s="80">
        <f t="shared" si="19"/>
        <v>286331.11913349072</v>
      </c>
      <c r="M45" s="80">
        <f t="shared" si="19"/>
        <v>363098.48708114598</v>
      </c>
      <c r="N45" s="80">
        <f t="shared" si="19"/>
        <v>472222.78197733278</v>
      </c>
      <c r="P45" s="188">
        <f t="shared" ref="P45:T47" si="20">ABS(($B45-D45)/$B45)</f>
        <v>1.6389353187850038</v>
      </c>
      <c r="Q45" s="188">
        <f t="shared" si="20"/>
        <v>1.9755927058680616</v>
      </c>
      <c r="R45" s="188">
        <f t="shared" si="20"/>
        <v>2.4434735636317071</v>
      </c>
      <c r="S45" s="188">
        <f t="shared" si="20"/>
        <v>3.0985858500550085</v>
      </c>
      <c r="T45" s="188">
        <f t="shared" si="20"/>
        <v>4.0298235392580155</v>
      </c>
    </row>
    <row r="46" spans="1:20">
      <c r="A46" s="90">
        <v>2008</v>
      </c>
      <c r="B46" s="73">
        <f>CBR!B131</f>
        <v>202412</v>
      </c>
      <c r="C46" s="127"/>
      <c r="D46" s="128">
        <f t="shared" ref="D46:D52" si="21">0.9*$B45+D$7*D45</f>
        <v>136387.37185258642</v>
      </c>
      <c r="E46" s="128">
        <f t="shared" si="5"/>
        <v>175200.98089180625</v>
      </c>
      <c r="F46" s="128">
        <f t="shared" si="6"/>
        <v>226517.73574004721</v>
      </c>
      <c r="G46" s="128">
        <f t="shared" si="7"/>
        <v>297575.99483245838</v>
      </c>
      <c r="H46" s="128">
        <f t="shared" si="8"/>
        <v>400166.19098866638</v>
      </c>
      <c r="I46" s="127"/>
      <c r="J46" s="80">
        <f t="shared" si="19"/>
        <v>66024.628147413576</v>
      </c>
      <c r="K46" s="80">
        <f t="shared" si="19"/>
        <v>27211.019108193752</v>
      </c>
      <c r="L46" s="80">
        <f t="shared" si="19"/>
        <v>24105.73574004721</v>
      </c>
      <c r="M46" s="80">
        <f t="shared" si="19"/>
        <v>95163.994832458382</v>
      </c>
      <c r="N46" s="80">
        <f t="shared" si="19"/>
        <v>197754.19098866638</v>
      </c>
      <c r="P46" s="188">
        <f t="shared" si="20"/>
        <v>0.32618929780553313</v>
      </c>
      <c r="Q46" s="188">
        <f t="shared" si="20"/>
        <v>0.1344338236280149</v>
      </c>
      <c r="R46" s="188">
        <f t="shared" si="20"/>
        <v>0.11909242406600008</v>
      </c>
      <c r="S46" s="188">
        <f t="shared" si="20"/>
        <v>0.47014996557742811</v>
      </c>
      <c r="T46" s="188">
        <f t="shared" si="20"/>
        <v>0.97698847394752475</v>
      </c>
    </row>
    <row r="47" spans="1:20">
      <c r="A47" s="90">
        <v>2009</v>
      </c>
      <c r="B47" s="73">
        <f>CBR!B132</f>
        <v>207776</v>
      </c>
      <c r="C47" s="127"/>
      <c r="D47" s="128">
        <f t="shared" si="21"/>
        <v>195809.53718525867</v>
      </c>
      <c r="E47" s="128">
        <f t="shared" ref="E47:H50" si="22">0.9*$B46+E$7*E46</f>
        <v>217210.99617836127</v>
      </c>
      <c r="F47" s="128">
        <f t="shared" si="22"/>
        <v>250126.12072201417</v>
      </c>
      <c r="G47" s="128">
        <f t="shared" si="22"/>
        <v>301201.1979329834</v>
      </c>
      <c r="H47" s="128">
        <f t="shared" si="22"/>
        <v>382253.89549433324</v>
      </c>
      <c r="I47" s="127"/>
      <c r="J47" s="80">
        <f t="shared" si="19"/>
        <v>11966.462814741331</v>
      </c>
      <c r="K47" s="80">
        <f t="shared" si="19"/>
        <v>9434.9961783612671</v>
      </c>
      <c r="L47" s="80">
        <f t="shared" si="19"/>
        <v>42350.120722014166</v>
      </c>
      <c r="M47" s="80">
        <f t="shared" si="19"/>
        <v>93425.197932983399</v>
      </c>
      <c r="N47" s="80">
        <f t="shared" si="19"/>
        <v>174477.89549433324</v>
      </c>
      <c r="P47" s="188">
        <f t="shared" si="20"/>
        <v>5.7593094557318127E-2</v>
      </c>
      <c r="Q47" s="188">
        <f t="shared" si="20"/>
        <v>4.5409461046325213E-2</v>
      </c>
      <c r="R47" s="188">
        <f t="shared" si="20"/>
        <v>0.20382585439133569</v>
      </c>
      <c r="S47" s="188">
        <f t="shared" si="20"/>
        <v>0.4496438372717898</v>
      </c>
      <c r="T47" s="188">
        <f t="shared" si="20"/>
        <v>0.83974037181548034</v>
      </c>
    </row>
    <row r="48" spans="1:20">
      <c r="A48" s="90">
        <v>2010</v>
      </c>
      <c r="B48" s="73">
        <f>CBR!B133</f>
        <v>210621</v>
      </c>
      <c r="C48" s="127"/>
      <c r="D48" s="286">
        <f t="shared" si="21"/>
        <v>206579.35371852585</v>
      </c>
      <c r="E48" s="286">
        <f t="shared" si="22"/>
        <v>230440.59923567224</v>
      </c>
      <c r="F48" s="286">
        <f t="shared" si="22"/>
        <v>262036.23621660424</v>
      </c>
      <c r="G48" s="286">
        <f t="shared" si="22"/>
        <v>307478.87917319336</v>
      </c>
      <c r="H48" s="286">
        <f t="shared" si="22"/>
        <v>378125.34774716664</v>
      </c>
      <c r="I48" s="127"/>
      <c r="J48" s="80">
        <f t="shared" ref="J48:N49" si="23">ABS(D48-$B48)</f>
        <v>4041.6462814741535</v>
      </c>
      <c r="K48" s="80">
        <f t="shared" si="23"/>
        <v>19819.599235672242</v>
      </c>
      <c r="L48" s="80">
        <f t="shared" si="23"/>
        <v>51415.236216604244</v>
      </c>
      <c r="M48" s="80">
        <f t="shared" si="23"/>
        <v>96857.87917319336</v>
      </c>
      <c r="N48" s="80">
        <f t="shared" si="23"/>
        <v>167504.34774716664</v>
      </c>
      <c r="P48" s="188">
        <f t="shared" ref="P48:T49" si="24">ABS(($B48-D48)/$B48)</f>
        <v>1.9189189499025042E-2</v>
      </c>
      <c r="Q48" s="188">
        <f t="shared" si="24"/>
        <v>9.4100774546091046E-2</v>
      </c>
      <c r="R48" s="188">
        <f t="shared" si="24"/>
        <v>0.24411258239493805</v>
      </c>
      <c r="S48" s="188">
        <f t="shared" si="24"/>
        <v>0.45986810039451603</v>
      </c>
      <c r="T48" s="188">
        <f t="shared" si="24"/>
        <v>0.79528797103406901</v>
      </c>
    </row>
    <row r="49" spans="1:20">
      <c r="A49" s="90">
        <v>2011</v>
      </c>
      <c r="B49" s="73">
        <f>CBR!B134</f>
        <v>127502</v>
      </c>
      <c r="C49" s="127"/>
      <c r="D49" s="128">
        <f t="shared" si="21"/>
        <v>210216.83537185259</v>
      </c>
      <c r="E49" s="128">
        <f t="shared" si="22"/>
        <v>235647.01984713445</v>
      </c>
      <c r="F49" s="128">
        <f t="shared" si="22"/>
        <v>268169.77086498128</v>
      </c>
      <c r="G49" s="128">
        <f t="shared" si="22"/>
        <v>312550.45166927733</v>
      </c>
      <c r="H49" s="128">
        <f t="shared" si="22"/>
        <v>378621.57387358334</v>
      </c>
      <c r="I49" s="127"/>
      <c r="J49" s="80">
        <f t="shared" si="23"/>
        <v>82714.83537185259</v>
      </c>
      <c r="K49" s="80">
        <f t="shared" si="23"/>
        <v>108145.01984713445</v>
      </c>
      <c r="L49" s="80">
        <f t="shared" si="23"/>
        <v>140667.77086498128</v>
      </c>
      <c r="M49" s="80">
        <f t="shared" si="23"/>
        <v>185048.45166927733</v>
      </c>
      <c r="N49" s="80">
        <f t="shared" si="23"/>
        <v>251119.57387358334</v>
      </c>
      <c r="P49" s="188">
        <f t="shared" si="24"/>
        <v>0.64873363062424583</v>
      </c>
      <c r="Q49" s="188">
        <f t="shared" si="24"/>
        <v>0.84818292926490912</v>
      </c>
      <c r="R49" s="188">
        <f t="shared" si="24"/>
        <v>1.1032593282064695</v>
      </c>
      <c r="S49" s="188">
        <f t="shared" si="24"/>
        <v>1.4513376391686195</v>
      </c>
      <c r="T49" s="188">
        <f t="shared" si="24"/>
        <v>1.9695343906258989</v>
      </c>
    </row>
    <row r="50" spans="1:20">
      <c r="A50" s="90">
        <v>2012</v>
      </c>
      <c r="B50" s="73">
        <f>CBR!B135</f>
        <v>131250</v>
      </c>
      <c r="C50" s="127"/>
      <c r="D50" s="268">
        <f t="shared" si="21"/>
        <v>135773.48353718527</v>
      </c>
      <c r="E50" s="268">
        <f t="shared" si="22"/>
        <v>161881.20396942689</v>
      </c>
      <c r="F50" s="268">
        <f t="shared" si="22"/>
        <v>195202.73125949438</v>
      </c>
      <c r="G50" s="268">
        <f t="shared" si="22"/>
        <v>239771.98066771094</v>
      </c>
      <c r="H50" s="268">
        <f t="shared" si="22"/>
        <v>304062.58693679166</v>
      </c>
      <c r="I50" s="127"/>
      <c r="J50" s="80">
        <f t="shared" ref="J50:N51" si="25">ABS(D50-$B50)</f>
        <v>4523.4835371852678</v>
      </c>
      <c r="K50" s="80">
        <f t="shared" si="25"/>
        <v>30631.20396942689</v>
      </c>
      <c r="L50" s="80">
        <f t="shared" si="25"/>
        <v>63952.73125949438</v>
      </c>
      <c r="M50" s="80">
        <f t="shared" si="25"/>
        <v>108521.98066771094</v>
      </c>
      <c r="N50" s="80">
        <f t="shared" si="25"/>
        <v>172812.58693679166</v>
      </c>
      <c r="P50" s="188">
        <f>ABS(($B50-D50)/$B50)</f>
        <v>3.4464636473792519E-2</v>
      </c>
      <c r="Q50" s="188">
        <f t="shared" ref="Q50" si="26">ABS(($B50-E50)/$B50)</f>
        <v>0.23338060167182392</v>
      </c>
      <c r="R50" s="188">
        <f t="shared" ref="R50" si="27">ABS(($B50-F50)/$B50)</f>
        <v>0.48725890483424289</v>
      </c>
      <c r="S50" s="188">
        <f t="shared" ref="S50" si="28">ABS(($B50-G50)/$B50)</f>
        <v>0.82683413842065479</v>
      </c>
      <c r="T50" s="188">
        <f t="shared" ref="T50" si="29">ABS(($B50-H50)/$B50)</f>
        <v>1.3166673290422222</v>
      </c>
    </row>
    <row r="51" spans="1:20">
      <c r="A51" s="90">
        <v>2013</v>
      </c>
      <c r="B51" s="73">
        <f>CBR!B136</f>
        <v>244985</v>
      </c>
      <c r="C51" s="127"/>
      <c r="D51" s="268">
        <f t="shared" si="21"/>
        <v>131702.34835371852</v>
      </c>
      <c r="E51" s="268">
        <f t="shared" ref="E51:H52" si="30">0.9*$B50+E$7*E50</f>
        <v>150501.24079388537</v>
      </c>
      <c r="F51" s="268">
        <f t="shared" si="30"/>
        <v>176685.8193778483</v>
      </c>
      <c r="G51" s="268">
        <f t="shared" si="30"/>
        <v>214033.79226708438</v>
      </c>
      <c r="H51" s="268">
        <f t="shared" si="30"/>
        <v>270156.29346839583</v>
      </c>
      <c r="I51" s="127"/>
      <c r="J51" s="80">
        <f t="shared" si="25"/>
        <v>113282.65164628148</v>
      </c>
      <c r="K51" s="80">
        <f t="shared" si="25"/>
        <v>94483.759206114628</v>
      </c>
      <c r="L51" s="80">
        <f t="shared" si="25"/>
        <v>68299.180622151704</v>
      </c>
      <c r="M51" s="80">
        <f t="shared" si="25"/>
        <v>30951.207732915616</v>
      </c>
      <c r="N51" s="80">
        <f t="shared" si="25"/>
        <v>25171.29346839583</v>
      </c>
      <c r="P51" s="188">
        <f>ABS(($B51-D51)/$B51)</f>
        <v>0.46240648058567452</v>
      </c>
      <c r="Q51" s="188">
        <f t="shared" ref="Q51" si="31">ABS(($B51-E51)/$B51)</f>
        <v>0.38567160930716016</v>
      </c>
      <c r="R51" s="188">
        <f t="shared" ref="R51" si="32">ABS(($B51-F51)/$B51)</f>
        <v>0.27878923453334575</v>
      </c>
      <c r="S51" s="188">
        <f t="shared" ref="S51" si="33">ABS(($B51-G51)/$B51)</f>
        <v>0.126339195187116</v>
      </c>
      <c r="T51" s="188">
        <f t="shared" ref="T51" si="34">ABS(($B51-H51)/$B51)</f>
        <v>0.10274626392797857</v>
      </c>
    </row>
    <row r="52" spans="1:20">
      <c r="A52" s="90">
        <v>2014</v>
      </c>
      <c r="B52" s="73"/>
      <c r="C52" s="127"/>
      <c r="D52" s="268">
        <f t="shared" si="21"/>
        <v>233656.73483537184</v>
      </c>
      <c r="E52" s="268">
        <f t="shared" si="30"/>
        <v>250586.74815877707</v>
      </c>
      <c r="F52" s="268">
        <f t="shared" si="30"/>
        <v>273492.2458133545</v>
      </c>
      <c r="G52" s="268">
        <f t="shared" si="30"/>
        <v>306100.01690683374</v>
      </c>
      <c r="H52" s="268">
        <f t="shared" si="30"/>
        <v>355564.64673419792</v>
      </c>
      <c r="I52" s="127"/>
      <c r="J52" s="80"/>
      <c r="K52" s="80"/>
      <c r="L52" s="80"/>
      <c r="M52" s="80"/>
      <c r="N52" s="80"/>
      <c r="P52" s="188"/>
      <c r="Q52" s="188"/>
      <c r="R52" s="188"/>
      <c r="S52" s="188"/>
      <c r="T52" s="188"/>
    </row>
    <row r="53" spans="1:20">
      <c r="A53" s="90"/>
      <c r="B53" s="73"/>
      <c r="C53" s="127"/>
      <c r="D53" s="128"/>
      <c r="E53" s="128"/>
      <c r="F53" s="128"/>
      <c r="G53" s="128"/>
      <c r="H53" s="128"/>
      <c r="I53" s="127"/>
      <c r="J53" s="80"/>
      <c r="K53" s="80"/>
      <c r="L53" s="80"/>
      <c r="M53" s="80"/>
      <c r="N53" s="80"/>
      <c r="P53" s="188"/>
      <c r="Q53" s="188"/>
      <c r="R53" s="188"/>
      <c r="S53" s="188"/>
      <c r="T53" s="188"/>
    </row>
    <row r="54" spans="1:20">
      <c r="B54" s="60"/>
      <c r="C54" s="127"/>
      <c r="D54" s="127"/>
      <c r="E54" s="60"/>
      <c r="F54" s="60"/>
    </row>
    <row r="55" spans="1:20">
      <c r="A55" s="60"/>
      <c r="B55" s="60"/>
      <c r="C55" s="60"/>
      <c r="D55" s="60"/>
      <c r="E55" s="60"/>
      <c r="F55" s="60"/>
      <c r="G55" s="94"/>
      <c r="H55" s="114" t="s">
        <v>113</v>
      </c>
      <c r="I55" s="94"/>
      <c r="J55" s="125">
        <f>AVERAGE(J9:J54)</f>
        <v>115688.69769081727</v>
      </c>
      <c r="K55" s="125">
        <f>AVERAGE(K9:K54)</f>
        <v>118609.13494711641</v>
      </c>
      <c r="L55" s="125">
        <f>AVERAGE(L9:L54)</f>
        <v>132222.9995244465</v>
      </c>
      <c r="M55" s="125">
        <f>AVERAGE(M9:M54)</f>
        <v>161073.25699507291</v>
      </c>
      <c r="N55" s="125">
        <f>AVERAGE(N9:N54)</f>
        <v>215551.58015572367</v>
      </c>
      <c r="O55" s="125"/>
      <c r="P55" s="224">
        <f>AVERAGE(P9:P54)</f>
        <v>0.76049846816496736</v>
      </c>
      <c r="Q55" s="224">
        <f>AVERAGE(Q9:Q54)</f>
        <v>0.88851635110023164</v>
      </c>
      <c r="R55" s="224">
        <f>AVERAGE(R9:R54)</f>
        <v>1.094680070903302</v>
      </c>
      <c r="S55" s="224">
        <f>AVERAGE(S9:S54)</f>
        <v>1.4122644967890858</v>
      </c>
      <c r="T55" s="224">
        <f>AVERAGE(T9:T54)</f>
        <v>1.8926018921614141</v>
      </c>
    </row>
    <row r="56" spans="1:20">
      <c r="A56" s="60"/>
      <c r="B56" s="60"/>
      <c r="C56" s="60"/>
      <c r="D56" s="60"/>
      <c r="E56" s="60"/>
      <c r="F56" s="60"/>
      <c r="H56" s="59" t="s">
        <v>121</v>
      </c>
      <c r="J56" s="128">
        <f>MIN(J9:J54)</f>
        <v>1195.0917000000045</v>
      </c>
      <c r="K56" s="128">
        <f>MIN(K9:K54)</f>
        <v>4606.8847132159863</v>
      </c>
      <c r="L56" s="128">
        <f>MIN(L9:L54)</f>
        <v>7800.4908370000048</v>
      </c>
      <c r="M56" s="128">
        <f>MIN(M9:M54)</f>
        <v>5636.5830441472353</v>
      </c>
      <c r="N56" s="128">
        <f>MIN(N9:N54)</f>
        <v>6926.8372070313198</v>
      </c>
      <c r="O56" s="128"/>
      <c r="P56" s="225">
        <f>MIN(P9:P54)</f>
        <v>1.9189189499025042E-2</v>
      </c>
      <c r="Q56" s="225">
        <f>MIN(Q9:Q54)</f>
        <v>2.0447870222308959E-2</v>
      </c>
      <c r="R56" s="225">
        <f>MIN(R9:R54)</f>
        <v>4.2397747004816647E-2</v>
      </c>
      <c r="S56" s="225">
        <f>MIN(S9:S54)</f>
        <v>1.8173497824136509E-2</v>
      </c>
      <c r="T56" s="225">
        <f>MIN(T9:T54)</f>
        <v>1.5231751938990902E-2</v>
      </c>
    </row>
    <row r="57" spans="1:20">
      <c r="H57" s="59" t="s">
        <v>122</v>
      </c>
      <c r="J57" s="128">
        <f>MAX(J9:J54)</f>
        <v>394356.1049891251</v>
      </c>
      <c r="K57" s="128">
        <f>MAX(K9:K54)</f>
        <v>430197.63167221087</v>
      </c>
      <c r="L57" s="128">
        <f>MAX(L9:L54)</f>
        <v>511749.11376729095</v>
      </c>
      <c r="M57" s="128">
        <f>MAX(M9:M54)</f>
        <v>609169.30521401751</v>
      </c>
      <c r="N57" s="128">
        <f>MAX(N9:N54)</f>
        <v>731706.2895774662</v>
      </c>
      <c r="O57" s="128"/>
      <c r="P57" s="225">
        <f>MAX(P9:P54)</f>
        <v>11.272673343428972</v>
      </c>
      <c r="Q57" s="225">
        <f>MAX(Q9:Q54)</f>
        <v>14.994089104547717</v>
      </c>
      <c r="R57" s="225">
        <f>MAX(R9:R54)</f>
        <v>19.646180002690144</v>
      </c>
      <c r="S57" s="225">
        <f>MAX(S9:S54)</f>
        <v>25.512774554331425</v>
      </c>
      <c r="T57" s="225">
        <f>MAX(T9:T54)</f>
        <v>33.096909562003276</v>
      </c>
    </row>
    <row r="58" spans="1:20">
      <c r="A58" s="87"/>
      <c r="B58" s="87"/>
      <c r="C58" s="87"/>
      <c r="D58" s="87"/>
      <c r="E58" s="87"/>
      <c r="F58" s="87"/>
      <c r="G58" s="87"/>
      <c r="H58" s="79" t="s">
        <v>123</v>
      </c>
      <c r="I58" s="87"/>
      <c r="J58" s="159">
        <f>STDEV(J9:J54)</f>
        <v>95974.577874180875</v>
      </c>
      <c r="K58" s="159">
        <f>STDEV(K9:K54)</f>
        <v>106585.68676215687</v>
      </c>
      <c r="L58" s="159">
        <f>STDEV(L9:L54)</f>
        <v>122166.30140742532</v>
      </c>
      <c r="M58" s="159">
        <f>STDEV(M9:M54)</f>
        <v>146203.55969264358</v>
      </c>
      <c r="N58" s="159">
        <f>STDEV(N9:N54)</f>
        <v>178869.12170430264</v>
      </c>
      <c r="O58" s="159"/>
      <c r="P58" s="226">
        <f>STDEV(P9:P54)</f>
        <v>1.7326179727594644</v>
      </c>
      <c r="Q58" s="226">
        <f>STDEV(Q9:Q54)</f>
        <v>2.313289596315621</v>
      </c>
      <c r="R58" s="226">
        <f>STDEV(R9:R54)</f>
        <v>3.0309916251895124</v>
      </c>
      <c r="S58" s="226">
        <f>STDEV(S9:S54)</f>
        <v>3.9271717111646858</v>
      </c>
      <c r="T58" s="226">
        <f>STDEV(T9:T54)</f>
        <v>5.0749460787765317</v>
      </c>
    </row>
  </sheetData>
  <phoneticPr fontId="17" type="noConversion"/>
  <pageMargins left="1" right="1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/>
  <dimension ref="A1:T79"/>
  <sheetViews>
    <sheetView defaultGridColor="0" colorId="22" zoomScale="50" workbookViewId="0"/>
  </sheetViews>
  <sheetFormatPr defaultColWidth="9.6640625" defaultRowHeight="15"/>
  <sheetData>
    <row r="1" spans="1:20">
      <c r="A1" t="s">
        <v>0</v>
      </c>
      <c r="F1" s="105" t="str">
        <f ca="1">CELL("filename",F2)</f>
        <v>O:\DCF\SALMON\FORECAST\2014\[2014_Copper_&amp;_ Bering_Wild_Coho_FINAL.xlsx]PWS</v>
      </c>
    </row>
    <row r="2" spans="1:20">
      <c r="A2" t="s">
        <v>1</v>
      </c>
      <c r="F2" s="105" t="e">
        <f ca="1">CELL("sheetname",F3)</f>
        <v>#VALUE!</v>
      </c>
    </row>
    <row r="3" spans="1:20">
      <c r="A3" t="s">
        <v>2</v>
      </c>
      <c r="F3" s="1">
        <v>34711</v>
      </c>
    </row>
    <row r="4" spans="1:20">
      <c r="F4" s="1"/>
    </row>
    <row r="5" spans="1:20">
      <c r="B5" t="s">
        <v>3</v>
      </c>
      <c r="F5" s="1"/>
    </row>
    <row r="6" spans="1:20">
      <c r="B6" t="s">
        <v>4</v>
      </c>
      <c r="F6" s="1"/>
    </row>
    <row r="7" spans="1:20">
      <c r="B7" s="2" t="s">
        <v>5</v>
      </c>
    </row>
    <row r="9" spans="1:20">
      <c r="A9" s="3" t="s">
        <v>6</v>
      </c>
      <c r="B9" s="3"/>
      <c r="C9" s="3"/>
      <c r="D9" s="3"/>
      <c r="E9" s="3"/>
      <c r="F9" s="4"/>
      <c r="G9" s="4"/>
      <c r="H9" s="4"/>
      <c r="I9" s="4"/>
      <c r="J9" s="4"/>
      <c r="K9" s="4"/>
      <c r="L9" s="3" t="s">
        <v>7</v>
      </c>
      <c r="M9" s="4"/>
      <c r="N9" s="4"/>
      <c r="O9" s="4"/>
      <c r="P9" s="4"/>
      <c r="Q9" s="4"/>
      <c r="R9" s="4"/>
      <c r="S9" s="4"/>
      <c r="T9" s="5"/>
    </row>
    <row r="10" spans="1:20">
      <c r="A10" s="6"/>
      <c r="B10" s="7" t="s">
        <v>8</v>
      </c>
      <c r="C10" s="8"/>
      <c r="D10" s="8"/>
      <c r="E10" s="8"/>
      <c r="F10" s="9"/>
      <c r="G10" s="7" t="s">
        <v>9</v>
      </c>
      <c r="H10" s="8"/>
      <c r="I10" s="8"/>
      <c r="J10" s="9"/>
      <c r="K10" s="9"/>
      <c r="L10" s="10" t="s">
        <v>10</v>
      </c>
      <c r="M10" s="11" t="s">
        <v>11</v>
      </c>
      <c r="N10" s="12"/>
      <c r="O10" s="13"/>
      <c r="P10" s="6" t="s">
        <v>12</v>
      </c>
      <c r="R10" s="6"/>
      <c r="T10" s="14"/>
    </row>
    <row r="11" spans="1:20">
      <c r="A11" s="15"/>
      <c r="B11" s="10">
        <v>221</v>
      </c>
      <c r="C11" s="10">
        <v>222</v>
      </c>
      <c r="D11" s="10">
        <v>223</v>
      </c>
      <c r="E11" s="10">
        <v>226</v>
      </c>
      <c r="F11" s="10" t="s">
        <v>13</v>
      </c>
      <c r="G11" s="10">
        <v>229</v>
      </c>
      <c r="H11" s="10">
        <v>223</v>
      </c>
      <c r="I11" s="10">
        <v>225</v>
      </c>
      <c r="J11" s="10" t="s">
        <v>14</v>
      </c>
      <c r="K11" s="10" t="s">
        <v>10</v>
      </c>
      <c r="L11" s="16" t="s">
        <v>15</v>
      </c>
      <c r="M11" s="11" t="s">
        <v>16</v>
      </c>
      <c r="N11" s="12"/>
      <c r="O11" s="13"/>
      <c r="P11" s="15" t="s">
        <v>17</v>
      </c>
      <c r="R11" s="15" t="s">
        <v>18</v>
      </c>
      <c r="T11" s="14"/>
    </row>
    <row r="12" spans="1:20">
      <c r="A12" s="17" t="s">
        <v>19</v>
      </c>
      <c r="B12" s="18" t="s">
        <v>20</v>
      </c>
      <c r="C12" s="18" t="s">
        <v>21</v>
      </c>
      <c r="D12" s="18" t="s">
        <v>22</v>
      </c>
      <c r="E12" s="18" t="s">
        <v>23</v>
      </c>
      <c r="F12" s="18" t="s">
        <v>17</v>
      </c>
      <c r="G12" s="18" t="s">
        <v>24</v>
      </c>
      <c r="H12" s="18" t="s">
        <v>25</v>
      </c>
      <c r="I12" s="18" t="s">
        <v>26</v>
      </c>
      <c r="J12" s="18" t="s">
        <v>17</v>
      </c>
      <c r="K12" s="18" t="s">
        <v>27</v>
      </c>
      <c r="L12" s="18" t="s">
        <v>17</v>
      </c>
      <c r="M12" s="19" t="s">
        <v>28</v>
      </c>
      <c r="N12" s="19" t="s">
        <v>29</v>
      </c>
      <c r="O12" s="19" t="s">
        <v>17</v>
      </c>
      <c r="P12" s="20" t="s">
        <v>30</v>
      </c>
      <c r="Q12" s="21" t="s">
        <v>31</v>
      </c>
      <c r="R12" s="17" t="s">
        <v>16</v>
      </c>
      <c r="T12" s="14"/>
    </row>
    <row r="13" spans="1:20">
      <c r="A13" s="22"/>
      <c r="B13" s="3"/>
      <c r="C13" s="4"/>
      <c r="D13" s="4"/>
      <c r="E13" s="4"/>
      <c r="F13" s="6"/>
      <c r="G13" s="3"/>
      <c r="H13" s="4"/>
      <c r="I13" s="4"/>
      <c r="J13" s="6"/>
      <c r="K13" s="6"/>
      <c r="L13" s="14"/>
      <c r="T13" s="14"/>
    </row>
    <row r="14" spans="1:20">
      <c r="A14" s="22">
        <v>1968</v>
      </c>
      <c r="B14" s="22"/>
      <c r="F14" s="25">
        <v>5067</v>
      </c>
      <c r="G14" s="26">
        <v>49</v>
      </c>
      <c r="H14" s="27">
        <v>2053</v>
      </c>
      <c r="I14" s="27">
        <v>0</v>
      </c>
      <c r="J14" s="25"/>
      <c r="K14" s="25"/>
      <c r="L14" s="242">
        <f t="shared" ref="L14:L41" si="0">SUM(F14:I14)</f>
        <v>7169</v>
      </c>
      <c r="P14" s="105">
        <f t="shared" ref="P14:P31" si="1">L14</f>
        <v>7169</v>
      </c>
      <c r="Q14" t="s">
        <v>32</v>
      </c>
      <c r="T14" s="14"/>
    </row>
    <row r="15" spans="1:20">
      <c r="A15" s="22">
        <v>1969</v>
      </c>
      <c r="B15" s="22"/>
      <c r="F15" s="25">
        <v>5857</v>
      </c>
      <c r="G15" s="26">
        <v>0</v>
      </c>
      <c r="H15" s="27">
        <v>242</v>
      </c>
      <c r="I15" s="27">
        <v>211</v>
      </c>
      <c r="J15" s="25"/>
      <c r="K15" s="25"/>
      <c r="L15" s="242">
        <f t="shared" si="0"/>
        <v>6310</v>
      </c>
      <c r="P15" s="105">
        <f t="shared" si="1"/>
        <v>6310</v>
      </c>
      <c r="Q15" t="s">
        <v>33</v>
      </c>
      <c r="T15" s="14"/>
    </row>
    <row r="16" spans="1:20">
      <c r="A16" s="22">
        <v>1970</v>
      </c>
      <c r="B16" s="22"/>
      <c r="F16" s="25">
        <v>9120</v>
      </c>
      <c r="G16" s="26">
        <v>0</v>
      </c>
      <c r="H16" s="27">
        <v>460</v>
      </c>
      <c r="I16" s="27">
        <v>579</v>
      </c>
      <c r="J16" s="25"/>
      <c r="K16" s="25"/>
      <c r="L16" s="242">
        <f t="shared" si="0"/>
        <v>10159</v>
      </c>
      <c r="P16" s="105">
        <f t="shared" si="1"/>
        <v>10159</v>
      </c>
      <c r="Q16" t="s">
        <v>33</v>
      </c>
      <c r="T16" s="14"/>
    </row>
    <row r="17" spans="1:20">
      <c r="A17" s="22">
        <v>1971</v>
      </c>
      <c r="B17" s="22"/>
      <c r="F17" s="25">
        <v>28059</v>
      </c>
      <c r="G17" s="26">
        <v>392</v>
      </c>
      <c r="H17" s="27">
        <v>1622</v>
      </c>
      <c r="I17" s="27">
        <v>0</v>
      </c>
      <c r="J17" s="25"/>
      <c r="K17" s="25"/>
      <c r="L17" s="242">
        <f t="shared" si="0"/>
        <v>30073</v>
      </c>
      <c r="P17" s="105">
        <f t="shared" si="1"/>
        <v>30073</v>
      </c>
      <c r="Q17" t="s">
        <v>33</v>
      </c>
      <c r="T17" s="14"/>
    </row>
    <row r="18" spans="1:20">
      <c r="A18" s="22">
        <v>1972</v>
      </c>
      <c r="B18" s="22"/>
      <c r="F18" s="25"/>
      <c r="G18" s="26">
        <v>0</v>
      </c>
      <c r="H18" s="27">
        <v>296</v>
      </c>
      <c r="I18" s="27">
        <v>1146</v>
      </c>
      <c r="J18" s="25"/>
      <c r="K18" s="25"/>
      <c r="L18" s="242">
        <f t="shared" si="0"/>
        <v>1442</v>
      </c>
      <c r="P18" s="105">
        <f t="shared" si="1"/>
        <v>1442</v>
      </c>
      <c r="Q18" t="s">
        <v>33</v>
      </c>
      <c r="T18" s="14"/>
    </row>
    <row r="19" spans="1:20">
      <c r="A19" s="22">
        <v>1973</v>
      </c>
      <c r="B19" s="22"/>
      <c r="F19" s="25">
        <v>708</v>
      </c>
      <c r="G19" s="26">
        <v>0</v>
      </c>
      <c r="H19" s="27">
        <v>341</v>
      </c>
      <c r="I19" s="27">
        <v>149</v>
      </c>
      <c r="J19" s="25"/>
      <c r="K19" s="25"/>
      <c r="L19" s="242">
        <f t="shared" si="0"/>
        <v>1198</v>
      </c>
      <c r="P19" s="105">
        <f t="shared" si="1"/>
        <v>1198</v>
      </c>
      <c r="Q19" t="s">
        <v>33</v>
      </c>
      <c r="T19" s="14"/>
    </row>
    <row r="20" spans="1:20">
      <c r="A20" s="22">
        <v>1974</v>
      </c>
      <c r="B20" s="22"/>
      <c r="F20" s="25">
        <v>4</v>
      </c>
      <c r="G20" s="26">
        <v>3</v>
      </c>
      <c r="H20" s="27">
        <v>101</v>
      </c>
      <c r="I20" s="27">
        <v>125</v>
      </c>
      <c r="J20" s="25"/>
      <c r="K20" s="25"/>
      <c r="L20" s="242">
        <f t="shared" si="0"/>
        <v>233</v>
      </c>
      <c r="P20" s="105">
        <f t="shared" si="1"/>
        <v>233</v>
      </c>
      <c r="Q20" t="s">
        <v>33</v>
      </c>
      <c r="T20" s="14"/>
    </row>
    <row r="21" spans="1:20">
      <c r="A21" s="22">
        <v>1975</v>
      </c>
      <c r="B21" s="22"/>
      <c r="F21" s="25">
        <v>5526</v>
      </c>
      <c r="G21" s="26">
        <v>0</v>
      </c>
      <c r="H21" s="27">
        <v>606</v>
      </c>
      <c r="I21" s="27">
        <v>0</v>
      </c>
      <c r="J21" s="25"/>
      <c r="K21" s="25"/>
      <c r="L21" s="242">
        <f t="shared" si="0"/>
        <v>6132</v>
      </c>
      <c r="P21" s="105">
        <f t="shared" si="1"/>
        <v>6132</v>
      </c>
      <c r="Q21" t="s">
        <v>33</v>
      </c>
      <c r="T21" s="14"/>
    </row>
    <row r="22" spans="1:20">
      <c r="A22" s="22">
        <v>1976</v>
      </c>
      <c r="B22" s="22"/>
      <c r="F22" s="25">
        <v>5811</v>
      </c>
      <c r="G22" s="26">
        <v>0</v>
      </c>
      <c r="H22" s="27">
        <v>236</v>
      </c>
      <c r="I22" s="27">
        <v>0</v>
      </c>
      <c r="J22" s="25"/>
      <c r="K22" s="25"/>
      <c r="L22" s="242">
        <f t="shared" si="0"/>
        <v>6047</v>
      </c>
      <c r="P22" s="105">
        <f t="shared" si="1"/>
        <v>6047</v>
      </c>
      <c r="Q22" t="s">
        <v>33</v>
      </c>
      <c r="T22" s="14"/>
    </row>
    <row r="23" spans="1:20">
      <c r="A23" s="22">
        <v>1977</v>
      </c>
      <c r="B23" s="22"/>
      <c r="F23" s="25">
        <v>691</v>
      </c>
      <c r="G23" s="26">
        <v>2</v>
      </c>
      <c r="H23" s="27">
        <v>99</v>
      </c>
      <c r="I23" s="27">
        <v>51</v>
      </c>
      <c r="J23" s="25"/>
      <c r="K23" s="25"/>
      <c r="L23" s="242">
        <f t="shared" si="0"/>
        <v>843</v>
      </c>
      <c r="P23" s="105">
        <f t="shared" si="1"/>
        <v>843</v>
      </c>
      <c r="Q23" t="s">
        <v>33</v>
      </c>
      <c r="T23" s="14"/>
    </row>
    <row r="24" spans="1:20">
      <c r="A24" s="22">
        <v>1978</v>
      </c>
      <c r="B24" s="22"/>
      <c r="F24" s="25">
        <v>1388</v>
      </c>
      <c r="G24" s="26">
        <v>5</v>
      </c>
      <c r="H24" s="27">
        <v>98</v>
      </c>
      <c r="I24" s="27">
        <v>0</v>
      </c>
      <c r="J24" s="25"/>
      <c r="K24" s="25"/>
      <c r="L24" s="242">
        <f t="shared" si="0"/>
        <v>1491</v>
      </c>
      <c r="P24" s="105">
        <f t="shared" si="1"/>
        <v>1491</v>
      </c>
      <c r="Q24" t="s">
        <v>33</v>
      </c>
      <c r="T24" s="14"/>
    </row>
    <row r="25" spans="1:20">
      <c r="A25" s="22">
        <v>1979</v>
      </c>
      <c r="B25" s="22"/>
      <c r="F25" s="25">
        <v>4938</v>
      </c>
      <c r="G25" s="26">
        <v>9</v>
      </c>
      <c r="H25" s="27">
        <v>1892</v>
      </c>
      <c r="I25" s="27">
        <v>0</v>
      </c>
      <c r="J25" s="25"/>
      <c r="K25" s="25"/>
      <c r="L25" s="242">
        <f t="shared" si="0"/>
        <v>6839</v>
      </c>
      <c r="P25" s="105">
        <f t="shared" si="1"/>
        <v>6839</v>
      </c>
      <c r="Q25" t="s">
        <v>33</v>
      </c>
      <c r="T25" s="14"/>
    </row>
    <row r="26" spans="1:20">
      <c r="A26" s="22">
        <v>1980</v>
      </c>
      <c r="B26" s="22"/>
      <c r="F26" s="25">
        <v>1830</v>
      </c>
      <c r="G26" s="26">
        <v>6</v>
      </c>
      <c r="H26" s="27">
        <v>1053</v>
      </c>
      <c r="I26" s="27">
        <f>25+38</f>
        <v>63</v>
      </c>
      <c r="J26" s="25"/>
      <c r="K26" s="25"/>
      <c r="L26" s="242">
        <f t="shared" si="0"/>
        <v>2952</v>
      </c>
      <c r="P26" s="105">
        <f t="shared" si="1"/>
        <v>2952</v>
      </c>
      <c r="Q26" t="s">
        <v>33</v>
      </c>
      <c r="T26" s="14"/>
    </row>
    <row r="27" spans="1:20">
      <c r="A27" s="22">
        <v>1981</v>
      </c>
      <c r="B27" s="22"/>
      <c r="F27" s="25">
        <v>3375</v>
      </c>
      <c r="G27" s="26">
        <v>0</v>
      </c>
      <c r="H27" s="27">
        <v>1008</v>
      </c>
      <c r="I27" s="27">
        <v>0</v>
      </c>
      <c r="J27" s="25"/>
      <c r="K27" s="25"/>
      <c r="L27" s="242">
        <f t="shared" si="0"/>
        <v>4383</v>
      </c>
      <c r="P27" s="105">
        <f t="shared" si="1"/>
        <v>4383</v>
      </c>
      <c r="Q27" t="s">
        <v>33</v>
      </c>
      <c r="T27" s="14"/>
    </row>
    <row r="28" spans="1:20">
      <c r="A28" s="22">
        <v>1982</v>
      </c>
      <c r="B28" s="22"/>
      <c r="F28" s="25">
        <f>30204-6084</f>
        <v>24120</v>
      </c>
      <c r="G28" s="26">
        <v>0</v>
      </c>
      <c r="H28" s="27">
        <f>213+6084</f>
        <v>6297</v>
      </c>
      <c r="I28" s="27">
        <v>0</v>
      </c>
      <c r="J28" s="25"/>
      <c r="K28" s="25"/>
      <c r="L28" s="242">
        <f t="shared" si="0"/>
        <v>30417</v>
      </c>
      <c r="P28" s="105">
        <f t="shared" si="1"/>
        <v>30417</v>
      </c>
      <c r="Q28" t="s">
        <v>33</v>
      </c>
      <c r="T28" s="14"/>
    </row>
    <row r="29" spans="1:20">
      <c r="A29" s="22">
        <v>1983</v>
      </c>
      <c r="B29" s="22"/>
      <c r="F29" s="25">
        <f>9423-16</f>
        <v>9407</v>
      </c>
      <c r="G29" s="26">
        <v>0</v>
      </c>
      <c r="H29" s="27">
        <f>1013+16</f>
        <v>1029</v>
      </c>
      <c r="I29" s="27">
        <v>48</v>
      </c>
      <c r="J29" s="25"/>
      <c r="K29" s="25"/>
      <c r="L29" s="242">
        <f t="shared" si="0"/>
        <v>10484</v>
      </c>
      <c r="P29" s="105">
        <f t="shared" si="1"/>
        <v>10484</v>
      </c>
      <c r="Q29" t="s">
        <v>33</v>
      </c>
      <c r="T29" s="14"/>
    </row>
    <row r="30" spans="1:20">
      <c r="A30" s="22">
        <v>1984</v>
      </c>
      <c r="B30" s="22"/>
      <c r="F30" s="25">
        <v>27292</v>
      </c>
      <c r="G30" s="26">
        <v>27</v>
      </c>
      <c r="H30" s="27">
        <v>818</v>
      </c>
      <c r="I30" s="27">
        <f>313+347</f>
        <v>660</v>
      </c>
      <c r="J30" s="25"/>
      <c r="K30" s="25"/>
      <c r="L30" s="242">
        <f t="shared" si="0"/>
        <v>28797</v>
      </c>
      <c r="P30" s="105">
        <f t="shared" si="1"/>
        <v>28797</v>
      </c>
      <c r="Q30" t="s">
        <v>33</v>
      </c>
      <c r="T30" s="14"/>
    </row>
    <row r="31" spans="1:20">
      <c r="A31" s="22">
        <v>1985</v>
      </c>
      <c r="B31" s="22"/>
      <c r="F31" s="25">
        <f>16441-112</f>
        <v>16329</v>
      </c>
      <c r="G31" s="26">
        <v>22</v>
      </c>
      <c r="H31" s="27">
        <f>112+1131</f>
        <v>1243</v>
      </c>
      <c r="I31" s="27">
        <v>74</v>
      </c>
      <c r="J31" s="25"/>
      <c r="K31" s="25">
        <v>11633</v>
      </c>
      <c r="L31" s="242">
        <f t="shared" si="0"/>
        <v>17668</v>
      </c>
      <c r="P31" s="105">
        <f t="shared" si="1"/>
        <v>17668</v>
      </c>
      <c r="Q31" t="s">
        <v>33</v>
      </c>
      <c r="T31" s="14"/>
    </row>
    <row r="32" spans="1:20">
      <c r="A32" s="22">
        <v>1986</v>
      </c>
      <c r="B32" s="22"/>
      <c r="F32" s="29">
        <f>11418-98</f>
        <v>11320</v>
      </c>
      <c r="G32" s="30">
        <v>0.75639464068209505</v>
      </c>
      <c r="H32" s="31">
        <f>789+98</f>
        <v>887</v>
      </c>
      <c r="I32" s="31">
        <f>86+1</f>
        <v>87</v>
      </c>
      <c r="J32" s="29"/>
      <c r="K32" s="29">
        <v>16098</v>
      </c>
      <c r="L32" s="242">
        <f t="shared" si="0"/>
        <v>12294.756394640683</v>
      </c>
      <c r="M32" s="32">
        <v>3000</v>
      </c>
      <c r="N32" s="32"/>
      <c r="O32" s="32">
        <v>3000</v>
      </c>
      <c r="P32" s="96">
        <f>L32-O32</f>
        <v>9294.7563946406826</v>
      </c>
      <c r="Q32" t="s">
        <v>34</v>
      </c>
      <c r="R32" s="24"/>
      <c r="S32" s="24"/>
      <c r="T32" s="28"/>
    </row>
    <row r="33" spans="1:20">
      <c r="A33" s="22">
        <v>1987</v>
      </c>
      <c r="B33" s="22"/>
      <c r="F33" s="29">
        <f>27000-1956</f>
        <v>25044</v>
      </c>
      <c r="G33" s="30">
        <v>0.60300307935700725</v>
      </c>
      <c r="H33" s="31">
        <f>1956+13396</f>
        <v>15352</v>
      </c>
      <c r="I33" s="31">
        <f>336+3</f>
        <v>339</v>
      </c>
      <c r="J33" s="29"/>
      <c r="K33" s="29">
        <v>16680</v>
      </c>
      <c r="L33" s="242">
        <f t="shared" si="0"/>
        <v>40735.603003079355</v>
      </c>
      <c r="M33" s="32">
        <v>4500</v>
      </c>
      <c r="N33" s="32">
        <v>11771.3157894737</v>
      </c>
      <c r="O33" s="32">
        <v>16271.3157894737</v>
      </c>
      <c r="P33" s="96">
        <f>L33-O33</f>
        <v>24464.287213605654</v>
      </c>
      <c r="Q33" t="s">
        <v>35</v>
      </c>
      <c r="R33" s="241">
        <f t="shared" ref="R33:R40" si="2">O33/L33</f>
        <v>0.39943721437592788</v>
      </c>
      <c r="S33" s="24"/>
      <c r="T33" s="28"/>
    </row>
    <row r="34" spans="1:20">
      <c r="A34" s="22">
        <v>1988</v>
      </c>
      <c r="B34" s="22"/>
      <c r="F34" s="29">
        <f>27124-15787</f>
        <v>11337</v>
      </c>
      <c r="G34" s="30">
        <v>7</v>
      </c>
      <c r="H34" s="31">
        <f>15787+41307</f>
        <v>57094</v>
      </c>
      <c r="I34" s="31">
        <f>794+283</f>
        <v>1077</v>
      </c>
      <c r="J34" s="29"/>
      <c r="K34" s="29">
        <v>19262</v>
      </c>
      <c r="L34" s="242">
        <f t="shared" si="0"/>
        <v>69515</v>
      </c>
      <c r="M34" s="32">
        <v>6600</v>
      </c>
      <c r="N34" s="32">
        <v>54369.315789473701</v>
      </c>
      <c r="O34" s="32">
        <v>60969.315789473701</v>
      </c>
      <c r="P34" s="96">
        <f>L34-O34</f>
        <v>8545.6842105262986</v>
      </c>
      <c r="Q34" t="s">
        <v>35</v>
      </c>
      <c r="R34" s="241">
        <f t="shared" si="2"/>
        <v>0.87706704724841689</v>
      </c>
      <c r="S34" s="24"/>
      <c r="T34" s="28"/>
    </row>
    <row r="35" spans="1:20">
      <c r="A35" s="22">
        <v>1989</v>
      </c>
      <c r="B35" s="22"/>
      <c r="F35" s="29">
        <f>69428-39484</f>
        <v>29944</v>
      </c>
      <c r="G35" s="30">
        <v>27</v>
      </c>
      <c r="H35" s="31">
        <f>39484+80737</f>
        <v>120221</v>
      </c>
      <c r="I35" s="31">
        <v>0</v>
      </c>
      <c r="J35" s="29"/>
      <c r="K35" s="29">
        <v>25631</v>
      </c>
      <c r="L35" s="242">
        <f t="shared" si="0"/>
        <v>150192</v>
      </c>
      <c r="M35" s="32">
        <v>20000</v>
      </c>
      <c r="N35" s="32">
        <v>114149.315789474</v>
      </c>
      <c r="O35" s="32">
        <v>134149.315789474</v>
      </c>
      <c r="P35" s="96">
        <f>L35-O35</f>
        <v>16042.684210526</v>
      </c>
      <c r="Q35" t="s">
        <v>35</v>
      </c>
      <c r="R35" s="241">
        <f t="shared" si="2"/>
        <v>0.89318549449687068</v>
      </c>
      <c r="S35" s="24"/>
      <c r="T35" s="28"/>
    </row>
    <row r="36" spans="1:20">
      <c r="A36" s="22">
        <v>1990</v>
      </c>
      <c r="B36" s="22"/>
      <c r="F36" s="29">
        <f>89997-11819</f>
        <v>78178</v>
      </c>
      <c r="G36" s="30">
        <v>127</v>
      </c>
      <c r="H36" s="31">
        <f>11819+128605</f>
        <v>140424</v>
      </c>
      <c r="I36" s="31">
        <f>574+532</f>
        <v>1106</v>
      </c>
      <c r="J36" s="29"/>
      <c r="K36" s="29">
        <v>26639</v>
      </c>
      <c r="L36" s="242">
        <f t="shared" si="0"/>
        <v>219835</v>
      </c>
      <c r="M36" s="32">
        <v>19416</v>
      </c>
      <c r="N36" s="32">
        <v>120234</v>
      </c>
      <c r="O36" s="32">
        <v>146014</v>
      </c>
      <c r="P36" s="32">
        <v>69322</v>
      </c>
      <c r="Q36" s="23" t="s">
        <v>36</v>
      </c>
      <c r="R36" s="241">
        <f t="shared" si="2"/>
        <v>0.66419814861145854</v>
      </c>
      <c r="S36" s="24"/>
      <c r="T36" s="28"/>
    </row>
    <row r="37" spans="1:20">
      <c r="A37" s="22">
        <v>1991</v>
      </c>
      <c r="B37" s="22"/>
      <c r="F37" s="33">
        <f>13339-59</f>
        <v>13280</v>
      </c>
      <c r="G37" s="34">
        <f>3+11</f>
        <v>14</v>
      </c>
      <c r="H37" s="27">
        <f>621+78363</f>
        <v>78984</v>
      </c>
      <c r="I37" s="27">
        <f>468+504</f>
        <v>972</v>
      </c>
      <c r="J37" s="25"/>
      <c r="K37" s="25">
        <v>19783</v>
      </c>
      <c r="L37" s="242">
        <f t="shared" si="0"/>
        <v>93250</v>
      </c>
      <c r="M37" s="32">
        <v>2729</v>
      </c>
      <c r="N37" s="32">
        <v>73739</v>
      </c>
      <c r="O37" s="32">
        <v>78502</v>
      </c>
      <c r="P37" s="32">
        <v>14267</v>
      </c>
      <c r="Q37" s="23" t="s">
        <v>37</v>
      </c>
      <c r="R37" s="241">
        <f t="shared" si="2"/>
        <v>0.84184450402144773</v>
      </c>
      <c r="T37" s="14"/>
    </row>
    <row r="38" spans="1:20">
      <c r="A38" s="22">
        <v>1992</v>
      </c>
      <c r="B38" s="22"/>
      <c r="F38" s="29">
        <f>38984-27382</f>
        <v>11602</v>
      </c>
      <c r="G38" s="30">
        <f>2+13</f>
        <v>15</v>
      </c>
      <c r="H38" s="31">
        <f>86894+27382</f>
        <v>114276</v>
      </c>
      <c r="I38" s="31">
        <f>1242+1017</f>
        <v>2259</v>
      </c>
      <c r="J38" s="29"/>
      <c r="K38" s="29">
        <v>25259</v>
      </c>
      <c r="L38" s="242">
        <f t="shared" si="0"/>
        <v>128152</v>
      </c>
      <c r="M38" s="32">
        <v>1628</v>
      </c>
      <c r="N38" s="32">
        <v>115395</v>
      </c>
      <c r="O38" s="32">
        <v>117023</v>
      </c>
      <c r="P38" s="32">
        <v>2037</v>
      </c>
      <c r="Q38" s="24" t="s">
        <v>37</v>
      </c>
      <c r="R38" s="241">
        <f t="shared" si="2"/>
        <v>0.91315781259754047</v>
      </c>
      <c r="S38" s="24"/>
      <c r="T38" s="28"/>
    </row>
    <row r="39" spans="1:20">
      <c r="A39" s="22">
        <v>1993</v>
      </c>
      <c r="B39" s="22"/>
      <c r="F39" s="29">
        <f>5437-1760</f>
        <v>3677</v>
      </c>
      <c r="G39" s="30">
        <v>4</v>
      </c>
      <c r="H39" s="31">
        <f>37898+1760</f>
        <v>39658</v>
      </c>
      <c r="I39" s="31">
        <f>832+673</f>
        <v>1505</v>
      </c>
      <c r="J39" s="29"/>
      <c r="K39" s="29">
        <v>21793</v>
      </c>
      <c r="L39" s="242">
        <f t="shared" si="0"/>
        <v>44844</v>
      </c>
      <c r="M39" s="32">
        <v>180</v>
      </c>
      <c r="N39" s="32">
        <v>0</v>
      </c>
      <c r="O39" s="32">
        <v>180</v>
      </c>
      <c r="P39" s="32">
        <f>L39-O39</f>
        <v>44664</v>
      </c>
      <c r="Q39" s="24" t="s">
        <v>37</v>
      </c>
      <c r="R39" s="241">
        <f t="shared" si="2"/>
        <v>4.0139149050040139E-3</v>
      </c>
      <c r="S39" s="24" t="s">
        <v>38</v>
      </c>
      <c r="T39" s="28"/>
    </row>
    <row r="40" spans="1:20">
      <c r="A40" s="22">
        <v>1994</v>
      </c>
      <c r="B40" s="22"/>
      <c r="F40" s="29">
        <f>46905-30517</f>
        <v>16388</v>
      </c>
      <c r="G40" s="30">
        <v>102</v>
      </c>
      <c r="H40" s="31">
        <f>30517+50879</f>
        <v>81396</v>
      </c>
      <c r="I40" s="31">
        <f>628+623</f>
        <v>1251</v>
      </c>
      <c r="J40" s="29"/>
      <c r="K40" s="29">
        <v>30573</v>
      </c>
      <c r="L40" s="242">
        <f t="shared" si="0"/>
        <v>99137</v>
      </c>
      <c r="M40" s="32"/>
      <c r="N40" s="32">
        <v>60334</v>
      </c>
      <c r="O40" s="32">
        <v>60334</v>
      </c>
      <c r="P40" s="32">
        <f>L40-O40</f>
        <v>38803</v>
      </c>
      <c r="Q40" s="24" t="s">
        <v>37</v>
      </c>
      <c r="R40" s="241">
        <f t="shared" si="2"/>
        <v>0.60859215025671543</v>
      </c>
      <c r="S40" s="24"/>
      <c r="T40" s="28"/>
    </row>
    <row r="41" spans="1:20">
      <c r="A41" s="22">
        <v>1995</v>
      </c>
      <c r="B41" s="34"/>
      <c r="C41" s="27"/>
      <c r="D41" s="27"/>
      <c r="E41" s="27"/>
      <c r="F41" s="33">
        <f>95349-5337</f>
        <v>90012</v>
      </c>
      <c r="G41" s="34">
        <v>0</v>
      </c>
      <c r="H41" s="27">
        <f>5337+29343</f>
        <v>34680</v>
      </c>
      <c r="I41" s="27">
        <f>695+1468</f>
        <v>2163</v>
      </c>
      <c r="J41" s="25"/>
      <c r="K41" s="25">
        <v>47116</v>
      </c>
      <c r="L41" s="242">
        <f t="shared" si="0"/>
        <v>126855</v>
      </c>
      <c r="M41" s="23"/>
      <c r="N41" s="23"/>
      <c r="O41" s="23"/>
      <c r="P41" s="32">
        <f>L41*R66</f>
        <v>94189.518035768691</v>
      </c>
      <c r="T41" s="14"/>
    </row>
    <row r="42" spans="1:20">
      <c r="A42" s="22">
        <v>1996</v>
      </c>
      <c r="B42" s="34">
        <v>87658</v>
      </c>
      <c r="C42" s="27">
        <v>7185</v>
      </c>
      <c r="D42" s="27">
        <f>5319+39169</f>
        <v>44488</v>
      </c>
      <c r="E42" s="27">
        <v>10820</v>
      </c>
      <c r="F42" s="33">
        <f>SUM(B42:E42)</f>
        <v>150151</v>
      </c>
      <c r="G42" s="34">
        <v>0</v>
      </c>
      <c r="H42" s="27">
        <v>20926</v>
      </c>
      <c r="I42" s="27">
        <f>1056+309</f>
        <v>1365</v>
      </c>
      <c r="J42" s="25">
        <f>SUM(G42:I42)</f>
        <v>22291</v>
      </c>
      <c r="K42" s="25">
        <f>148066+75480-(J42+F42)</f>
        <v>51104</v>
      </c>
      <c r="L42" s="242">
        <f>J42+F42+K42</f>
        <v>223546</v>
      </c>
      <c r="M42" s="32">
        <v>147566</v>
      </c>
      <c r="N42" s="32">
        <v>74480</v>
      </c>
      <c r="O42" s="96">
        <f>N42+M42</f>
        <v>222046</v>
      </c>
      <c r="P42" s="32">
        <f>L42-O42</f>
        <v>1500</v>
      </c>
      <c r="Q42" t="s">
        <v>39</v>
      </c>
      <c r="T42" s="14"/>
    </row>
    <row r="43" spans="1:20">
      <c r="A43" s="22">
        <v>1997</v>
      </c>
      <c r="B43" s="34"/>
      <c r="C43" s="27"/>
      <c r="D43" s="27"/>
      <c r="E43" s="27"/>
      <c r="F43" s="33"/>
      <c r="G43" s="34"/>
      <c r="H43" s="27"/>
      <c r="I43" s="27"/>
      <c r="J43" s="25"/>
      <c r="K43" s="25"/>
      <c r="L43" s="242"/>
      <c r="M43" s="32"/>
      <c r="N43" s="32"/>
      <c r="O43" s="96"/>
      <c r="P43" s="32"/>
      <c r="T43" s="14"/>
    </row>
    <row r="44" spans="1:20">
      <c r="A44" s="22">
        <v>1998</v>
      </c>
      <c r="B44" s="34"/>
      <c r="C44" s="27"/>
      <c r="D44" s="27"/>
      <c r="E44" s="27"/>
      <c r="F44" s="33"/>
      <c r="G44" s="34"/>
      <c r="H44" s="27"/>
      <c r="I44" s="27"/>
      <c r="J44" s="25"/>
      <c r="K44" s="25"/>
      <c r="L44" s="242"/>
      <c r="M44" s="32"/>
      <c r="N44" s="32"/>
      <c r="O44" s="96"/>
      <c r="P44" s="32"/>
      <c r="T44" s="14"/>
    </row>
    <row r="45" spans="1:20">
      <c r="A45" s="22">
        <v>1999</v>
      </c>
      <c r="B45" s="34"/>
      <c r="C45" s="27"/>
      <c r="D45" s="27"/>
      <c r="E45" s="27"/>
      <c r="F45" s="33"/>
      <c r="G45" s="34"/>
      <c r="H45" s="27"/>
      <c r="I45" s="27"/>
      <c r="J45" s="25"/>
      <c r="K45" s="25"/>
      <c r="L45" s="242"/>
      <c r="M45" s="32"/>
      <c r="N45" s="32"/>
      <c r="O45" s="96"/>
      <c r="P45" s="32"/>
      <c r="T45" s="14"/>
    </row>
    <row r="46" spans="1:20">
      <c r="A46" s="22">
        <v>2000</v>
      </c>
      <c r="B46" s="34"/>
      <c r="C46" s="27"/>
      <c r="D46" s="27"/>
      <c r="E46" s="27"/>
      <c r="F46" s="33"/>
      <c r="G46" s="34"/>
      <c r="H46" s="27"/>
      <c r="I46" s="27"/>
      <c r="J46" s="25"/>
      <c r="K46" s="25"/>
      <c r="L46" s="242"/>
      <c r="M46" s="32"/>
      <c r="N46" s="32"/>
      <c r="O46" s="96"/>
      <c r="P46" s="32"/>
      <c r="T46" s="14"/>
    </row>
    <row r="47" spans="1:20">
      <c r="A47" s="22">
        <v>2001</v>
      </c>
      <c r="B47" s="34"/>
      <c r="C47" s="27"/>
      <c r="D47" s="27"/>
      <c r="E47" s="27"/>
      <c r="F47" s="33"/>
      <c r="G47" s="34"/>
      <c r="H47" s="27"/>
      <c r="I47" s="27"/>
      <c r="J47" s="25"/>
      <c r="K47" s="25"/>
      <c r="L47" s="242"/>
      <c r="M47" s="32"/>
      <c r="N47" s="32"/>
      <c r="O47" s="96"/>
      <c r="P47" s="32"/>
      <c r="T47" s="14"/>
    </row>
    <row r="48" spans="1:20">
      <c r="A48" s="22">
        <v>2002</v>
      </c>
      <c r="B48" s="34"/>
      <c r="C48" s="27"/>
      <c r="D48" s="27"/>
      <c r="E48" s="27"/>
      <c r="F48" s="33"/>
      <c r="G48" s="34"/>
      <c r="H48" s="27"/>
      <c r="I48" s="27"/>
      <c r="J48" s="25"/>
      <c r="K48" s="25"/>
      <c r="L48" s="242"/>
      <c r="M48" s="32"/>
      <c r="N48" s="32"/>
      <c r="O48" s="96"/>
      <c r="P48" s="32"/>
      <c r="T48" s="14"/>
    </row>
    <row r="49" spans="1:20">
      <c r="A49" s="22">
        <v>2003</v>
      </c>
      <c r="B49" s="34"/>
      <c r="C49" s="27"/>
      <c r="D49" s="27"/>
      <c r="E49" s="27"/>
      <c r="F49" s="33"/>
      <c r="G49" s="34"/>
      <c r="H49" s="27"/>
      <c r="I49" s="27"/>
      <c r="J49" s="25"/>
      <c r="K49" s="25"/>
      <c r="L49" s="242"/>
      <c r="M49" s="32"/>
      <c r="N49" s="32"/>
      <c r="O49" s="96"/>
      <c r="P49" s="32"/>
      <c r="T49" s="14"/>
    </row>
    <row r="50" spans="1:20">
      <c r="A50" s="22">
        <v>2004</v>
      </c>
      <c r="B50" s="34"/>
      <c r="C50" s="27"/>
      <c r="D50" s="27"/>
      <c r="E50" s="27"/>
      <c r="F50" s="33"/>
      <c r="G50" s="34"/>
      <c r="H50" s="27"/>
      <c r="I50" s="27"/>
      <c r="J50" s="25"/>
      <c r="K50" s="25"/>
      <c r="L50" s="242"/>
      <c r="M50" s="32"/>
      <c r="N50" s="32"/>
      <c r="O50" s="96"/>
      <c r="P50" s="32"/>
      <c r="T50" s="14"/>
    </row>
    <row r="51" spans="1:20">
      <c r="A51" s="22">
        <v>2005</v>
      </c>
      <c r="B51" s="34"/>
      <c r="C51" s="27"/>
      <c r="D51" s="27"/>
      <c r="E51" s="27"/>
      <c r="F51" s="33"/>
      <c r="G51" s="34"/>
      <c r="H51" s="27"/>
      <c r="I51" s="27"/>
      <c r="J51" s="25"/>
      <c r="K51" s="25"/>
      <c r="L51" s="242"/>
      <c r="M51" s="32"/>
      <c r="N51" s="32"/>
      <c r="O51" s="96"/>
      <c r="P51" s="32"/>
      <c r="T51" s="14"/>
    </row>
    <row r="52" spans="1:20">
      <c r="A52" s="22">
        <v>2006</v>
      </c>
      <c r="B52" s="34"/>
      <c r="C52" s="27"/>
      <c r="D52" s="27"/>
      <c r="E52" s="27"/>
      <c r="F52" s="33"/>
      <c r="G52" s="34"/>
      <c r="H52" s="27"/>
      <c r="I52" s="27"/>
      <c r="J52" s="25"/>
      <c r="K52" s="25"/>
      <c r="L52" s="242"/>
      <c r="M52" s="32"/>
      <c r="N52" s="32"/>
      <c r="O52" s="96"/>
      <c r="P52" s="32"/>
      <c r="T52" s="14"/>
    </row>
    <row r="53" spans="1:20">
      <c r="A53" s="22">
        <v>2007</v>
      </c>
      <c r="B53" s="34"/>
      <c r="C53" s="27"/>
      <c r="D53" s="27"/>
      <c r="E53" s="27"/>
      <c r="F53" s="33"/>
      <c r="G53" s="34"/>
      <c r="H53" s="27"/>
      <c r="I53" s="27"/>
      <c r="J53" s="25"/>
      <c r="K53" s="25"/>
      <c r="L53" s="242"/>
      <c r="M53" s="32"/>
      <c r="N53" s="32"/>
      <c r="O53" s="96"/>
      <c r="P53" s="32"/>
      <c r="T53" s="14"/>
    </row>
    <row r="54" spans="1:20">
      <c r="A54" s="22">
        <v>2008</v>
      </c>
      <c r="B54" s="34"/>
      <c r="C54" s="27"/>
      <c r="D54" s="27"/>
      <c r="E54" s="27"/>
      <c r="F54" s="33"/>
      <c r="G54" s="34"/>
      <c r="H54" s="27"/>
      <c r="I54" s="27"/>
      <c r="J54" s="25"/>
      <c r="K54" s="25"/>
      <c r="L54" s="242"/>
      <c r="M54" s="32"/>
      <c r="N54" s="32"/>
      <c r="O54" s="96"/>
      <c r="P54" s="32"/>
      <c r="T54" s="14"/>
    </row>
    <row r="55" spans="1:20">
      <c r="A55" s="22">
        <v>2009</v>
      </c>
      <c r="B55" s="34"/>
      <c r="C55" s="27"/>
      <c r="D55" s="27"/>
      <c r="E55" s="27"/>
      <c r="F55" s="33"/>
      <c r="G55" s="34"/>
      <c r="H55" s="27"/>
      <c r="I55" s="27"/>
      <c r="J55" s="25"/>
      <c r="K55" s="25"/>
      <c r="L55" s="242"/>
      <c r="M55" s="32"/>
      <c r="N55" s="32"/>
      <c r="O55" s="96"/>
      <c r="P55" s="32"/>
      <c r="T55" s="14"/>
    </row>
    <row r="56" spans="1:20">
      <c r="A56" s="22">
        <v>2010</v>
      </c>
      <c r="B56" s="34"/>
      <c r="C56" s="27"/>
      <c r="D56" s="27"/>
      <c r="E56" s="27"/>
      <c r="F56" s="33"/>
      <c r="G56" s="34"/>
      <c r="H56" s="27"/>
      <c r="I56" s="27"/>
      <c r="J56" s="25"/>
      <c r="K56" s="25"/>
      <c r="L56" s="242"/>
      <c r="M56" s="32"/>
      <c r="N56" s="32"/>
      <c r="O56" s="96"/>
      <c r="P56" s="32"/>
      <c r="T56" s="14"/>
    </row>
    <row r="57" spans="1:20">
      <c r="A57" s="22"/>
      <c r="B57" s="34"/>
      <c r="C57" s="27"/>
      <c r="D57" s="27"/>
      <c r="E57" s="27"/>
      <c r="F57" s="33"/>
      <c r="G57" s="34"/>
      <c r="H57" s="27"/>
      <c r="I57" s="27"/>
      <c r="J57" s="25"/>
      <c r="K57" s="25"/>
      <c r="L57" s="242"/>
      <c r="M57" s="32"/>
      <c r="N57" s="32"/>
      <c r="O57" s="96"/>
      <c r="P57" s="32"/>
      <c r="T57" s="14"/>
    </row>
    <row r="58" spans="1:20">
      <c r="A58" s="22"/>
      <c r="B58" s="34"/>
      <c r="C58" s="27"/>
      <c r="D58" s="27"/>
      <c r="E58" s="27"/>
      <c r="F58" s="33"/>
      <c r="G58" s="34"/>
      <c r="H58" s="27"/>
      <c r="I58" s="27"/>
      <c r="J58" s="25"/>
      <c r="K58" s="25"/>
      <c r="L58" s="242"/>
      <c r="M58" s="32"/>
      <c r="N58" s="32"/>
      <c r="O58" s="96"/>
      <c r="P58" s="32"/>
      <c r="T58" s="14"/>
    </row>
    <row r="59" spans="1:20">
      <c r="A59" s="22"/>
      <c r="B59" s="34"/>
      <c r="C59" s="27"/>
      <c r="D59" s="27"/>
      <c r="E59" s="27"/>
      <c r="F59" s="33"/>
      <c r="G59" s="34"/>
      <c r="H59" s="27"/>
      <c r="I59" s="27"/>
      <c r="J59" s="25"/>
      <c r="K59" s="25"/>
      <c r="L59" s="242"/>
      <c r="M59" s="32"/>
      <c r="N59" s="32"/>
      <c r="O59" s="96"/>
      <c r="P59" s="32"/>
      <c r="T59" s="14"/>
    </row>
    <row r="60" spans="1:20">
      <c r="A60" s="22"/>
      <c r="B60" s="34"/>
      <c r="C60" s="27"/>
      <c r="D60" s="27"/>
      <c r="E60" s="27"/>
      <c r="F60" s="33"/>
      <c r="G60" s="34"/>
      <c r="H60" s="27"/>
      <c r="I60" s="27"/>
      <c r="J60" s="25"/>
      <c r="K60" s="25"/>
      <c r="L60" s="242"/>
      <c r="M60" s="32"/>
      <c r="N60" s="32"/>
      <c r="O60" s="96"/>
      <c r="P60" s="32"/>
      <c r="T60" s="14"/>
    </row>
    <row r="61" spans="1:20">
      <c r="A61" s="22"/>
      <c r="B61" s="34"/>
      <c r="C61" s="27"/>
      <c r="D61" s="27"/>
      <c r="E61" s="27"/>
      <c r="F61" s="33"/>
      <c r="G61" s="34"/>
      <c r="H61" s="27"/>
      <c r="I61" s="27"/>
      <c r="J61" s="25"/>
      <c r="K61" s="25"/>
      <c r="L61" s="242"/>
      <c r="M61" s="32"/>
      <c r="N61" s="32"/>
      <c r="O61" s="96"/>
      <c r="P61" s="32"/>
      <c r="T61" s="14"/>
    </row>
    <row r="62" spans="1:20">
      <c r="A62" s="22"/>
      <c r="B62" s="34"/>
      <c r="C62" s="27"/>
      <c r="D62" s="27"/>
      <c r="E62" s="27"/>
      <c r="F62" s="33"/>
      <c r="G62" s="34"/>
      <c r="H62" s="27"/>
      <c r="I62" s="27"/>
      <c r="J62" s="25"/>
      <c r="K62" s="25"/>
      <c r="L62" s="242"/>
      <c r="M62" s="32"/>
      <c r="N62" s="32"/>
      <c r="O62" s="96"/>
      <c r="P62" s="32"/>
      <c r="T62" s="14"/>
    </row>
    <row r="63" spans="1:20">
      <c r="A63" s="22"/>
      <c r="B63" s="34"/>
      <c r="C63" s="27"/>
      <c r="D63" s="27"/>
      <c r="E63" s="27"/>
      <c r="F63" s="33"/>
      <c r="G63" s="34"/>
      <c r="H63" s="27"/>
      <c r="I63" s="27"/>
      <c r="J63" s="25"/>
      <c r="K63" s="25"/>
      <c r="L63" s="242"/>
      <c r="M63" s="32"/>
      <c r="N63" s="32"/>
      <c r="O63" s="96"/>
      <c r="P63" s="32"/>
      <c r="T63" s="14"/>
    </row>
    <row r="64" spans="1:20">
      <c r="A64" s="35"/>
      <c r="B64" s="35"/>
      <c r="C64" s="36"/>
      <c r="D64" s="36"/>
      <c r="E64" s="36"/>
      <c r="F64" s="17"/>
      <c r="G64" s="35"/>
      <c r="H64" s="36"/>
      <c r="I64" s="36"/>
      <c r="J64" s="17"/>
      <c r="K64" s="17"/>
      <c r="L64" s="37"/>
      <c r="M64" s="36"/>
      <c r="T64" s="14"/>
    </row>
    <row r="65" spans="1:20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5"/>
      <c r="M65" s="6"/>
      <c r="O65" s="38" t="s">
        <v>40</v>
      </c>
      <c r="S65" t="s">
        <v>41</v>
      </c>
      <c r="T65" s="14"/>
    </row>
    <row r="66" spans="1:20">
      <c r="A66" s="22"/>
      <c r="B66" s="22"/>
      <c r="C66" s="22"/>
      <c r="D66" s="22"/>
      <c r="E66" s="39" t="s">
        <v>42</v>
      </c>
      <c r="F66" s="243">
        <f>AVERAGEA(F14:F41)</f>
        <v>16307.555555555555</v>
      </c>
      <c r="G66" s="243">
        <f>AVERAGEA(G14:G41)</f>
        <v>29.012835632858536</v>
      </c>
      <c r="H66" s="243">
        <f>AVERAGEA(H14:H41)</f>
        <v>25088.071428571428</v>
      </c>
      <c r="I66" s="243">
        <f>AVERAGEA(I14:I41)</f>
        <v>495.17857142857144</v>
      </c>
      <c r="J66" s="24"/>
      <c r="K66" s="24"/>
      <c r="L66" s="242">
        <f>AVERAGEA(L14:L41)</f>
        <v>41337.405692775719</v>
      </c>
      <c r="M66" s="15"/>
      <c r="O66" s="40" t="s">
        <v>43</v>
      </c>
      <c r="P66" s="245">
        <f>AVERAGEA(P14:P41)</f>
        <v>17652.390359466688</v>
      </c>
      <c r="R66" s="105">
        <f>AVERAGEA(R40,R33:R38)</f>
        <v>0.74249748165833973</v>
      </c>
      <c r="T66" s="14"/>
    </row>
    <row r="67" spans="1:20">
      <c r="A67" s="22"/>
      <c r="B67" s="22"/>
      <c r="C67" s="22"/>
      <c r="D67" s="22"/>
      <c r="E67" s="39" t="s">
        <v>44</v>
      </c>
      <c r="F67" s="105">
        <f>COUNTA(F14:F41)</f>
        <v>27</v>
      </c>
      <c r="G67" s="105">
        <f>COUNTA(G14:G41)</f>
        <v>28</v>
      </c>
      <c r="H67" s="105">
        <f>COUNTA(H14:H41)</f>
        <v>28</v>
      </c>
      <c r="I67" s="105">
        <f>COUNTA(I14:I41)</f>
        <v>28</v>
      </c>
      <c r="L67" s="244">
        <f>COUNTA(L14:L41)</f>
        <v>28</v>
      </c>
      <c r="M67" s="15"/>
      <c r="O67" s="39" t="s">
        <v>45</v>
      </c>
      <c r="P67" s="244">
        <f>COUNTA(P14:P41)</f>
        <v>28</v>
      </c>
      <c r="T67" s="14"/>
    </row>
    <row r="68" spans="1:20">
      <c r="A68" s="22"/>
      <c r="B68" s="22"/>
      <c r="C68" s="22"/>
      <c r="D68" s="22"/>
      <c r="E68" s="39" t="s">
        <v>46</v>
      </c>
      <c r="F68" s="243">
        <f>SQRT(COUNTA(F14:F41)/(COUNTA(F14:F41)-1))*STDEVPA(F14:F41)</f>
        <v>21595.756392853837</v>
      </c>
      <c r="G68" s="243">
        <f>SQRT(COUNTA(G14:G41)/(COUNTA(G14:G41)-1))*STDEVPA(G14:G41)</f>
        <v>77.36711093383542</v>
      </c>
      <c r="H68" s="243">
        <f>SQRT(COUNTA(H14:H41)/(COUNTA(H14:H41)-1))*STDEVPA(H14:H41)</f>
        <v>42513.315389441414</v>
      </c>
      <c r="I68" s="243">
        <f>SQRT(COUNTA(I14:I41)/(COUNTA(I14:I41)-1))*STDEVPA(I14:I41)</f>
        <v>677.06660614258556</v>
      </c>
      <c r="J68" s="24"/>
      <c r="K68" s="24"/>
      <c r="L68" s="242">
        <f>SQRT(COUNTA(L14:L41)/(COUNTA(L14:L41)-1))*STDEVPA(L14:L41)</f>
        <v>56490.772223950364</v>
      </c>
      <c r="M68" s="15"/>
      <c r="O68" s="39" t="s">
        <v>46</v>
      </c>
      <c r="P68" s="242">
        <f>SQRT(COUNTA(P14:P41)/(COUNTA(P14:P41)-1))*STDEVPA(P14:P41)</f>
        <v>22032.33888085018</v>
      </c>
      <c r="T68" s="14"/>
    </row>
    <row r="69" spans="1:20">
      <c r="A69" s="22"/>
      <c r="B69" s="22"/>
      <c r="C69" s="22"/>
      <c r="D69" s="22"/>
      <c r="E69" s="39" t="s">
        <v>47</v>
      </c>
      <c r="F69">
        <v>1.32</v>
      </c>
      <c r="G69">
        <v>1.32</v>
      </c>
      <c r="H69">
        <v>1.32</v>
      </c>
      <c r="I69">
        <v>1.32</v>
      </c>
      <c r="L69" s="14">
        <v>1.32</v>
      </c>
      <c r="M69" s="15"/>
      <c r="O69" s="39" t="s">
        <v>48</v>
      </c>
      <c r="P69" s="14">
        <v>1.3129999999999999</v>
      </c>
      <c r="T69" s="14"/>
    </row>
    <row r="70" spans="1:20">
      <c r="A70" s="22"/>
      <c r="B70" s="22"/>
      <c r="C70" s="22"/>
      <c r="D70" s="22"/>
      <c r="E70" s="39" t="s">
        <v>49</v>
      </c>
      <c r="F70" s="243">
        <f>F68*F69</f>
        <v>28506.398438567066</v>
      </c>
      <c r="G70" s="243">
        <f>G68*G69</f>
        <v>102.12458643266275</v>
      </c>
      <c r="H70" s="243">
        <f>H68*H69</f>
        <v>56117.576314062666</v>
      </c>
      <c r="I70" s="243">
        <f>I68*I69</f>
        <v>893.72792010821297</v>
      </c>
      <c r="J70" s="24"/>
      <c r="K70" s="24"/>
      <c r="L70" s="242">
        <f>L68*L69</f>
        <v>74567.819335614477</v>
      </c>
      <c r="M70" s="15"/>
      <c r="O70" s="39"/>
      <c r="P70" s="242">
        <f>P68*P69</f>
        <v>28928.460950556284</v>
      </c>
      <c r="T70" s="14"/>
    </row>
    <row r="71" spans="1:20">
      <c r="A71" s="22"/>
      <c r="B71" s="22"/>
      <c r="C71" s="22"/>
      <c r="D71" s="22"/>
      <c r="E71" s="39" t="s">
        <v>50</v>
      </c>
      <c r="F71" s="96">
        <f>IF(F70&gt;F66,0,F66-F70)</f>
        <v>0</v>
      </c>
      <c r="G71" s="96">
        <f>IF(G70&gt;G66,0,G66-G70)</f>
        <v>0</v>
      </c>
      <c r="H71" s="96">
        <f>IF(H70&gt;H66,0,H66-H70)</f>
        <v>0</v>
      </c>
      <c r="I71" s="96">
        <f>IF(I70&gt;I66,0,I66-I70)</f>
        <v>0</v>
      </c>
      <c r="J71" s="23"/>
      <c r="K71" s="23"/>
      <c r="L71" s="131">
        <f>IF(L70&gt;L66,0,L66-L70)</f>
        <v>0</v>
      </c>
      <c r="M71" s="246">
        <f>SUM(F71:I71)</f>
        <v>0</v>
      </c>
      <c r="O71" s="39" t="s">
        <v>51</v>
      </c>
      <c r="P71" s="131">
        <f>IF(P70&gt;P66,0,P66-P70)</f>
        <v>0</v>
      </c>
      <c r="T71" s="14"/>
    </row>
    <row r="72" spans="1:20">
      <c r="A72" s="22"/>
      <c r="B72" s="22"/>
      <c r="C72" s="22"/>
      <c r="D72" s="22"/>
      <c r="E72" s="39" t="s">
        <v>52</v>
      </c>
      <c r="F72" s="96">
        <f>F66</f>
        <v>16307.555555555555</v>
      </c>
      <c r="G72" s="96">
        <f>G66</f>
        <v>29.012835632858536</v>
      </c>
      <c r="H72" s="96">
        <f>H66</f>
        <v>25088.071428571428</v>
      </c>
      <c r="I72" s="96">
        <f>I66</f>
        <v>495.17857142857144</v>
      </c>
      <c r="J72" s="23"/>
      <c r="K72" s="23"/>
      <c r="L72" s="131">
        <f>L66</f>
        <v>41337.405692775719</v>
      </c>
      <c r="M72" s="246">
        <f>SUM(F72:I72)</f>
        <v>41919.818391188412</v>
      </c>
      <c r="O72" s="39" t="s">
        <v>53</v>
      </c>
      <c r="P72" s="131">
        <f>P66</f>
        <v>17652.390359466688</v>
      </c>
      <c r="T72" s="14"/>
    </row>
    <row r="73" spans="1:20">
      <c r="A73" s="22"/>
      <c r="B73" s="22"/>
      <c r="C73" s="22"/>
      <c r="D73" s="22"/>
      <c r="E73" s="39" t="s">
        <v>54</v>
      </c>
      <c r="F73" s="96">
        <f>F70+F66</f>
        <v>44813.953994122625</v>
      </c>
      <c r="G73" s="96">
        <f>G70+G66</f>
        <v>131.13742206552129</v>
      </c>
      <c r="H73" s="96">
        <f>H70+H66</f>
        <v>81205.647742634086</v>
      </c>
      <c r="I73" s="96">
        <f>I70+I66</f>
        <v>1388.9064915367844</v>
      </c>
      <c r="J73" s="23"/>
      <c r="K73" s="23"/>
      <c r="L73" s="131">
        <f>L70+L66</f>
        <v>115905.2250283902</v>
      </c>
      <c r="M73" s="246">
        <f>SUM(F73:I73)</f>
        <v>127539.645650359</v>
      </c>
      <c r="O73" s="43" t="s">
        <v>55</v>
      </c>
      <c r="P73" s="247">
        <f>P70+P66</f>
        <v>46580.851310022976</v>
      </c>
      <c r="T73" s="14"/>
    </row>
    <row r="74" spans="1:20">
      <c r="A74" s="22"/>
      <c r="B74" s="22"/>
      <c r="C74" s="22"/>
      <c r="D74" s="22"/>
      <c r="E74" s="39"/>
      <c r="L74" s="14"/>
      <c r="M74" s="42"/>
      <c r="T74" s="14"/>
    </row>
    <row r="75" spans="1:20">
      <c r="A75" s="22"/>
      <c r="B75" s="22"/>
      <c r="C75" s="22"/>
      <c r="D75" s="22"/>
      <c r="E75" s="39"/>
      <c r="F75" t="s">
        <v>56</v>
      </c>
      <c r="H75" s="243">
        <f>AVERAGEA(H14:H32)</f>
        <v>1072.6842105263158</v>
      </c>
      <c r="L75" s="14"/>
      <c r="M75" s="42"/>
      <c r="T75" s="14"/>
    </row>
    <row r="76" spans="1:20">
      <c r="A76" s="22"/>
      <c r="B76" s="22"/>
      <c r="C76" s="22"/>
      <c r="D76" s="22"/>
      <c r="E76" s="39"/>
      <c r="F76">
        <v>1987</v>
      </c>
      <c r="H76" s="243">
        <f>H33-H$75</f>
        <v>14279.315789473683</v>
      </c>
      <c r="I76" s="105">
        <f>1100+2000</f>
        <v>3100</v>
      </c>
      <c r="L76" s="14">
        <v>500</v>
      </c>
      <c r="M76" s="246">
        <f>SUM(F76:I76)</f>
        <v>19366.315789473683</v>
      </c>
      <c r="T76" s="14"/>
    </row>
    <row r="77" spans="1:20">
      <c r="A77" s="22"/>
      <c r="B77" s="22"/>
      <c r="C77" s="22"/>
      <c r="D77" s="22"/>
      <c r="E77" s="39"/>
      <c r="F77">
        <v>1988</v>
      </c>
      <c r="H77" s="243">
        <f>H34-H$75</f>
        <v>56021.315789473687</v>
      </c>
      <c r="I77" s="105">
        <f>1100+2000</f>
        <v>3100</v>
      </c>
      <c r="L77" s="14">
        <v>1000</v>
      </c>
      <c r="M77" s="246">
        <f>SUM(F77:I77)</f>
        <v>61109.315789473687</v>
      </c>
      <c r="T77" s="14"/>
    </row>
    <row r="78" spans="1:20">
      <c r="A78" s="22"/>
      <c r="B78" s="22"/>
      <c r="C78" s="22"/>
      <c r="D78" s="22"/>
      <c r="E78" s="39"/>
      <c r="F78">
        <v>1989</v>
      </c>
      <c r="H78" s="243">
        <f>H35-H$75</f>
        <v>119148.31578947368</v>
      </c>
      <c r="I78" s="243">
        <f>1100+6000</f>
        <v>7100</v>
      </c>
      <c r="J78" s="24"/>
      <c r="K78" s="24"/>
      <c r="L78" s="28">
        <v>2000</v>
      </c>
      <c r="M78" s="246">
        <f>SUM(F78:I78)</f>
        <v>128237.31578947368</v>
      </c>
      <c r="T78" s="14"/>
    </row>
    <row r="79" spans="1:20">
      <c r="A79" s="35"/>
      <c r="B79" s="35"/>
      <c r="C79" s="35"/>
      <c r="D79" s="35"/>
      <c r="E79" s="43"/>
      <c r="F79" s="36">
        <v>1990</v>
      </c>
      <c r="G79" s="36"/>
      <c r="H79" s="248">
        <f>H36-H$75</f>
        <v>139351.31578947368</v>
      </c>
      <c r="I79" s="249">
        <f>7000+1100+2000</f>
        <v>10100</v>
      </c>
      <c r="J79" s="36"/>
      <c r="K79" s="36"/>
      <c r="L79" s="37">
        <v>8100</v>
      </c>
      <c r="M79" s="250">
        <f>SUM(F79:I79)</f>
        <v>151441.31578947368</v>
      </c>
      <c r="T79" s="14"/>
    </row>
  </sheetData>
  <phoneticPr fontId="17" type="noConversion"/>
  <pageMargins left="1" right="1" top="0.5" bottom="0.55000000000000004" header="0.5" footer="0.5"/>
  <pageSetup scale="8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2">
    <pageSetUpPr fitToPage="1"/>
  </sheetPr>
  <dimension ref="A1:U153"/>
  <sheetViews>
    <sheetView defaultGridColor="0" colorId="22" zoomScale="75" workbookViewId="0">
      <pane ySplit="14" topLeftCell="A15" activePane="bottomLeft" state="frozen"/>
      <selection pane="bottomLeft" activeCell="B18" sqref="B18"/>
    </sheetView>
  </sheetViews>
  <sheetFormatPr defaultColWidth="9.6640625" defaultRowHeight="15" outlineLevelRow="1"/>
  <cols>
    <col min="1" max="1" width="17" customWidth="1"/>
    <col min="2" max="2" width="14" style="62" customWidth="1"/>
    <col min="3" max="3" width="12" style="62" customWidth="1"/>
    <col min="4" max="4" width="11.77734375" style="62" customWidth="1"/>
    <col min="5" max="5" width="14.77734375" customWidth="1"/>
    <col min="6" max="6" width="14.21875" customWidth="1"/>
    <col min="11" max="11" width="12.33203125" customWidth="1"/>
    <col min="12" max="12" width="11.44140625" customWidth="1"/>
    <col min="14" max="14" width="11" bestFit="1" customWidth="1"/>
    <col min="19" max="19" width="4.21875" customWidth="1"/>
  </cols>
  <sheetData>
    <row r="1" spans="1:15">
      <c r="A1" t="s">
        <v>0</v>
      </c>
      <c r="B1" s="130" t="str">
        <f ca="1">CELL("filename",H1)</f>
        <v>O:\DCF\SALMON\FORECAST\2014\[2014_Copper_&amp;_ Bering_Wild_Coho_FINAL.xlsx]CBR</v>
      </c>
      <c r="H1" s="149">
        <f ca="1">NOW()</f>
        <v>41867.553288888892</v>
      </c>
    </row>
    <row r="2" spans="1:15">
      <c r="K2" t="s">
        <v>85</v>
      </c>
    </row>
    <row r="3" spans="1:15" ht="15.75">
      <c r="A3" t="s">
        <v>173</v>
      </c>
      <c r="B3" s="83" t="s">
        <v>174</v>
      </c>
    </row>
    <row r="4" spans="1:15" ht="15.75" thickBot="1">
      <c r="K4" t="s">
        <v>96</v>
      </c>
      <c r="L4" t="s">
        <v>93</v>
      </c>
    </row>
    <row r="5" spans="1:15">
      <c r="A5" s="44" t="s">
        <v>57</v>
      </c>
      <c r="B5" s="63" t="s">
        <v>58</v>
      </c>
      <c r="C5" s="63" t="s">
        <v>59</v>
      </c>
      <c r="D5" s="64" t="s">
        <v>60</v>
      </c>
      <c r="E5" s="45"/>
      <c r="F5" s="46"/>
      <c r="G5" s="46"/>
      <c r="H5" s="47"/>
      <c r="L5" t="s">
        <v>86</v>
      </c>
      <c r="M5" t="s">
        <v>87</v>
      </c>
    </row>
    <row r="6" spans="1:15" ht="15.75" thickBot="1">
      <c r="A6" s="48" t="s">
        <v>61</v>
      </c>
      <c r="B6" s="65" t="s">
        <v>62</v>
      </c>
      <c r="C6" s="65" t="s">
        <v>63</v>
      </c>
      <c r="D6" s="66" t="s">
        <v>63</v>
      </c>
      <c r="E6" s="84" t="s">
        <v>102</v>
      </c>
      <c r="F6" s="49"/>
      <c r="G6" s="49"/>
      <c r="H6" s="50"/>
      <c r="M6" t="s">
        <v>90</v>
      </c>
    </row>
    <row r="7" spans="1:15" ht="18">
      <c r="A7" s="51" t="s">
        <v>64</v>
      </c>
      <c r="B7" s="150">
        <f>B8+B9</f>
        <v>274.24420000000003</v>
      </c>
      <c r="C7" s="151">
        <f>C8+C9</f>
        <v>22.679823875206754</v>
      </c>
      <c r="D7" s="152">
        <f>D8+D9</f>
        <v>530.64275047183935</v>
      </c>
      <c r="E7" s="3" t="s">
        <v>65</v>
      </c>
      <c r="F7" s="4"/>
      <c r="G7" s="4"/>
      <c r="H7" s="5"/>
      <c r="L7" t="s">
        <v>88</v>
      </c>
      <c r="M7" t="s">
        <v>89</v>
      </c>
    </row>
    <row r="8" spans="1:15" ht="18">
      <c r="A8" s="15" t="s">
        <v>66</v>
      </c>
      <c r="B8" s="153">
        <f>B147/1000</f>
        <v>228.52020000000002</v>
      </c>
      <c r="C8" s="154">
        <f>B146/1000</f>
        <v>22.679823875206754</v>
      </c>
      <c r="D8" s="155">
        <f>B148/1000</f>
        <v>434.36057612479328</v>
      </c>
      <c r="E8" s="22"/>
      <c r="H8" s="14"/>
      <c r="L8" t="s">
        <v>91</v>
      </c>
      <c r="M8" t="s">
        <v>92</v>
      </c>
    </row>
    <row r="9" spans="1:15" ht="18">
      <c r="A9" s="17" t="s">
        <v>67</v>
      </c>
      <c r="B9" s="156">
        <f>C147/1000</f>
        <v>45.723999999999997</v>
      </c>
      <c r="C9" s="157">
        <f>C146/1000</f>
        <v>0</v>
      </c>
      <c r="D9" s="158">
        <f>C148/1000</f>
        <v>96.282174347046109</v>
      </c>
      <c r="E9" s="35"/>
      <c r="F9" s="36"/>
      <c r="G9" s="36"/>
      <c r="H9" s="37"/>
      <c r="L9" t="s">
        <v>95</v>
      </c>
      <c r="M9" t="s">
        <v>94</v>
      </c>
    </row>
    <row r="10" spans="1:15">
      <c r="B10" s="62" t="s">
        <v>141</v>
      </c>
      <c r="K10" t="s">
        <v>98</v>
      </c>
      <c r="L10" t="s">
        <v>97</v>
      </c>
    </row>
    <row r="11" spans="1:15">
      <c r="K11" t="s">
        <v>99</v>
      </c>
      <c r="L11" t="s">
        <v>100</v>
      </c>
    </row>
    <row r="12" spans="1:15" ht="15.75">
      <c r="A12" s="52"/>
      <c r="B12" s="253" t="s">
        <v>172</v>
      </c>
      <c r="C12" s="67"/>
      <c r="D12" s="68"/>
      <c r="E12" s="11" t="s">
        <v>68</v>
      </c>
      <c r="F12" s="13"/>
      <c r="G12" s="254" t="s">
        <v>69</v>
      </c>
      <c r="H12" s="13"/>
    </row>
    <row r="13" spans="1:15">
      <c r="A13" s="53" t="s">
        <v>70</v>
      </c>
      <c r="B13" s="69" t="s">
        <v>71</v>
      </c>
      <c r="C13" s="69" t="s">
        <v>72</v>
      </c>
      <c r="D13" s="70"/>
      <c r="E13" s="52" t="s">
        <v>71</v>
      </c>
      <c r="F13" s="52" t="s">
        <v>72</v>
      </c>
      <c r="G13" s="52" t="s">
        <v>71</v>
      </c>
      <c r="H13" s="52" t="s">
        <v>72</v>
      </c>
    </row>
    <row r="14" spans="1:15" ht="18">
      <c r="A14" s="54" t="s">
        <v>19</v>
      </c>
      <c r="B14" s="86" t="s">
        <v>190</v>
      </c>
      <c r="C14" s="86" t="s">
        <v>191</v>
      </c>
      <c r="D14" s="71" t="s">
        <v>73</v>
      </c>
      <c r="E14" s="54" t="s">
        <v>178</v>
      </c>
      <c r="F14" s="54" t="s">
        <v>179</v>
      </c>
      <c r="G14" s="54" t="s">
        <v>74</v>
      </c>
      <c r="H14" s="54" t="s">
        <v>74</v>
      </c>
    </row>
    <row r="15" spans="1:15">
      <c r="A15" s="40"/>
      <c r="B15" s="72"/>
      <c r="C15" s="72"/>
      <c r="D15" s="72"/>
      <c r="E15" s="4"/>
      <c r="F15" s="4"/>
      <c r="G15" s="4"/>
      <c r="H15" s="5"/>
    </row>
    <row r="16" spans="1:15" outlineLevel="1">
      <c r="A16" s="39">
        <v>1893</v>
      </c>
      <c r="B16" s="328">
        <v>72000</v>
      </c>
      <c r="C16" s="61"/>
      <c r="D16" s="62">
        <f t="shared" ref="D16:D23" si="0">C16+B16</f>
        <v>72000</v>
      </c>
      <c r="E16" s="60"/>
      <c r="F16" s="60"/>
      <c r="G16" s="60"/>
      <c r="H16" s="14"/>
      <c r="L16" t="s">
        <v>79</v>
      </c>
      <c r="M16" s="62"/>
      <c r="N16" s="62"/>
      <c r="O16" s="59"/>
    </row>
    <row r="17" spans="1:21" outlineLevel="1">
      <c r="A17" s="39">
        <v>1894</v>
      </c>
      <c r="B17" s="328">
        <v>17000</v>
      </c>
      <c r="C17" s="61"/>
      <c r="D17" s="62">
        <f t="shared" si="0"/>
        <v>17000</v>
      </c>
      <c r="E17" s="60"/>
      <c r="F17" s="60"/>
      <c r="G17" s="60"/>
      <c r="H17" s="14"/>
      <c r="M17" s="62" t="s">
        <v>101</v>
      </c>
      <c r="N17" s="62"/>
      <c r="O17" s="59"/>
    </row>
    <row r="18" spans="1:21" outlineLevel="1">
      <c r="A18" s="39">
        <v>1895</v>
      </c>
      <c r="B18" s="328">
        <v>142937</v>
      </c>
      <c r="C18" s="61"/>
      <c r="D18" s="62">
        <f t="shared" si="0"/>
        <v>142937</v>
      </c>
      <c r="E18" s="60"/>
      <c r="F18" s="60"/>
      <c r="G18" s="60"/>
      <c r="H18" s="14"/>
      <c r="L18" s="62"/>
      <c r="M18" s="62"/>
      <c r="N18" s="62"/>
    </row>
    <row r="19" spans="1:21" outlineLevel="1">
      <c r="A19" s="39">
        <v>1896</v>
      </c>
      <c r="B19" s="328">
        <v>31862</v>
      </c>
      <c r="C19" s="61"/>
      <c r="D19" s="62">
        <f t="shared" si="0"/>
        <v>31862</v>
      </c>
      <c r="E19" s="60"/>
      <c r="F19" s="60"/>
      <c r="G19" s="60"/>
      <c r="H19" s="14"/>
      <c r="L19" s="62"/>
      <c r="M19" s="62"/>
      <c r="N19" s="62"/>
      <c r="R19" t="s">
        <v>83</v>
      </c>
    </row>
    <row r="20" spans="1:21" ht="15.75" outlineLevel="1" thickBot="1">
      <c r="A20" s="39">
        <v>1897</v>
      </c>
      <c r="B20" s="328">
        <v>25605</v>
      </c>
      <c r="C20" s="61"/>
      <c r="D20" s="62">
        <f t="shared" si="0"/>
        <v>25605</v>
      </c>
      <c r="E20" s="60"/>
      <c r="F20" s="60"/>
      <c r="G20" s="60"/>
      <c r="H20" s="14"/>
      <c r="L20" s="62"/>
      <c r="M20" s="62"/>
      <c r="N20" s="62"/>
    </row>
    <row r="21" spans="1:21" outlineLevel="1">
      <c r="A21" s="39">
        <v>1898</v>
      </c>
      <c r="B21" s="328"/>
      <c r="C21" s="61"/>
      <c r="E21" s="60"/>
      <c r="F21" s="60"/>
      <c r="G21" s="60"/>
      <c r="H21" s="14"/>
      <c r="L21" s="75" t="s">
        <v>80</v>
      </c>
      <c r="M21" s="76"/>
      <c r="N21" s="77" t="s">
        <v>81</v>
      </c>
      <c r="O21" s="56" t="s">
        <v>82</v>
      </c>
      <c r="P21" s="57"/>
      <c r="Q21" s="58" t="s">
        <v>17</v>
      </c>
      <c r="R21" s="78" t="s">
        <v>71</v>
      </c>
      <c r="S21" s="59"/>
      <c r="T21" s="79" t="s">
        <v>17</v>
      </c>
    </row>
    <row r="22" spans="1:21" outlineLevel="1">
      <c r="A22" s="39">
        <v>1899</v>
      </c>
      <c r="B22" s="328"/>
      <c r="C22" s="61"/>
      <c r="E22" s="60"/>
      <c r="F22" s="60"/>
      <c r="G22" s="60"/>
      <c r="H22" s="14"/>
      <c r="K22">
        <v>1978</v>
      </c>
      <c r="L22" s="273">
        <v>220338</v>
      </c>
      <c r="M22" s="274">
        <v>91097</v>
      </c>
      <c r="N22" s="275">
        <f t="shared" ref="N22:N36" si="1">L22+M22</f>
        <v>311435</v>
      </c>
      <c r="O22" s="277">
        <v>220338</v>
      </c>
      <c r="P22" s="278">
        <v>91084</v>
      </c>
      <c r="Q22" s="276">
        <f t="shared" ref="Q22:Q36" si="2">O22+P22</f>
        <v>311422</v>
      </c>
      <c r="R22" s="280">
        <f t="shared" ref="R22:R36" si="3">L22-O22</f>
        <v>0</v>
      </c>
      <c r="T22" s="280">
        <f t="shared" ref="T22:T36" si="4">N22-Q22</f>
        <v>13</v>
      </c>
    </row>
    <row r="23" spans="1:21" outlineLevel="1">
      <c r="A23" s="39">
        <v>1900</v>
      </c>
      <c r="B23" s="328">
        <v>88175</v>
      </c>
      <c r="C23" s="61"/>
      <c r="D23" s="62">
        <f t="shared" si="0"/>
        <v>88175</v>
      </c>
      <c r="E23" s="60"/>
      <c r="F23" s="60"/>
      <c r="G23" s="60"/>
      <c r="H23" s="14"/>
      <c r="K23">
        <v>1979</v>
      </c>
      <c r="L23" s="273">
        <v>194885</v>
      </c>
      <c r="M23" s="274">
        <v>114046</v>
      </c>
      <c r="N23" s="275">
        <f t="shared" si="1"/>
        <v>308931</v>
      </c>
      <c r="O23" s="277">
        <v>194817</v>
      </c>
      <c r="P23" s="278">
        <v>114046</v>
      </c>
      <c r="Q23" s="276">
        <f t="shared" si="2"/>
        <v>308863</v>
      </c>
      <c r="R23" s="280">
        <f t="shared" si="3"/>
        <v>68</v>
      </c>
      <c r="T23" s="280">
        <f t="shared" si="4"/>
        <v>68</v>
      </c>
    </row>
    <row r="24" spans="1:21" outlineLevel="1">
      <c r="A24" s="39">
        <v>1901</v>
      </c>
      <c r="B24" s="328"/>
      <c r="C24" s="61"/>
      <c r="E24" s="60"/>
      <c r="F24" s="60"/>
      <c r="G24" s="60"/>
      <c r="H24" s="14"/>
      <c r="K24">
        <v>1980</v>
      </c>
      <c r="L24" s="273">
        <v>225299</v>
      </c>
      <c r="M24" s="274">
        <v>108872</v>
      </c>
      <c r="N24" s="275">
        <f t="shared" si="1"/>
        <v>334171</v>
      </c>
      <c r="O24" s="277">
        <v>225299</v>
      </c>
      <c r="P24" s="278">
        <v>108872</v>
      </c>
      <c r="Q24" s="276">
        <f t="shared" si="2"/>
        <v>334171</v>
      </c>
      <c r="R24" s="280">
        <f t="shared" si="3"/>
        <v>0</v>
      </c>
      <c r="T24" s="280">
        <f t="shared" si="4"/>
        <v>0</v>
      </c>
    </row>
    <row r="25" spans="1:21" outlineLevel="1">
      <c r="A25" s="39">
        <v>1902</v>
      </c>
      <c r="B25" s="328"/>
      <c r="C25" s="61"/>
      <c r="E25" s="60"/>
      <c r="F25" s="60"/>
      <c r="G25" s="60"/>
      <c r="H25" s="14"/>
      <c r="K25">
        <v>1981</v>
      </c>
      <c r="L25" s="273">
        <v>310154</v>
      </c>
      <c r="M25" s="274">
        <v>82626</v>
      </c>
      <c r="N25" s="275">
        <f t="shared" si="1"/>
        <v>392780</v>
      </c>
      <c r="O25" s="277">
        <v>308649</v>
      </c>
      <c r="P25" s="278">
        <v>82493</v>
      </c>
      <c r="Q25" s="276">
        <f t="shared" si="2"/>
        <v>391142</v>
      </c>
      <c r="R25" s="280">
        <f t="shared" si="3"/>
        <v>1505</v>
      </c>
      <c r="T25" s="280">
        <f t="shared" si="4"/>
        <v>1638</v>
      </c>
    </row>
    <row r="26" spans="1:21" outlineLevel="1">
      <c r="A26" s="39">
        <v>1903</v>
      </c>
      <c r="B26" s="328"/>
      <c r="C26" s="61"/>
      <c r="E26" s="60"/>
      <c r="F26" s="60"/>
      <c r="G26" s="60"/>
      <c r="H26" s="14"/>
      <c r="K26">
        <v>1982</v>
      </c>
      <c r="L26" s="273">
        <v>454763</v>
      </c>
      <c r="M26" s="274">
        <v>144752</v>
      </c>
      <c r="N26" s="275">
        <f t="shared" si="1"/>
        <v>599515</v>
      </c>
      <c r="O26" s="277">
        <v>454763</v>
      </c>
      <c r="P26" s="278">
        <v>144750</v>
      </c>
      <c r="Q26" s="276">
        <f t="shared" si="2"/>
        <v>599513</v>
      </c>
      <c r="R26" s="280">
        <f t="shared" si="3"/>
        <v>0</v>
      </c>
      <c r="T26" s="280">
        <f t="shared" si="4"/>
        <v>2</v>
      </c>
    </row>
    <row r="27" spans="1:21" outlineLevel="1">
      <c r="A27" s="39">
        <v>1904</v>
      </c>
      <c r="B27" s="328"/>
      <c r="C27" s="61"/>
      <c r="E27" s="60"/>
      <c r="F27" s="60"/>
      <c r="G27" s="60"/>
      <c r="H27" s="14"/>
      <c r="K27">
        <v>1983</v>
      </c>
      <c r="L27" s="273">
        <v>234243</v>
      </c>
      <c r="M27" s="274">
        <v>117669</v>
      </c>
      <c r="N27" s="275">
        <f t="shared" si="1"/>
        <v>351912</v>
      </c>
      <c r="O27" s="277">
        <v>236547</v>
      </c>
      <c r="P27" s="278">
        <v>92613</v>
      </c>
      <c r="Q27" s="276">
        <f t="shared" si="2"/>
        <v>329160</v>
      </c>
      <c r="R27" s="280">
        <f t="shared" si="3"/>
        <v>-2304</v>
      </c>
      <c r="T27" s="280">
        <f t="shared" si="4"/>
        <v>22752</v>
      </c>
      <c r="U27" t="s">
        <v>84</v>
      </c>
    </row>
    <row r="28" spans="1:21" outlineLevel="1">
      <c r="A28" s="39">
        <v>1905</v>
      </c>
      <c r="B28" s="328"/>
      <c r="C28" s="61"/>
      <c r="E28" s="60"/>
      <c r="F28" s="60"/>
      <c r="G28" s="60"/>
      <c r="H28" s="14"/>
      <c r="K28">
        <v>1984</v>
      </c>
      <c r="L28" s="273">
        <v>382432</v>
      </c>
      <c r="M28" s="274">
        <v>214632</v>
      </c>
      <c r="N28" s="275">
        <f t="shared" si="1"/>
        <v>597064</v>
      </c>
      <c r="O28" s="277">
        <v>382432</v>
      </c>
      <c r="P28" s="278">
        <v>168610</v>
      </c>
      <c r="Q28" s="276">
        <f t="shared" si="2"/>
        <v>551042</v>
      </c>
      <c r="R28" s="280">
        <f t="shared" si="3"/>
        <v>0</v>
      </c>
      <c r="T28" s="280">
        <f t="shared" si="4"/>
        <v>46022</v>
      </c>
      <c r="U28" t="s">
        <v>84</v>
      </c>
    </row>
    <row r="29" spans="1:21" outlineLevel="1">
      <c r="A29" s="39">
        <v>1906</v>
      </c>
      <c r="B29" s="328"/>
      <c r="C29" s="61"/>
      <c r="E29" s="60"/>
      <c r="F29" s="60"/>
      <c r="G29" s="60"/>
      <c r="H29" s="14"/>
      <c r="K29">
        <v>1985</v>
      </c>
      <c r="L29" s="273">
        <v>587990</v>
      </c>
      <c r="M29" s="274">
        <v>419276</v>
      </c>
      <c r="N29" s="275">
        <f t="shared" si="1"/>
        <v>1007266</v>
      </c>
      <c r="O29" s="277">
        <v>587990</v>
      </c>
      <c r="P29" s="278">
        <v>418487</v>
      </c>
      <c r="Q29" s="276">
        <f t="shared" si="2"/>
        <v>1006477</v>
      </c>
      <c r="R29" s="280">
        <f t="shared" si="3"/>
        <v>0</v>
      </c>
      <c r="T29" s="280">
        <f t="shared" si="4"/>
        <v>789</v>
      </c>
    </row>
    <row r="30" spans="1:21" outlineLevel="1">
      <c r="A30" s="39">
        <v>1907</v>
      </c>
      <c r="B30" s="328"/>
      <c r="C30" s="61"/>
      <c r="E30" s="60"/>
      <c r="F30" s="60"/>
      <c r="G30" s="60"/>
      <c r="H30" s="14"/>
      <c r="K30">
        <v>1986</v>
      </c>
      <c r="L30" s="273">
        <v>295980</v>
      </c>
      <c r="M30" s="274">
        <v>115809</v>
      </c>
      <c r="N30" s="275">
        <f t="shared" si="1"/>
        <v>411789</v>
      </c>
      <c r="O30" s="277">
        <v>295980</v>
      </c>
      <c r="P30" s="278">
        <v>115809</v>
      </c>
      <c r="Q30" s="276">
        <f t="shared" si="2"/>
        <v>411789</v>
      </c>
      <c r="R30" s="280">
        <f t="shared" si="3"/>
        <v>0</v>
      </c>
      <c r="T30" s="280">
        <f t="shared" si="4"/>
        <v>0</v>
      </c>
    </row>
    <row r="31" spans="1:21" outlineLevel="1">
      <c r="A31" s="39">
        <v>1908</v>
      </c>
      <c r="B31" s="328"/>
      <c r="C31" s="61"/>
      <c r="E31" s="60"/>
      <c r="F31" s="60"/>
      <c r="G31" s="60"/>
      <c r="H31" s="14"/>
      <c r="K31">
        <v>1987</v>
      </c>
      <c r="L31" s="273">
        <v>111599</v>
      </c>
      <c r="M31" s="274">
        <v>15864</v>
      </c>
      <c r="N31" s="275">
        <f t="shared" si="1"/>
        <v>127463</v>
      </c>
      <c r="O31" s="277">
        <v>111599</v>
      </c>
      <c r="P31" s="278">
        <v>15864</v>
      </c>
      <c r="Q31" s="276">
        <f t="shared" si="2"/>
        <v>127463</v>
      </c>
      <c r="R31" s="280">
        <f t="shared" si="3"/>
        <v>0</v>
      </c>
      <c r="T31" s="280">
        <f t="shared" si="4"/>
        <v>0</v>
      </c>
    </row>
    <row r="32" spans="1:21" outlineLevel="1">
      <c r="A32" s="39">
        <v>1909</v>
      </c>
      <c r="B32" s="328"/>
      <c r="C32" s="61"/>
      <c r="E32" s="60"/>
      <c r="F32" s="60"/>
      <c r="G32" s="60"/>
      <c r="H32" s="14"/>
      <c r="K32">
        <v>1988</v>
      </c>
      <c r="L32" s="273">
        <v>315568</v>
      </c>
      <c r="M32" s="274">
        <v>86539</v>
      </c>
      <c r="N32" s="275">
        <f t="shared" si="1"/>
        <v>402107</v>
      </c>
      <c r="O32" s="277">
        <v>315568</v>
      </c>
      <c r="P32" s="278">
        <v>86539</v>
      </c>
      <c r="Q32" s="276">
        <f t="shared" si="2"/>
        <v>402107</v>
      </c>
      <c r="R32" s="280">
        <f t="shared" si="3"/>
        <v>0</v>
      </c>
      <c r="T32" s="280">
        <f t="shared" si="4"/>
        <v>0</v>
      </c>
    </row>
    <row r="33" spans="1:20" outlineLevel="1">
      <c r="A33" s="39">
        <v>1910</v>
      </c>
      <c r="B33" s="328">
        <v>18149</v>
      </c>
      <c r="C33" s="61"/>
      <c r="D33" s="62">
        <f t="shared" ref="D33:D49" si="5">C33+B33</f>
        <v>18149</v>
      </c>
      <c r="E33" s="60"/>
      <c r="F33" s="60"/>
      <c r="G33" s="60"/>
      <c r="H33" s="14"/>
      <c r="K33">
        <v>1989</v>
      </c>
      <c r="L33" s="273">
        <v>194454</v>
      </c>
      <c r="M33" s="274">
        <v>26952</v>
      </c>
      <c r="N33" s="275">
        <f t="shared" si="1"/>
        <v>221406</v>
      </c>
      <c r="O33" s="277">
        <v>194454</v>
      </c>
      <c r="P33" s="278">
        <v>26952</v>
      </c>
      <c r="Q33" s="276">
        <f t="shared" si="2"/>
        <v>221406</v>
      </c>
      <c r="R33" s="280">
        <f t="shared" si="3"/>
        <v>0</v>
      </c>
      <c r="T33" s="280">
        <f t="shared" si="4"/>
        <v>0</v>
      </c>
    </row>
    <row r="34" spans="1:20" outlineLevel="1">
      <c r="A34" s="39">
        <v>1911</v>
      </c>
      <c r="B34" s="328">
        <v>33660</v>
      </c>
      <c r="C34" s="61"/>
      <c r="D34" s="62">
        <f t="shared" si="5"/>
        <v>33660</v>
      </c>
      <c r="E34" s="60"/>
      <c r="F34" s="60"/>
      <c r="G34" s="60"/>
      <c r="H34" s="14"/>
      <c r="K34">
        <v>1990</v>
      </c>
      <c r="L34" s="273">
        <v>246797</v>
      </c>
      <c r="M34" s="274">
        <v>42952</v>
      </c>
      <c r="N34" s="275">
        <f t="shared" si="1"/>
        <v>289749</v>
      </c>
      <c r="O34" s="277">
        <v>246797</v>
      </c>
      <c r="P34" s="278">
        <v>42952</v>
      </c>
      <c r="Q34" s="276">
        <f t="shared" si="2"/>
        <v>289749</v>
      </c>
      <c r="R34" s="280">
        <f t="shared" si="3"/>
        <v>0</v>
      </c>
      <c r="T34" s="280">
        <f t="shared" si="4"/>
        <v>0</v>
      </c>
    </row>
    <row r="35" spans="1:20" outlineLevel="1">
      <c r="A35" s="39">
        <v>1912</v>
      </c>
      <c r="B35" s="328">
        <v>36238</v>
      </c>
      <c r="C35" s="270">
        <v>8000</v>
      </c>
      <c r="D35" s="62">
        <f t="shared" si="5"/>
        <v>44238</v>
      </c>
      <c r="E35" s="60"/>
      <c r="F35" s="60"/>
      <c r="G35" s="60"/>
      <c r="H35" s="14"/>
      <c r="K35">
        <v>1991</v>
      </c>
      <c r="L35" s="273">
        <v>385086</v>
      </c>
      <c r="M35" s="274">
        <v>110951</v>
      </c>
      <c r="N35" s="275">
        <f t="shared" si="1"/>
        <v>496037</v>
      </c>
      <c r="O35" s="277">
        <v>385086</v>
      </c>
      <c r="P35" s="278">
        <v>110951</v>
      </c>
      <c r="Q35" s="276">
        <f t="shared" si="2"/>
        <v>496037</v>
      </c>
      <c r="R35" s="280">
        <f t="shared" si="3"/>
        <v>0</v>
      </c>
      <c r="T35" s="280">
        <f t="shared" si="4"/>
        <v>0</v>
      </c>
    </row>
    <row r="36" spans="1:20" outlineLevel="1">
      <c r="A36" s="39">
        <v>1913</v>
      </c>
      <c r="B36" s="328"/>
      <c r="C36" s="270"/>
      <c r="E36" s="60"/>
      <c r="F36" s="60"/>
      <c r="G36" s="60"/>
      <c r="H36" s="14"/>
      <c r="K36">
        <v>1992</v>
      </c>
      <c r="L36" s="273">
        <v>291627</v>
      </c>
      <c r="M36" s="274">
        <v>125616</v>
      </c>
      <c r="N36" s="275">
        <f t="shared" si="1"/>
        <v>417243</v>
      </c>
      <c r="O36" s="277">
        <v>291627</v>
      </c>
      <c r="P36" s="279">
        <v>125616</v>
      </c>
      <c r="Q36" s="276">
        <f t="shared" si="2"/>
        <v>417243</v>
      </c>
      <c r="R36" s="280">
        <f t="shared" si="3"/>
        <v>0</v>
      </c>
      <c r="T36" s="280">
        <f t="shared" si="4"/>
        <v>0</v>
      </c>
    </row>
    <row r="37" spans="1:20" outlineLevel="1">
      <c r="A37" s="39">
        <v>1914</v>
      </c>
      <c r="B37" s="328">
        <v>42192</v>
      </c>
      <c r="C37" s="270"/>
      <c r="D37" s="62">
        <f t="shared" si="5"/>
        <v>42192</v>
      </c>
      <c r="E37" s="60"/>
      <c r="F37" s="60"/>
      <c r="G37" s="60"/>
      <c r="H37" s="14"/>
    </row>
    <row r="38" spans="1:20" outlineLevel="1">
      <c r="A38" s="39">
        <v>1915</v>
      </c>
      <c r="B38" s="328">
        <v>12098</v>
      </c>
      <c r="C38" s="270"/>
      <c r="D38" s="62">
        <f t="shared" si="5"/>
        <v>12098</v>
      </c>
      <c r="E38" s="60"/>
      <c r="F38" s="60"/>
      <c r="G38" s="60"/>
      <c r="H38" s="14"/>
    </row>
    <row r="39" spans="1:20" outlineLevel="1">
      <c r="A39" s="39">
        <v>1916</v>
      </c>
      <c r="B39" s="328">
        <v>118267</v>
      </c>
      <c r="C39" s="270">
        <v>51938</v>
      </c>
      <c r="D39" s="62">
        <f t="shared" si="5"/>
        <v>170205</v>
      </c>
      <c r="E39" s="60"/>
      <c r="F39" s="60"/>
      <c r="G39" s="60"/>
      <c r="H39" s="14"/>
    </row>
    <row r="40" spans="1:20" outlineLevel="1">
      <c r="A40" s="39">
        <v>1917</v>
      </c>
      <c r="B40" s="328">
        <v>126073</v>
      </c>
      <c r="C40" s="270">
        <v>78412</v>
      </c>
      <c r="D40" s="62">
        <f t="shared" si="5"/>
        <v>204485</v>
      </c>
      <c r="E40" s="60"/>
      <c r="F40" s="60"/>
      <c r="G40" s="60"/>
      <c r="H40" s="14"/>
    </row>
    <row r="41" spans="1:20" outlineLevel="1">
      <c r="A41" s="39">
        <v>1918</v>
      </c>
      <c r="B41" s="328">
        <v>74379</v>
      </c>
      <c r="C41" s="270">
        <v>80218</v>
      </c>
      <c r="D41" s="62">
        <f t="shared" si="5"/>
        <v>154597</v>
      </c>
      <c r="E41" s="60"/>
      <c r="F41" s="60"/>
      <c r="G41" s="60"/>
      <c r="H41" s="14"/>
    </row>
    <row r="42" spans="1:20" outlineLevel="1">
      <c r="A42" s="39">
        <v>1919</v>
      </c>
      <c r="B42" s="328">
        <v>53468</v>
      </c>
      <c r="C42" s="270">
        <v>76729</v>
      </c>
      <c r="D42" s="62">
        <f t="shared" si="5"/>
        <v>130197</v>
      </c>
      <c r="E42" s="60"/>
      <c r="F42" s="60"/>
      <c r="G42" s="60"/>
      <c r="H42" s="14"/>
    </row>
    <row r="43" spans="1:20" outlineLevel="1">
      <c r="A43" s="39">
        <v>1920</v>
      </c>
      <c r="B43" s="329">
        <v>73924</v>
      </c>
      <c r="C43" s="270">
        <v>63865</v>
      </c>
      <c r="D43" s="62">
        <f t="shared" si="5"/>
        <v>137789</v>
      </c>
      <c r="E43" s="60"/>
      <c r="F43" s="60"/>
      <c r="G43" s="60"/>
      <c r="H43" s="14"/>
    </row>
    <row r="44" spans="1:20" outlineLevel="1">
      <c r="A44" s="39">
        <v>1921</v>
      </c>
      <c r="B44" s="328">
        <v>377</v>
      </c>
      <c r="C44" s="270"/>
      <c r="D44" s="62">
        <f t="shared" si="5"/>
        <v>377</v>
      </c>
      <c r="E44" s="60"/>
      <c r="F44" s="60"/>
      <c r="G44" s="60"/>
      <c r="H44" s="14"/>
    </row>
    <row r="45" spans="1:20" outlineLevel="1">
      <c r="A45" s="39">
        <v>1922</v>
      </c>
      <c r="B45" s="328"/>
      <c r="C45" s="270"/>
      <c r="E45" s="60"/>
      <c r="F45" s="60"/>
      <c r="G45" s="60"/>
      <c r="H45" s="14"/>
    </row>
    <row r="46" spans="1:20" outlineLevel="1">
      <c r="A46" s="39">
        <v>1923</v>
      </c>
      <c r="B46" s="328"/>
      <c r="C46" s="270">
        <v>24723</v>
      </c>
      <c r="D46" s="62">
        <f t="shared" si="5"/>
        <v>24723</v>
      </c>
      <c r="E46" s="60"/>
      <c r="F46" s="60"/>
      <c r="G46" s="60"/>
      <c r="H46" s="14"/>
    </row>
    <row r="47" spans="1:20" outlineLevel="1">
      <c r="A47" s="39">
        <v>1924</v>
      </c>
      <c r="B47" s="328">
        <v>41889</v>
      </c>
      <c r="C47" s="270">
        <v>80030</v>
      </c>
      <c r="D47" s="62">
        <f t="shared" si="5"/>
        <v>121919</v>
      </c>
      <c r="E47" s="60"/>
      <c r="F47" s="60"/>
      <c r="G47" s="60"/>
      <c r="H47" s="14"/>
    </row>
    <row r="48" spans="1:20" outlineLevel="1">
      <c r="A48" s="39">
        <v>1925</v>
      </c>
      <c r="B48" s="328">
        <v>153376</v>
      </c>
      <c r="C48" s="270">
        <v>57018</v>
      </c>
      <c r="D48" s="62">
        <f t="shared" si="5"/>
        <v>210394</v>
      </c>
      <c r="E48" s="60"/>
      <c r="F48" s="60"/>
      <c r="G48" s="60"/>
      <c r="H48" s="14"/>
    </row>
    <row r="49" spans="1:8" outlineLevel="1">
      <c r="A49" s="39">
        <v>1926</v>
      </c>
      <c r="B49" s="328">
        <v>177781</v>
      </c>
      <c r="C49" s="270">
        <v>52668</v>
      </c>
      <c r="D49" s="62">
        <f t="shared" si="5"/>
        <v>230449</v>
      </c>
      <c r="E49" s="60"/>
      <c r="F49" s="60"/>
      <c r="G49" s="60"/>
      <c r="H49" s="14"/>
    </row>
    <row r="50" spans="1:8" outlineLevel="1">
      <c r="A50" s="39">
        <v>1927</v>
      </c>
      <c r="B50" s="328">
        <v>410350</v>
      </c>
      <c r="D50" s="61">
        <v>410350</v>
      </c>
      <c r="E50" s="60"/>
      <c r="F50" s="60"/>
      <c r="G50" s="60"/>
      <c r="H50" s="14"/>
    </row>
    <row r="51" spans="1:8" outlineLevel="1">
      <c r="A51" s="39">
        <v>1928</v>
      </c>
      <c r="B51" s="328"/>
      <c r="D51" s="61"/>
      <c r="E51" s="60"/>
      <c r="F51" s="60"/>
      <c r="G51" s="60"/>
      <c r="H51" s="14"/>
    </row>
    <row r="52" spans="1:8" outlineLevel="1">
      <c r="A52" s="39">
        <v>1929</v>
      </c>
      <c r="B52" s="328"/>
      <c r="D52" s="61"/>
      <c r="E52" s="60"/>
      <c r="F52" s="60"/>
      <c r="G52" s="60"/>
      <c r="H52" s="14"/>
    </row>
    <row r="53" spans="1:8" outlineLevel="1">
      <c r="A53" s="39">
        <v>1930</v>
      </c>
      <c r="B53" s="328"/>
      <c r="D53" s="61"/>
      <c r="E53" s="60"/>
      <c r="F53" s="60"/>
      <c r="G53" s="60"/>
      <c r="H53" s="14"/>
    </row>
    <row r="54" spans="1:8" outlineLevel="1">
      <c r="A54" s="39">
        <v>1931</v>
      </c>
      <c r="B54" s="328">
        <v>109319</v>
      </c>
      <c r="C54" s="61"/>
      <c r="D54" s="61">
        <v>109319</v>
      </c>
      <c r="E54" s="60"/>
      <c r="F54" s="60"/>
      <c r="G54" s="60"/>
      <c r="H54" s="14"/>
    </row>
    <row r="55" spans="1:8" outlineLevel="1">
      <c r="A55" s="39">
        <v>1932</v>
      </c>
      <c r="B55" s="328"/>
      <c r="C55" s="61"/>
      <c r="D55" s="61"/>
      <c r="E55" s="60"/>
      <c r="F55" s="60"/>
      <c r="G55" s="60"/>
      <c r="H55" s="14"/>
    </row>
    <row r="56" spans="1:8" outlineLevel="1">
      <c r="A56" s="39">
        <v>1933</v>
      </c>
      <c r="B56" s="328">
        <v>96263</v>
      </c>
      <c r="C56" s="61"/>
      <c r="D56" s="61">
        <v>96263</v>
      </c>
      <c r="E56" s="60"/>
      <c r="F56" s="60"/>
      <c r="G56" s="60"/>
      <c r="H56" s="14"/>
    </row>
    <row r="57" spans="1:8" outlineLevel="1">
      <c r="A57" s="39">
        <v>1934</v>
      </c>
      <c r="B57" s="328"/>
      <c r="C57" s="61"/>
      <c r="D57" s="61"/>
      <c r="E57" s="60"/>
      <c r="F57" s="60"/>
      <c r="G57" s="60"/>
      <c r="H57" s="14"/>
    </row>
    <row r="58" spans="1:8" outlineLevel="1">
      <c r="A58" s="39">
        <v>1935</v>
      </c>
      <c r="B58" s="328">
        <v>79722</v>
      </c>
      <c r="C58" s="61"/>
      <c r="D58" s="61">
        <v>79722</v>
      </c>
      <c r="E58" s="60"/>
      <c r="F58" s="60"/>
      <c r="G58" s="60"/>
      <c r="H58" s="14"/>
    </row>
    <row r="59" spans="1:8" outlineLevel="1">
      <c r="A59" s="39">
        <v>1936</v>
      </c>
      <c r="B59" s="328"/>
      <c r="C59" s="61"/>
      <c r="D59" s="61"/>
      <c r="E59" s="60"/>
      <c r="F59" s="60"/>
      <c r="G59" s="60"/>
      <c r="H59" s="14"/>
    </row>
    <row r="60" spans="1:8" outlineLevel="1">
      <c r="A60" s="39">
        <v>1937</v>
      </c>
      <c r="B60" s="328">
        <v>45535</v>
      </c>
      <c r="C60" s="61"/>
      <c r="D60" s="61">
        <v>45535</v>
      </c>
      <c r="E60" s="60"/>
      <c r="F60" s="60"/>
      <c r="G60" s="60"/>
      <c r="H60" s="14"/>
    </row>
    <row r="61" spans="1:8" outlineLevel="1">
      <c r="A61" s="39">
        <v>1938</v>
      </c>
      <c r="B61" s="328"/>
      <c r="C61" s="61"/>
      <c r="D61" s="61"/>
      <c r="E61" s="60"/>
      <c r="F61" s="60"/>
      <c r="G61" s="60"/>
      <c r="H61" s="14"/>
    </row>
    <row r="62" spans="1:8" outlineLevel="1">
      <c r="A62" s="39">
        <v>1939</v>
      </c>
      <c r="B62" s="328">
        <v>6809</v>
      </c>
      <c r="C62" s="61"/>
      <c r="D62" s="61">
        <v>6809</v>
      </c>
      <c r="E62" s="60"/>
      <c r="F62" s="60"/>
      <c r="G62" s="60"/>
      <c r="H62" s="14"/>
    </row>
    <row r="63" spans="1:8" outlineLevel="1">
      <c r="A63" s="39">
        <v>1940</v>
      </c>
      <c r="B63" s="328">
        <v>266892</v>
      </c>
      <c r="C63" s="61"/>
      <c r="D63" s="61">
        <v>266892</v>
      </c>
      <c r="E63" s="60"/>
      <c r="F63" s="60"/>
      <c r="G63" s="60"/>
      <c r="H63" s="14"/>
    </row>
    <row r="64" spans="1:8" outlineLevel="1">
      <c r="A64" s="39">
        <v>1941</v>
      </c>
      <c r="B64" s="328">
        <v>700086</v>
      </c>
      <c r="C64" s="61"/>
      <c r="D64" s="61">
        <v>700086</v>
      </c>
      <c r="E64" s="60"/>
      <c r="F64" s="60"/>
      <c r="G64" s="60"/>
      <c r="H64" s="14"/>
    </row>
    <row r="65" spans="1:8" outlineLevel="1">
      <c r="A65" s="39">
        <v>1942</v>
      </c>
      <c r="B65" s="328">
        <v>710014</v>
      </c>
      <c r="C65" s="61"/>
      <c r="D65" s="61">
        <v>710014</v>
      </c>
      <c r="E65" s="60"/>
      <c r="F65" s="60"/>
      <c r="G65" s="60"/>
      <c r="H65" s="14"/>
    </row>
    <row r="66" spans="1:8" outlineLevel="1">
      <c r="A66" s="39">
        <v>1943</v>
      </c>
      <c r="B66" s="328">
        <v>186380</v>
      </c>
      <c r="C66" s="61"/>
      <c r="D66" s="61">
        <v>186380</v>
      </c>
      <c r="E66" s="60"/>
      <c r="F66" s="60"/>
      <c r="G66" s="60"/>
      <c r="H66" s="14"/>
    </row>
    <row r="67" spans="1:8" outlineLevel="1">
      <c r="A67" s="39">
        <v>1944</v>
      </c>
      <c r="B67" s="328">
        <v>294619</v>
      </c>
      <c r="C67" s="61"/>
      <c r="D67" s="61">
        <v>294619</v>
      </c>
      <c r="E67" s="60"/>
      <c r="F67" s="60"/>
      <c r="G67" s="60"/>
      <c r="H67" s="14"/>
    </row>
    <row r="68" spans="1:8" outlineLevel="1">
      <c r="A68" s="39">
        <v>1945</v>
      </c>
      <c r="B68" s="328">
        <v>349580</v>
      </c>
      <c r="C68" s="61"/>
      <c r="D68" s="61">
        <v>349580</v>
      </c>
      <c r="E68" s="60"/>
      <c r="F68" s="60"/>
      <c r="G68" s="60"/>
      <c r="H68" s="14"/>
    </row>
    <row r="69" spans="1:8" outlineLevel="1">
      <c r="A69" s="39">
        <v>1946</v>
      </c>
      <c r="B69" s="328">
        <v>219853</v>
      </c>
      <c r="C69" s="61"/>
      <c r="D69" s="61">
        <v>219853</v>
      </c>
      <c r="E69" s="60"/>
      <c r="F69" s="60"/>
      <c r="G69" s="60"/>
      <c r="H69" s="14"/>
    </row>
    <row r="70" spans="1:8" outlineLevel="1">
      <c r="A70" s="39">
        <v>1947</v>
      </c>
      <c r="B70" s="328">
        <v>188965</v>
      </c>
      <c r="C70" s="61"/>
      <c r="D70" s="61">
        <v>188965</v>
      </c>
      <c r="E70" s="60"/>
      <c r="F70" s="60"/>
      <c r="G70" s="60"/>
      <c r="H70" s="14"/>
    </row>
    <row r="71" spans="1:8" outlineLevel="1">
      <c r="A71" s="39">
        <v>1948</v>
      </c>
      <c r="B71" s="328">
        <v>243848</v>
      </c>
      <c r="C71" s="61"/>
      <c r="D71" s="61">
        <v>243848</v>
      </c>
      <c r="E71" s="60"/>
      <c r="F71" s="60"/>
      <c r="G71" s="60"/>
      <c r="H71" s="14"/>
    </row>
    <row r="72" spans="1:8" outlineLevel="1">
      <c r="A72" s="39">
        <v>1949</v>
      </c>
      <c r="B72" s="330">
        <v>136876</v>
      </c>
      <c r="C72" s="61"/>
      <c r="D72" s="61">
        <v>136876</v>
      </c>
      <c r="E72" s="60"/>
      <c r="F72" s="60"/>
      <c r="G72" s="60"/>
      <c r="H72" s="14"/>
    </row>
    <row r="73" spans="1:8" outlineLevel="1">
      <c r="A73" s="39">
        <v>1950</v>
      </c>
      <c r="B73" s="330">
        <v>171690</v>
      </c>
      <c r="C73" s="61"/>
      <c r="D73" s="61">
        <v>171690</v>
      </c>
      <c r="E73" s="60"/>
      <c r="F73" s="60"/>
      <c r="G73" s="60"/>
      <c r="H73" s="14"/>
    </row>
    <row r="74" spans="1:8" outlineLevel="1">
      <c r="A74" s="39">
        <v>1951</v>
      </c>
      <c r="B74" s="331">
        <v>154418</v>
      </c>
      <c r="C74" s="270">
        <v>46306</v>
      </c>
      <c r="D74" s="272">
        <f t="shared" ref="D74:D123" si="6">C74+B74</f>
        <v>200724</v>
      </c>
      <c r="E74" s="60"/>
      <c r="F74" s="60"/>
      <c r="G74" s="60"/>
      <c r="H74" s="14"/>
    </row>
    <row r="75" spans="1:8" outlineLevel="1">
      <c r="A75" s="39">
        <v>1952</v>
      </c>
      <c r="B75" s="331">
        <v>177382</v>
      </c>
      <c r="C75" s="270">
        <v>13642</v>
      </c>
      <c r="D75" s="272">
        <f t="shared" si="6"/>
        <v>191024</v>
      </c>
      <c r="E75" s="60"/>
      <c r="F75" s="60"/>
      <c r="G75" s="60"/>
      <c r="H75" s="14"/>
    </row>
    <row r="76" spans="1:8" outlineLevel="1">
      <c r="A76" s="39">
        <v>1953</v>
      </c>
      <c r="B76" s="74">
        <v>29866</v>
      </c>
      <c r="C76" s="271">
        <v>0</v>
      </c>
      <c r="D76" s="272">
        <f t="shared" si="6"/>
        <v>29866</v>
      </c>
      <c r="E76" s="55"/>
      <c r="F76" s="55"/>
      <c r="G76" s="23"/>
      <c r="H76" s="41"/>
    </row>
    <row r="77" spans="1:8" outlineLevel="1">
      <c r="A77" s="39">
        <v>1954</v>
      </c>
      <c r="B77" s="74">
        <v>157941</v>
      </c>
      <c r="C77" s="271">
        <v>91964</v>
      </c>
      <c r="D77" s="272">
        <f t="shared" si="6"/>
        <v>249905</v>
      </c>
      <c r="E77" s="55"/>
      <c r="F77" s="55"/>
      <c r="G77" s="23"/>
      <c r="H77" s="41"/>
    </row>
    <row r="78" spans="1:8" outlineLevel="1">
      <c r="A78" s="39">
        <v>1955</v>
      </c>
      <c r="B78" s="74">
        <v>158208</v>
      </c>
      <c r="C78" s="271">
        <v>70100</v>
      </c>
      <c r="D78" s="272">
        <f t="shared" si="6"/>
        <v>228308</v>
      </c>
      <c r="E78" s="55"/>
      <c r="F78" s="55"/>
      <c r="G78" s="23"/>
      <c r="H78" s="41"/>
    </row>
    <row r="79" spans="1:8" outlineLevel="1">
      <c r="A79" s="39">
        <v>1956</v>
      </c>
      <c r="B79" s="74">
        <v>109248</v>
      </c>
      <c r="C79" s="271">
        <v>53484</v>
      </c>
      <c r="D79" s="272">
        <f t="shared" si="6"/>
        <v>162732</v>
      </c>
      <c r="E79" s="55"/>
      <c r="F79" s="55"/>
      <c r="G79" s="23"/>
      <c r="H79" s="41"/>
    </row>
    <row r="80" spans="1:8" outlineLevel="1">
      <c r="A80" s="39">
        <v>1957</v>
      </c>
      <c r="B80" s="74">
        <v>58705</v>
      </c>
      <c r="C80" s="271">
        <v>27441</v>
      </c>
      <c r="D80" s="272">
        <f t="shared" si="6"/>
        <v>86146</v>
      </c>
      <c r="E80" s="55"/>
      <c r="F80" s="55"/>
      <c r="G80" s="23"/>
      <c r="H80" s="41"/>
    </row>
    <row r="81" spans="1:8" outlineLevel="1">
      <c r="A81" s="39">
        <v>1958</v>
      </c>
      <c r="B81" s="74">
        <v>81610</v>
      </c>
      <c r="C81" s="271">
        <v>21202</v>
      </c>
      <c r="D81" s="272">
        <f t="shared" si="6"/>
        <v>102812</v>
      </c>
      <c r="E81" s="55"/>
      <c r="F81" s="55"/>
      <c r="G81" s="23"/>
      <c r="H81" s="41"/>
    </row>
    <row r="82" spans="1:8" outlineLevel="1">
      <c r="A82" s="39">
        <v>1959</v>
      </c>
      <c r="B82" s="74">
        <v>132259</v>
      </c>
      <c r="C82" s="271">
        <v>58560</v>
      </c>
      <c r="D82" s="272">
        <f t="shared" si="6"/>
        <v>190819</v>
      </c>
      <c r="E82" s="55"/>
      <c r="F82" s="55"/>
      <c r="G82" s="23"/>
      <c r="H82" s="41"/>
    </row>
    <row r="83" spans="1:8" outlineLevel="1">
      <c r="A83" s="39">
        <v>1960</v>
      </c>
      <c r="B83" s="74">
        <v>118395</v>
      </c>
      <c r="C83" s="271">
        <v>68255</v>
      </c>
      <c r="D83" s="272">
        <f t="shared" si="6"/>
        <v>186650</v>
      </c>
      <c r="E83" s="55"/>
      <c r="F83" s="55"/>
      <c r="G83" s="23"/>
      <c r="H83" s="41"/>
    </row>
    <row r="84" spans="1:8" outlineLevel="1">
      <c r="A84" s="39">
        <v>1961</v>
      </c>
      <c r="B84" s="74">
        <v>133987</v>
      </c>
      <c r="C84" s="271">
        <v>50883</v>
      </c>
      <c r="D84" s="272">
        <f t="shared" si="6"/>
        <v>184870</v>
      </c>
      <c r="E84" s="55"/>
      <c r="F84" s="55"/>
      <c r="G84" s="23"/>
      <c r="H84" s="41"/>
    </row>
    <row r="85" spans="1:8" outlineLevel="1">
      <c r="A85" s="39">
        <v>1962</v>
      </c>
      <c r="B85" s="74">
        <v>174628</v>
      </c>
      <c r="C85" s="271">
        <v>55502</v>
      </c>
      <c r="D85" s="272">
        <f t="shared" si="6"/>
        <v>230130</v>
      </c>
      <c r="E85" s="55"/>
      <c r="F85" s="55"/>
      <c r="G85" s="23"/>
      <c r="H85" s="41"/>
    </row>
    <row r="86" spans="1:8" outlineLevel="1">
      <c r="A86" s="39">
        <v>1963</v>
      </c>
      <c r="B86" s="74">
        <v>202621</v>
      </c>
      <c r="C86" s="271">
        <v>87507</v>
      </c>
      <c r="D86" s="272">
        <f t="shared" si="6"/>
        <v>290128</v>
      </c>
      <c r="E86" s="55"/>
      <c r="F86" s="55"/>
      <c r="G86" s="23"/>
      <c r="H86" s="41"/>
    </row>
    <row r="87" spans="1:8" outlineLevel="1">
      <c r="A87" s="39">
        <v>1964</v>
      </c>
      <c r="B87" s="74">
        <v>242666</v>
      </c>
      <c r="C87" s="271">
        <v>77360</v>
      </c>
      <c r="D87" s="272">
        <f t="shared" si="6"/>
        <v>320026</v>
      </c>
      <c r="E87" s="55"/>
      <c r="F87" s="55"/>
      <c r="G87" s="23"/>
      <c r="H87" s="41"/>
    </row>
    <row r="88" spans="1:8" outlineLevel="1">
      <c r="A88" s="39">
        <v>1965</v>
      </c>
      <c r="B88" s="74">
        <v>70786</v>
      </c>
      <c r="C88" s="271">
        <v>52162</v>
      </c>
      <c r="D88" s="272">
        <f t="shared" si="6"/>
        <v>122948</v>
      </c>
      <c r="E88" s="55"/>
      <c r="F88" s="55"/>
      <c r="G88" s="23"/>
      <c r="H88" s="41"/>
    </row>
    <row r="89" spans="1:8" outlineLevel="1">
      <c r="A89" s="39">
        <v>1966</v>
      </c>
      <c r="B89" s="74">
        <v>116147</v>
      </c>
      <c r="C89" s="271">
        <v>49580</v>
      </c>
      <c r="D89" s="272">
        <f t="shared" si="6"/>
        <v>165727</v>
      </c>
      <c r="E89" s="55"/>
      <c r="F89" s="55"/>
      <c r="G89" s="23"/>
      <c r="H89" s="41"/>
    </row>
    <row r="90" spans="1:8" outlineLevel="1">
      <c r="A90" s="39">
        <v>1967</v>
      </c>
      <c r="B90" s="74">
        <v>160532</v>
      </c>
      <c r="C90" s="271">
        <v>46135</v>
      </c>
      <c r="D90" s="272">
        <f t="shared" si="6"/>
        <v>206667</v>
      </c>
      <c r="E90" s="55"/>
      <c r="F90" s="55"/>
      <c r="G90" s="23"/>
      <c r="H90" s="41"/>
    </row>
    <row r="91" spans="1:8" outlineLevel="1">
      <c r="A91" s="39">
        <v>1968</v>
      </c>
      <c r="B91" s="74">
        <v>230867</v>
      </c>
      <c r="C91" s="271">
        <v>67310</v>
      </c>
      <c r="D91" s="272">
        <f t="shared" si="6"/>
        <v>298177</v>
      </c>
      <c r="E91" s="55"/>
      <c r="F91" s="55"/>
      <c r="G91" s="23"/>
      <c r="H91" s="41"/>
    </row>
    <row r="92" spans="1:8" outlineLevel="1">
      <c r="A92" s="39">
        <v>1969</v>
      </c>
      <c r="B92" s="74">
        <v>77405</v>
      </c>
      <c r="C92" s="271">
        <v>4033</v>
      </c>
      <c r="D92" s="272">
        <f t="shared" si="6"/>
        <v>81438</v>
      </c>
      <c r="E92" s="55"/>
      <c r="F92" s="55"/>
      <c r="G92" s="23"/>
      <c r="H92" s="41"/>
    </row>
    <row r="93" spans="1:8" outlineLevel="1">
      <c r="A93" s="39">
        <v>1970</v>
      </c>
      <c r="B93" s="74">
        <v>161892</v>
      </c>
      <c r="C93" s="271">
        <v>79264</v>
      </c>
      <c r="D93" s="272">
        <f t="shared" si="6"/>
        <v>241156</v>
      </c>
      <c r="E93" s="55"/>
      <c r="F93" s="55"/>
      <c r="G93" s="23"/>
      <c r="H93" s="41"/>
    </row>
    <row r="94" spans="1:8" outlineLevel="1">
      <c r="A94" s="39">
        <v>1971</v>
      </c>
      <c r="B94" s="74">
        <v>208915</v>
      </c>
      <c r="C94" s="271">
        <v>88231</v>
      </c>
      <c r="D94" s="272">
        <f>C94+B94</f>
        <v>297146</v>
      </c>
      <c r="E94" s="55"/>
      <c r="F94" s="55"/>
      <c r="G94" s="23"/>
      <c r="H94" s="41"/>
    </row>
    <row r="95" spans="1:8" outlineLevel="1">
      <c r="A95" s="39">
        <v>1972</v>
      </c>
      <c r="B95" s="74">
        <v>103211</v>
      </c>
      <c r="C95" s="271">
        <v>19825</v>
      </c>
      <c r="D95" s="272">
        <f t="shared" si="6"/>
        <v>123036</v>
      </c>
      <c r="E95" s="55"/>
      <c r="F95" s="55"/>
      <c r="G95" s="23"/>
      <c r="H95" s="41"/>
    </row>
    <row r="96" spans="1:8" outlineLevel="1">
      <c r="A96" s="39">
        <v>1973</v>
      </c>
      <c r="B96" s="74">
        <v>132272</v>
      </c>
      <c r="C96" s="271">
        <v>65348</v>
      </c>
      <c r="D96" s="272">
        <f t="shared" si="6"/>
        <v>197620</v>
      </c>
      <c r="E96" s="55"/>
      <c r="F96" s="55"/>
      <c r="G96" s="23"/>
      <c r="H96" s="41"/>
    </row>
    <row r="97" spans="1:11" outlineLevel="1">
      <c r="A97" s="39">
        <v>1974</v>
      </c>
      <c r="B97" s="74">
        <v>46625</v>
      </c>
      <c r="C97" s="271">
        <v>28615</v>
      </c>
      <c r="D97" s="272">
        <f t="shared" si="6"/>
        <v>75240</v>
      </c>
      <c r="E97" s="55"/>
      <c r="F97" s="55"/>
      <c r="G97" s="23"/>
      <c r="H97" s="41"/>
    </row>
    <row r="98" spans="1:11" outlineLevel="1">
      <c r="A98" s="39">
        <v>1975</v>
      </c>
      <c r="B98" s="74">
        <v>53805</v>
      </c>
      <c r="C98" s="271">
        <v>24162</v>
      </c>
      <c r="D98" s="272">
        <f t="shared" si="6"/>
        <v>77967</v>
      </c>
      <c r="E98" s="55"/>
      <c r="F98" s="55"/>
      <c r="G98" s="23"/>
      <c r="H98" s="41"/>
    </row>
    <row r="99" spans="1:11" outlineLevel="1">
      <c r="A99" s="39">
        <v>1976</v>
      </c>
      <c r="B99" s="74">
        <v>111900</v>
      </c>
      <c r="C99" s="271">
        <v>42423</v>
      </c>
      <c r="D99" s="272">
        <f t="shared" si="6"/>
        <v>154323</v>
      </c>
      <c r="E99" s="55"/>
      <c r="F99" s="55"/>
      <c r="G99" s="23"/>
      <c r="H99" s="41"/>
    </row>
    <row r="100" spans="1:11" outlineLevel="1">
      <c r="A100" s="39">
        <v>1977</v>
      </c>
      <c r="B100" s="74">
        <v>131356</v>
      </c>
      <c r="C100" s="271">
        <v>47218</v>
      </c>
      <c r="D100" s="272">
        <f t="shared" si="6"/>
        <v>178574</v>
      </c>
      <c r="E100" s="55"/>
      <c r="F100" s="55"/>
      <c r="G100" s="23"/>
      <c r="H100" s="41"/>
    </row>
    <row r="101" spans="1:11" outlineLevel="1">
      <c r="A101" s="39">
        <v>1978</v>
      </c>
      <c r="B101" s="74">
        <v>220338</v>
      </c>
      <c r="C101" s="271">
        <v>91097</v>
      </c>
      <c r="D101" s="272">
        <f>C101+B101</f>
        <v>311435</v>
      </c>
      <c r="E101" s="55"/>
      <c r="F101" s="55"/>
      <c r="G101" s="23"/>
      <c r="H101" s="41"/>
    </row>
    <row r="102" spans="1:11" outlineLevel="1">
      <c r="A102" s="39">
        <v>1979</v>
      </c>
      <c r="B102" s="74">
        <v>194885</v>
      </c>
      <c r="C102" s="271">
        <v>114046</v>
      </c>
      <c r="D102" s="272">
        <f t="shared" si="6"/>
        <v>308931</v>
      </c>
      <c r="E102" s="55"/>
      <c r="F102" s="55"/>
      <c r="G102" s="23"/>
      <c r="H102" s="41"/>
    </row>
    <row r="103" spans="1:11">
      <c r="A103" s="39">
        <v>1980</v>
      </c>
      <c r="B103" s="332">
        <v>225299</v>
      </c>
      <c r="C103" s="97">
        <v>108872</v>
      </c>
      <c r="D103" s="130">
        <f t="shared" si="6"/>
        <v>334171</v>
      </c>
      <c r="E103" s="98">
        <v>85462</v>
      </c>
      <c r="F103" s="98">
        <v>10575</v>
      </c>
      <c r="G103" s="96">
        <f t="shared" ref="G103:G119" si="7">E103+B103</f>
        <v>310761</v>
      </c>
      <c r="H103" s="131">
        <f t="shared" ref="H103:H119" si="8">F103+C103</f>
        <v>119447</v>
      </c>
      <c r="J103" s="229" t="str">
        <f ca="1">CELL("filename",A1)</f>
        <v>O:\DCF\SALMON\FORECAST\2014\[2014_Copper_&amp;_ Bering_Wild_Coho_FINAL.xlsx]CBR</v>
      </c>
    </row>
    <row r="104" spans="1:11">
      <c r="A104" s="39">
        <v>1981</v>
      </c>
      <c r="B104" s="332">
        <v>310154</v>
      </c>
      <c r="C104" s="97">
        <v>82626</v>
      </c>
      <c r="D104" s="130">
        <f t="shared" si="6"/>
        <v>392780</v>
      </c>
      <c r="E104" s="98">
        <v>44450</v>
      </c>
      <c r="F104" s="98">
        <v>3600</v>
      </c>
      <c r="G104" s="96">
        <f t="shared" si="7"/>
        <v>354604</v>
      </c>
      <c r="H104" s="131">
        <f t="shared" si="8"/>
        <v>86226</v>
      </c>
    </row>
    <row r="105" spans="1:11">
      <c r="A105" s="39">
        <v>1982</v>
      </c>
      <c r="B105" s="332">
        <v>454763</v>
      </c>
      <c r="C105" s="97">
        <v>144752</v>
      </c>
      <c r="D105" s="130">
        <f t="shared" si="6"/>
        <v>599515</v>
      </c>
      <c r="E105" s="98">
        <v>53410</v>
      </c>
      <c r="F105" s="98">
        <v>30550</v>
      </c>
      <c r="G105" s="96">
        <f t="shared" si="7"/>
        <v>508173</v>
      </c>
      <c r="H105" s="131">
        <f t="shared" si="8"/>
        <v>175302</v>
      </c>
    </row>
    <row r="106" spans="1:11">
      <c r="A106" s="39">
        <v>1983</v>
      </c>
      <c r="B106" s="332">
        <v>234243</v>
      </c>
      <c r="C106" s="97">
        <v>117669</v>
      </c>
      <c r="D106" s="130">
        <f t="shared" si="6"/>
        <v>351912</v>
      </c>
      <c r="E106" s="98">
        <v>61775</v>
      </c>
      <c r="F106" s="98">
        <v>83125</v>
      </c>
      <c r="G106" s="96">
        <f t="shared" si="7"/>
        <v>296018</v>
      </c>
      <c r="H106" s="131">
        <f t="shared" si="8"/>
        <v>200794</v>
      </c>
    </row>
    <row r="107" spans="1:11">
      <c r="A107" s="39">
        <v>1984</v>
      </c>
      <c r="B107" s="332">
        <v>382432</v>
      </c>
      <c r="C107" s="97">
        <v>214632</v>
      </c>
      <c r="D107" s="130">
        <f t="shared" si="6"/>
        <v>597064</v>
      </c>
      <c r="E107" s="98">
        <v>57445</v>
      </c>
      <c r="F107" s="98">
        <v>9850</v>
      </c>
      <c r="G107" s="96">
        <f t="shared" si="7"/>
        <v>439877</v>
      </c>
      <c r="H107" s="131">
        <f t="shared" si="8"/>
        <v>224482</v>
      </c>
    </row>
    <row r="108" spans="1:11" ht="15.75">
      <c r="A108" s="39">
        <v>1985</v>
      </c>
      <c r="B108" s="332">
        <v>587990</v>
      </c>
      <c r="C108" s="97">
        <v>419276</v>
      </c>
      <c r="D108" s="130">
        <f t="shared" si="6"/>
        <v>1007266</v>
      </c>
      <c r="E108" s="98">
        <f>8810+8500+11000+300+8000+4000+1500+11500+1500+9100+8500+4100+1900+26000+350</f>
        <v>105060</v>
      </c>
      <c r="F108" s="98">
        <v>80500</v>
      </c>
      <c r="G108" s="96">
        <f t="shared" si="7"/>
        <v>693050</v>
      </c>
      <c r="H108" s="131">
        <f t="shared" si="8"/>
        <v>499776</v>
      </c>
      <c r="K108" s="126"/>
    </row>
    <row r="109" spans="1:11" ht="15.75">
      <c r="A109" s="39">
        <v>1986</v>
      </c>
      <c r="B109" s="332">
        <v>295980</v>
      </c>
      <c r="C109" s="97">
        <v>115809</v>
      </c>
      <c r="D109" s="130">
        <f t="shared" si="6"/>
        <v>411789</v>
      </c>
      <c r="E109" s="98">
        <v>25790</v>
      </c>
      <c r="F109" s="98">
        <v>9420</v>
      </c>
      <c r="G109" s="96">
        <f t="shared" si="7"/>
        <v>321770</v>
      </c>
      <c r="H109" s="131">
        <f t="shared" si="8"/>
        <v>125229</v>
      </c>
      <c r="K109" s="126"/>
    </row>
    <row r="110" spans="1:11" ht="15.75">
      <c r="A110" s="39">
        <v>1987</v>
      </c>
      <c r="B110" s="332">
        <v>111599</v>
      </c>
      <c r="C110" s="97">
        <v>15864</v>
      </c>
      <c r="D110" s="130">
        <f t="shared" si="6"/>
        <v>127463</v>
      </c>
      <c r="E110" s="98">
        <v>27925</v>
      </c>
      <c r="F110" s="98">
        <v>5605</v>
      </c>
      <c r="G110" s="96">
        <f t="shared" si="7"/>
        <v>139524</v>
      </c>
      <c r="H110" s="131">
        <f t="shared" si="8"/>
        <v>21469</v>
      </c>
      <c r="K110" s="111"/>
    </row>
    <row r="111" spans="1:11" ht="15.75">
      <c r="A111" s="39">
        <v>1988</v>
      </c>
      <c r="B111" s="332">
        <v>315568</v>
      </c>
      <c r="C111" s="97">
        <v>86539</v>
      </c>
      <c r="D111" s="130">
        <f t="shared" si="6"/>
        <v>402107</v>
      </c>
      <c r="E111" s="98">
        <v>27930</v>
      </c>
      <c r="F111" s="98">
        <v>11415</v>
      </c>
      <c r="G111" s="96">
        <f t="shared" si="7"/>
        <v>343498</v>
      </c>
      <c r="H111" s="131">
        <f t="shared" si="8"/>
        <v>97954</v>
      </c>
      <c r="K111" s="126"/>
    </row>
    <row r="112" spans="1:11" ht="15.75">
      <c r="A112" s="39">
        <v>1989</v>
      </c>
      <c r="B112" s="332">
        <v>194454</v>
      </c>
      <c r="C112" s="97">
        <v>26952</v>
      </c>
      <c r="D112" s="130">
        <f t="shared" si="6"/>
        <v>221406</v>
      </c>
      <c r="E112" s="98">
        <v>41366</v>
      </c>
      <c r="F112" s="98">
        <v>15835</v>
      </c>
      <c r="G112" s="96">
        <f t="shared" si="7"/>
        <v>235820</v>
      </c>
      <c r="H112" s="131">
        <f t="shared" si="8"/>
        <v>42787</v>
      </c>
      <c r="K112" s="126"/>
    </row>
    <row r="113" spans="1:8">
      <c r="A113" s="39">
        <v>1990</v>
      </c>
      <c r="B113" s="332">
        <v>246797</v>
      </c>
      <c r="C113" s="97">
        <v>42952</v>
      </c>
      <c r="D113" s="130">
        <f t="shared" si="6"/>
        <v>289749</v>
      </c>
      <c r="E113" s="98">
        <v>42386</v>
      </c>
      <c r="F113" s="98">
        <v>24800</v>
      </c>
      <c r="G113" s="96">
        <f t="shared" si="7"/>
        <v>289183</v>
      </c>
      <c r="H113" s="131">
        <f t="shared" si="8"/>
        <v>67752</v>
      </c>
    </row>
    <row r="114" spans="1:8">
      <c r="A114" s="39">
        <v>1991</v>
      </c>
      <c r="B114" s="332">
        <v>385086</v>
      </c>
      <c r="C114" s="97">
        <v>110951</v>
      </c>
      <c r="D114" s="130">
        <f t="shared" si="6"/>
        <v>496037</v>
      </c>
      <c r="E114" s="98">
        <v>64356</v>
      </c>
      <c r="F114" s="98">
        <v>31300</v>
      </c>
      <c r="G114" s="96">
        <f t="shared" si="7"/>
        <v>449442</v>
      </c>
      <c r="H114" s="131">
        <f t="shared" si="8"/>
        <v>142251</v>
      </c>
    </row>
    <row r="115" spans="1:8">
      <c r="A115" s="39">
        <v>1992</v>
      </c>
      <c r="B115" s="332">
        <v>291627</v>
      </c>
      <c r="C115" s="97">
        <v>125616</v>
      </c>
      <c r="D115" s="130">
        <f t="shared" si="6"/>
        <v>417243</v>
      </c>
      <c r="E115" s="98">
        <v>44563</v>
      </c>
      <c r="F115" s="81">
        <v>14440</v>
      </c>
      <c r="G115" s="96">
        <f t="shared" si="7"/>
        <v>336190</v>
      </c>
      <c r="H115" s="131">
        <f t="shared" si="8"/>
        <v>140056</v>
      </c>
    </row>
    <row r="116" spans="1:8">
      <c r="A116" s="39">
        <v>1993</v>
      </c>
      <c r="B116" s="332">
        <v>281469</v>
      </c>
      <c r="C116" s="97">
        <v>115833</v>
      </c>
      <c r="D116" s="130">
        <f t="shared" si="6"/>
        <v>397302</v>
      </c>
      <c r="E116" s="81">
        <v>45740</v>
      </c>
      <c r="F116" s="81">
        <v>20930</v>
      </c>
      <c r="G116" s="96">
        <f t="shared" si="7"/>
        <v>327209</v>
      </c>
      <c r="H116" s="131">
        <f t="shared" si="8"/>
        <v>136763</v>
      </c>
    </row>
    <row r="117" spans="1:8">
      <c r="A117" s="39">
        <v>1994</v>
      </c>
      <c r="B117" s="332">
        <v>677633</v>
      </c>
      <c r="C117" s="97">
        <v>259003</v>
      </c>
      <c r="D117" s="130">
        <f t="shared" si="6"/>
        <v>936636</v>
      </c>
      <c r="E117" s="81">
        <v>49250</v>
      </c>
      <c r="F117" s="81">
        <v>22200</v>
      </c>
      <c r="G117" s="96">
        <f t="shared" si="7"/>
        <v>726883</v>
      </c>
      <c r="H117" s="131">
        <f t="shared" si="8"/>
        <v>281203</v>
      </c>
    </row>
    <row r="118" spans="1:8">
      <c r="A118" s="39">
        <v>1995</v>
      </c>
      <c r="B118" s="332">
        <v>542658</v>
      </c>
      <c r="C118" s="97">
        <v>282045</v>
      </c>
      <c r="D118" s="130">
        <f t="shared" si="6"/>
        <v>824703</v>
      </c>
      <c r="E118" s="81">
        <v>34370</v>
      </c>
      <c r="F118" s="98">
        <v>27450</v>
      </c>
      <c r="G118" s="96">
        <f t="shared" si="7"/>
        <v>577028</v>
      </c>
      <c r="H118" s="131">
        <f t="shared" si="8"/>
        <v>309495</v>
      </c>
    </row>
    <row r="119" spans="1:8">
      <c r="A119" s="39">
        <v>1996</v>
      </c>
      <c r="B119" s="332">
        <v>193042</v>
      </c>
      <c r="C119" s="97">
        <v>93763</v>
      </c>
      <c r="D119" s="130">
        <f t="shared" si="6"/>
        <v>286805</v>
      </c>
      <c r="E119" s="81">
        <v>45230</v>
      </c>
      <c r="F119" s="98">
        <v>26800</v>
      </c>
      <c r="G119" s="96">
        <f t="shared" si="7"/>
        <v>238272</v>
      </c>
      <c r="H119" s="131">
        <f t="shared" si="8"/>
        <v>120563</v>
      </c>
    </row>
    <row r="120" spans="1:8">
      <c r="A120" s="39">
        <v>1997</v>
      </c>
      <c r="B120" s="332">
        <v>18656</v>
      </c>
      <c r="C120" s="97">
        <v>97</v>
      </c>
      <c r="D120" s="130">
        <f t="shared" si="6"/>
        <v>18753</v>
      </c>
      <c r="E120" s="81">
        <v>54740</v>
      </c>
      <c r="F120" s="81">
        <v>43900</v>
      </c>
      <c r="G120" s="96">
        <f t="shared" ref="G120:H123" si="9">E120+B120</f>
        <v>73396</v>
      </c>
      <c r="H120" s="131">
        <f t="shared" si="9"/>
        <v>43997</v>
      </c>
    </row>
    <row r="121" spans="1:8">
      <c r="A121" s="39">
        <v>1998</v>
      </c>
      <c r="B121" s="332">
        <v>108232</v>
      </c>
      <c r="C121" s="97">
        <v>12284</v>
      </c>
      <c r="D121" s="130">
        <f t="shared" si="6"/>
        <v>120516</v>
      </c>
      <c r="E121" s="81">
        <v>30750</v>
      </c>
      <c r="F121" s="98">
        <v>29750</v>
      </c>
      <c r="G121" s="96">
        <f t="shared" si="9"/>
        <v>138982</v>
      </c>
      <c r="H121" s="131">
        <f t="shared" si="9"/>
        <v>42034</v>
      </c>
    </row>
    <row r="122" spans="1:8">
      <c r="A122" s="39">
        <v>1999</v>
      </c>
      <c r="B122" s="332">
        <v>153061</v>
      </c>
      <c r="C122" s="97">
        <v>9852</v>
      </c>
      <c r="D122" s="130">
        <f t="shared" si="6"/>
        <v>162913</v>
      </c>
      <c r="E122" s="98">
        <v>45405</v>
      </c>
      <c r="F122" s="98">
        <v>41080</v>
      </c>
      <c r="G122" s="96">
        <f t="shared" si="9"/>
        <v>198466</v>
      </c>
      <c r="H122" s="131">
        <f t="shared" si="9"/>
        <v>50932</v>
      </c>
    </row>
    <row r="123" spans="1:8">
      <c r="A123" s="39">
        <v>2000</v>
      </c>
      <c r="B123" s="332">
        <v>304944</v>
      </c>
      <c r="C123" s="97">
        <v>56329</v>
      </c>
      <c r="D123" s="130">
        <f t="shared" si="6"/>
        <v>361273</v>
      </c>
      <c r="E123" s="98">
        <v>43185</v>
      </c>
      <c r="F123" s="98">
        <v>26380</v>
      </c>
      <c r="G123" s="96">
        <f t="shared" si="9"/>
        <v>348129</v>
      </c>
      <c r="H123" s="131">
        <f t="shared" si="9"/>
        <v>82709</v>
      </c>
    </row>
    <row r="124" spans="1:8">
      <c r="A124" s="39">
        <v>2001</v>
      </c>
      <c r="B124" s="332">
        <v>251473</v>
      </c>
      <c r="C124" s="97">
        <v>2715</v>
      </c>
      <c r="D124" s="130">
        <f t="shared" ref="D124:D132" si="10">C124+B124</f>
        <v>254188</v>
      </c>
      <c r="E124" s="98">
        <v>41867</v>
      </c>
      <c r="F124" s="98">
        <v>30007</v>
      </c>
      <c r="G124" s="96">
        <f t="shared" ref="G124:H129" si="11">E124+B124</f>
        <v>293340</v>
      </c>
      <c r="H124" s="131">
        <f t="shared" si="11"/>
        <v>32722</v>
      </c>
    </row>
    <row r="125" spans="1:8">
      <c r="A125" s="39">
        <v>2002</v>
      </c>
      <c r="B125" s="332">
        <v>538277</v>
      </c>
      <c r="C125" s="129">
        <v>108522</v>
      </c>
      <c r="D125" s="130">
        <f t="shared" si="10"/>
        <v>646799</v>
      </c>
      <c r="E125" s="98">
        <v>49950</v>
      </c>
      <c r="F125" s="98">
        <v>24650</v>
      </c>
      <c r="G125" s="96">
        <f t="shared" si="11"/>
        <v>588227</v>
      </c>
      <c r="H125" s="131">
        <f t="shared" si="11"/>
        <v>133172</v>
      </c>
    </row>
    <row r="126" spans="1:8">
      <c r="A126" s="39">
        <v>2003</v>
      </c>
      <c r="B126" s="332">
        <v>363489</v>
      </c>
      <c r="C126" s="129">
        <v>59481</v>
      </c>
      <c r="D126" s="130">
        <f t="shared" si="10"/>
        <v>422970</v>
      </c>
      <c r="E126" s="98">
        <v>72280</v>
      </c>
      <c r="F126" s="98">
        <v>32475</v>
      </c>
      <c r="G126" s="96">
        <f t="shared" si="11"/>
        <v>435769</v>
      </c>
      <c r="H126" s="131">
        <f t="shared" si="11"/>
        <v>91956</v>
      </c>
    </row>
    <row r="127" spans="1:8">
      <c r="A127" s="39">
        <v>2004</v>
      </c>
      <c r="B127" s="332">
        <v>467859</v>
      </c>
      <c r="C127" s="129">
        <v>95595</v>
      </c>
      <c r="D127" s="130">
        <f t="shared" si="10"/>
        <v>563454</v>
      </c>
      <c r="E127" s="98">
        <v>99980</v>
      </c>
      <c r="F127" s="98">
        <v>30185</v>
      </c>
      <c r="G127" s="96">
        <f t="shared" si="11"/>
        <v>567839</v>
      </c>
      <c r="H127" s="131">
        <f t="shared" si="11"/>
        <v>125780</v>
      </c>
    </row>
    <row r="128" spans="1:8">
      <c r="A128" s="39">
        <v>2005</v>
      </c>
      <c r="B128" s="332">
        <v>263465</v>
      </c>
      <c r="C128" s="129">
        <v>43030</v>
      </c>
      <c r="D128" s="130">
        <f t="shared" si="10"/>
        <v>306495</v>
      </c>
      <c r="E128" s="98">
        <v>101082</v>
      </c>
      <c r="F128" s="98">
        <v>44542</v>
      </c>
      <c r="G128" s="96">
        <f t="shared" si="11"/>
        <v>364547</v>
      </c>
      <c r="H128" s="131">
        <f t="shared" si="11"/>
        <v>87572</v>
      </c>
    </row>
    <row r="129" spans="1:8">
      <c r="A129" s="39">
        <v>2006</v>
      </c>
      <c r="B129" s="333">
        <v>312150</v>
      </c>
      <c r="C129" s="129">
        <v>29609</v>
      </c>
      <c r="D129" s="130">
        <f t="shared" si="10"/>
        <v>341759</v>
      </c>
      <c r="E129" s="98">
        <v>89270</v>
      </c>
      <c r="F129" s="98">
        <v>33192</v>
      </c>
      <c r="G129" s="96">
        <f t="shared" si="11"/>
        <v>401420</v>
      </c>
      <c r="H129" s="131">
        <f t="shared" si="11"/>
        <v>62801</v>
      </c>
    </row>
    <row r="130" spans="1:8">
      <c r="A130" s="39">
        <v>2007</v>
      </c>
      <c r="B130" s="333">
        <v>117182</v>
      </c>
      <c r="C130" s="129">
        <v>9305</v>
      </c>
      <c r="D130" s="130">
        <f t="shared" si="10"/>
        <v>126487</v>
      </c>
      <c r="E130" s="98">
        <v>53820</v>
      </c>
      <c r="F130" s="98">
        <v>33062</v>
      </c>
      <c r="G130" s="96">
        <f t="shared" ref="G130:H136" si="12">E130+B130</f>
        <v>171002</v>
      </c>
      <c r="H130" s="131">
        <f t="shared" si="12"/>
        <v>42367</v>
      </c>
    </row>
    <row r="131" spans="1:8">
      <c r="A131" s="39">
        <v>2008</v>
      </c>
      <c r="B131" s="333">
        <v>202412</v>
      </c>
      <c r="C131" s="129">
        <v>40380</v>
      </c>
      <c r="D131" s="130">
        <f t="shared" si="10"/>
        <v>242792</v>
      </c>
      <c r="E131" s="98">
        <v>76892</v>
      </c>
      <c r="F131" s="98">
        <v>28932</v>
      </c>
      <c r="G131" s="96">
        <f t="shared" si="12"/>
        <v>279304</v>
      </c>
      <c r="H131" s="131">
        <f t="shared" si="12"/>
        <v>69312</v>
      </c>
    </row>
    <row r="132" spans="1:8">
      <c r="A132" s="39">
        <v>2009</v>
      </c>
      <c r="B132" s="333">
        <v>207776</v>
      </c>
      <c r="C132" s="129">
        <v>45522</v>
      </c>
      <c r="D132" s="130">
        <f t="shared" si="10"/>
        <v>253298</v>
      </c>
      <c r="E132" s="98">
        <v>41294</v>
      </c>
      <c r="F132" s="98">
        <v>22141</v>
      </c>
      <c r="G132" s="96">
        <f t="shared" si="12"/>
        <v>249070</v>
      </c>
      <c r="H132" s="131">
        <f t="shared" si="12"/>
        <v>67663</v>
      </c>
    </row>
    <row r="133" spans="1:8">
      <c r="A133" s="39">
        <v>2010</v>
      </c>
      <c r="B133" s="333">
        <v>210621</v>
      </c>
      <c r="C133" s="129">
        <v>80560</v>
      </c>
      <c r="D133" s="130">
        <f>C133+B133</f>
        <v>291181</v>
      </c>
      <c r="E133" s="98">
        <v>41077</v>
      </c>
      <c r="F133" s="98">
        <v>21311</v>
      </c>
      <c r="G133" s="96">
        <f>E133+B133</f>
        <v>251698</v>
      </c>
      <c r="H133" s="131">
        <f>F133+C133</f>
        <v>101871</v>
      </c>
    </row>
    <row r="134" spans="1:8">
      <c r="A134" s="39">
        <v>2011</v>
      </c>
      <c r="B134" s="333">
        <v>127502</v>
      </c>
      <c r="C134" s="62">
        <v>19956</v>
      </c>
      <c r="D134" s="130">
        <f>C134+B134</f>
        <v>147458</v>
      </c>
      <c r="E134" s="98">
        <v>38525</v>
      </c>
      <c r="F134" s="98">
        <v>18890</v>
      </c>
      <c r="G134" s="96">
        <f>E134+B134</f>
        <v>166027</v>
      </c>
      <c r="H134" s="131">
        <f t="shared" si="12"/>
        <v>38846</v>
      </c>
    </row>
    <row r="135" spans="1:8">
      <c r="A135" s="39">
        <v>2012</v>
      </c>
      <c r="B135" s="333">
        <v>131250</v>
      </c>
      <c r="C135" s="62">
        <v>46324</v>
      </c>
      <c r="D135" s="130">
        <f>C135+B135</f>
        <v>177574</v>
      </c>
      <c r="E135" s="98">
        <v>37010</v>
      </c>
      <c r="F135" s="98">
        <v>15605</v>
      </c>
      <c r="G135" s="96">
        <f>E135+B135</f>
        <v>168260</v>
      </c>
      <c r="H135" s="131">
        <f t="shared" si="12"/>
        <v>61929</v>
      </c>
    </row>
    <row r="136" spans="1:8">
      <c r="A136" s="39">
        <v>2013</v>
      </c>
      <c r="B136" s="334">
        <v>244985</v>
      </c>
      <c r="C136" s="317">
        <v>46959</v>
      </c>
      <c r="D136" s="130">
        <f>C136+B136</f>
        <v>291944</v>
      </c>
      <c r="E136" s="98">
        <v>34680</v>
      </c>
      <c r="F136" s="98">
        <v>18820</v>
      </c>
      <c r="G136" s="96">
        <f>E136+B136</f>
        <v>279665</v>
      </c>
      <c r="H136" s="131">
        <f t="shared" si="12"/>
        <v>65779</v>
      </c>
    </row>
    <row r="137" spans="1:8">
      <c r="A137" s="39"/>
      <c r="B137" s="129"/>
      <c r="C137" s="129"/>
      <c r="D137" s="130"/>
      <c r="E137" s="98"/>
      <c r="F137" s="98"/>
      <c r="G137" s="96"/>
      <c r="H137" s="131"/>
    </row>
    <row r="138" spans="1:8" ht="15.75" thickBot="1">
      <c r="A138" s="39"/>
      <c r="B138" s="74"/>
      <c r="C138" s="74"/>
      <c r="E138" s="23"/>
      <c r="F138" s="23"/>
      <c r="G138" s="23"/>
      <c r="H138" s="41"/>
    </row>
    <row r="139" spans="1:8">
      <c r="A139" s="40" t="s">
        <v>196</v>
      </c>
      <c r="B139" s="238">
        <f>AVERAGEA(B127:B136)</f>
        <v>228520.2</v>
      </c>
      <c r="C139" s="238">
        <f t="shared" ref="C139:H139" si="13">AVERAGEA(C127:C136)</f>
        <v>45724</v>
      </c>
      <c r="D139" s="238">
        <f t="shared" si="13"/>
        <v>274244.2</v>
      </c>
      <c r="E139" s="238">
        <f t="shared" si="13"/>
        <v>61363</v>
      </c>
      <c r="F139" s="238">
        <f t="shared" si="13"/>
        <v>26668</v>
      </c>
      <c r="G139" s="238">
        <f t="shared" si="13"/>
        <v>289883.2</v>
      </c>
      <c r="H139" s="238">
        <f t="shared" si="13"/>
        <v>72392</v>
      </c>
    </row>
    <row r="140" spans="1:8">
      <c r="A140" s="39" t="s">
        <v>197</v>
      </c>
      <c r="B140" s="239">
        <f>MINA(B127:B136)</f>
        <v>117182</v>
      </c>
      <c r="C140" s="239">
        <f t="shared" ref="C140:H140" si="14">MINA(C127:C136)</f>
        <v>9305</v>
      </c>
      <c r="D140" s="239">
        <f t="shared" si="14"/>
        <v>126487</v>
      </c>
      <c r="E140" s="239">
        <f t="shared" si="14"/>
        <v>34680</v>
      </c>
      <c r="F140" s="239">
        <f t="shared" si="14"/>
        <v>15605</v>
      </c>
      <c r="G140" s="239">
        <f t="shared" si="14"/>
        <v>166027</v>
      </c>
      <c r="H140" s="239">
        <f t="shared" si="14"/>
        <v>38846</v>
      </c>
    </row>
    <row r="141" spans="1:8">
      <c r="A141" s="39" t="s">
        <v>198</v>
      </c>
      <c r="B141" s="239">
        <f>MAXA(B127:B136)</f>
        <v>467859</v>
      </c>
      <c r="C141" s="239">
        <f t="shared" ref="C141:H141" si="15">MAXA(C127:C136)</f>
        <v>95595</v>
      </c>
      <c r="D141" s="239">
        <f t="shared" si="15"/>
        <v>563454</v>
      </c>
      <c r="E141" s="239">
        <f t="shared" si="15"/>
        <v>101082</v>
      </c>
      <c r="F141" s="239">
        <f t="shared" si="15"/>
        <v>44542</v>
      </c>
      <c r="G141" s="239">
        <f t="shared" si="15"/>
        <v>567839</v>
      </c>
      <c r="H141" s="239">
        <f t="shared" si="15"/>
        <v>125780</v>
      </c>
    </row>
    <row r="142" spans="1:8">
      <c r="A142" s="39" t="s">
        <v>45</v>
      </c>
      <c r="B142" s="239">
        <f>COUNTA(B127:B136)</f>
        <v>10</v>
      </c>
      <c r="C142" s="239">
        <f t="shared" ref="C142:H142" si="16">COUNTA(C127:C136)</f>
        <v>10</v>
      </c>
      <c r="D142" s="239">
        <f t="shared" si="16"/>
        <v>10</v>
      </c>
      <c r="E142" s="239">
        <f t="shared" si="16"/>
        <v>10</v>
      </c>
      <c r="F142" s="239">
        <f t="shared" si="16"/>
        <v>10</v>
      </c>
      <c r="G142" s="239">
        <f t="shared" si="16"/>
        <v>10</v>
      </c>
      <c r="H142" s="239">
        <f t="shared" si="16"/>
        <v>10</v>
      </c>
    </row>
    <row r="143" spans="1:8" ht="15.75" thickBot="1">
      <c r="A143" s="39" t="s">
        <v>181</v>
      </c>
      <c r="B143" s="240">
        <f>(STDEVA(B127:B136))</f>
        <v>105020.60006367003</v>
      </c>
      <c r="C143" s="240">
        <f t="shared" ref="C143:H143" si="17">(STDEVA(C127:C136))</f>
        <v>25794.98691175822</v>
      </c>
      <c r="D143" s="240">
        <f t="shared" si="17"/>
        <v>124061.29813729625</v>
      </c>
      <c r="E143" s="240">
        <f t="shared" si="17"/>
        <v>27460.336827261726</v>
      </c>
      <c r="F143" s="240">
        <f t="shared" si="17"/>
        <v>8907.488784413059</v>
      </c>
      <c r="G143" s="240">
        <f t="shared" si="17"/>
        <v>125998.24786506622</v>
      </c>
      <c r="H143" s="240">
        <f t="shared" si="17"/>
        <v>26359.903022077553</v>
      </c>
    </row>
    <row r="144" spans="1:8" ht="15.75">
      <c r="A144" s="252" t="s">
        <v>185</v>
      </c>
      <c r="B144" s="237">
        <v>1.96</v>
      </c>
      <c r="C144" s="237">
        <v>1.96</v>
      </c>
      <c r="D144" s="237">
        <v>1.96</v>
      </c>
      <c r="E144" s="237">
        <v>1.96</v>
      </c>
      <c r="F144" s="237">
        <v>1.96</v>
      </c>
      <c r="G144" s="237">
        <v>1.96</v>
      </c>
      <c r="H144" s="237">
        <v>1.96</v>
      </c>
    </row>
    <row r="145" spans="1:8">
      <c r="A145" s="85" t="s">
        <v>182</v>
      </c>
      <c r="B145" s="132">
        <f>B143*B144</f>
        <v>205840.37612479326</v>
      </c>
      <c r="C145" s="132">
        <f t="shared" ref="C145:H145" si="18">C143*C144</f>
        <v>50558.174347046108</v>
      </c>
      <c r="D145" s="132">
        <f t="shared" si="18"/>
        <v>243160.14434910065</v>
      </c>
      <c r="E145" s="134">
        <f t="shared" si="18"/>
        <v>53822.260181432983</v>
      </c>
      <c r="F145" s="134">
        <f t="shared" si="18"/>
        <v>17458.678017449594</v>
      </c>
      <c r="G145" s="134">
        <f t="shared" si="18"/>
        <v>246956.56581552979</v>
      </c>
      <c r="H145" s="135">
        <f t="shared" si="18"/>
        <v>51665.409923272004</v>
      </c>
    </row>
    <row r="146" spans="1:8" ht="18">
      <c r="A146" s="39" t="s">
        <v>59</v>
      </c>
      <c r="B146" s="136">
        <f>IF(+B139-B145&lt;0,0,+B139-B145)</f>
        <v>22679.823875206755</v>
      </c>
      <c r="C146" s="136">
        <f t="shared" ref="C146:H146" si="19">IF(+C139-C145&lt;0,0,+C139-C145)</f>
        <v>0</v>
      </c>
      <c r="D146" s="133">
        <f t="shared" si="19"/>
        <v>31084.055650899361</v>
      </c>
      <c r="E146" s="96">
        <f t="shared" si="19"/>
        <v>7540.7398185670172</v>
      </c>
      <c r="F146" s="96">
        <f t="shared" si="19"/>
        <v>9209.3219825504057</v>
      </c>
      <c r="G146" s="137">
        <f t="shared" si="19"/>
        <v>42926.634184470226</v>
      </c>
      <c r="H146" s="138">
        <f t="shared" si="19"/>
        <v>20726.590076727996</v>
      </c>
    </row>
    <row r="147" spans="1:8" ht="18">
      <c r="A147" s="39" t="s">
        <v>78</v>
      </c>
      <c r="B147" s="139">
        <f>B139</f>
        <v>228520.2</v>
      </c>
      <c r="C147" s="140">
        <f t="shared" ref="C147:H147" si="20">C139</f>
        <v>45724</v>
      </c>
      <c r="D147" s="133">
        <f t="shared" si="20"/>
        <v>274244.2</v>
      </c>
      <c r="E147" s="96">
        <f t="shared" si="20"/>
        <v>61363</v>
      </c>
      <c r="F147" s="96">
        <f t="shared" si="20"/>
        <v>26668</v>
      </c>
      <c r="G147" s="141">
        <f t="shared" si="20"/>
        <v>289883.2</v>
      </c>
      <c r="H147" s="142">
        <f t="shared" si="20"/>
        <v>72392</v>
      </c>
    </row>
    <row r="148" spans="1:8" ht="18">
      <c r="A148" s="43" t="s">
        <v>60</v>
      </c>
      <c r="B148" s="143">
        <f>B139+B145</f>
        <v>434360.57612479327</v>
      </c>
      <c r="C148" s="144">
        <f t="shared" ref="C148:H148" si="21">C139+C145</f>
        <v>96282.174347046108</v>
      </c>
      <c r="D148" s="145">
        <f t="shared" si="21"/>
        <v>517404.34434910066</v>
      </c>
      <c r="E148" s="146">
        <f t="shared" si="21"/>
        <v>115185.26018143298</v>
      </c>
      <c r="F148" s="146">
        <f t="shared" si="21"/>
        <v>44126.678017449594</v>
      </c>
      <c r="G148" s="147">
        <f t="shared" si="21"/>
        <v>536839.76581552974</v>
      </c>
      <c r="H148" s="148">
        <f t="shared" si="21"/>
        <v>124057.409923272</v>
      </c>
    </row>
    <row r="149" spans="1:8">
      <c r="A149" s="38"/>
    </row>
    <row r="150" spans="1:8">
      <c r="A150" s="38"/>
    </row>
    <row r="151" spans="1:8" ht="23.25">
      <c r="A151" s="82"/>
    </row>
    <row r="152" spans="1:8">
      <c r="A152" s="38"/>
    </row>
    <row r="153" spans="1:8">
      <c r="A153" s="38"/>
    </row>
  </sheetData>
  <phoneticPr fontId="17" type="noConversion"/>
  <pageMargins left="1" right="1" top="0.5" bottom="0.55000000000000004" header="0.5" footer="0.5"/>
  <pageSetup scale="75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Normal="100" workbookViewId="0">
      <selection activeCell="D11" sqref="D11"/>
    </sheetView>
  </sheetViews>
  <sheetFormatPr defaultRowHeight="15"/>
  <cols>
    <col min="1" max="1" width="13.44140625" customWidth="1"/>
    <col min="2" max="2" width="50.88671875" customWidth="1"/>
    <col min="3" max="5" width="8.77734375" customWidth="1"/>
    <col min="6" max="6" width="2.77734375" customWidth="1"/>
    <col min="7" max="7" width="6.109375" customWidth="1"/>
    <col min="8" max="8" width="7.77734375" customWidth="1"/>
    <col min="9" max="9" width="1.77734375" customWidth="1"/>
    <col min="10" max="10" width="22.33203125" customWidth="1"/>
  </cols>
  <sheetData>
    <row r="1" spans="1:10">
      <c r="A1" s="208" t="str">
        <f ca="1">CELL("filename",A1)</f>
        <v>O:\DCF\SALMON\FORECAST\2014\[2014_Copper_&amp;_ Bering_Wild_Coho_FINAL.xlsx]Forecasts summary</v>
      </c>
      <c r="B1" s="208"/>
      <c r="C1" s="208"/>
      <c r="D1" s="209"/>
      <c r="E1" s="209"/>
      <c r="F1" s="209"/>
      <c r="G1" s="209"/>
      <c r="H1" s="209"/>
      <c r="I1" s="209"/>
      <c r="J1" s="209"/>
    </row>
    <row r="2" spans="1:10">
      <c r="A2" s="209"/>
      <c r="B2" s="209"/>
      <c r="C2" s="209"/>
      <c r="D2" s="209"/>
      <c r="E2" s="209"/>
      <c r="F2" s="209"/>
      <c r="G2" s="209"/>
      <c r="H2" s="209"/>
      <c r="I2" s="209"/>
      <c r="J2" s="209"/>
    </row>
    <row r="3" spans="1:10" ht="23.25" customHeight="1">
      <c r="A3" s="214" t="str">
        <f>"Copper River coho salmon preseason forecast summaries, " &amp; Forecast_Yr</f>
        <v>Copper River coho salmon preseason forecast summaries, 2014</v>
      </c>
      <c r="B3" s="209"/>
      <c r="C3" s="257"/>
      <c r="D3" s="257"/>
      <c r="E3" s="258"/>
      <c r="F3" s="258"/>
      <c r="G3" s="258"/>
      <c r="H3" s="209"/>
      <c r="I3" s="209"/>
      <c r="J3" s="209"/>
    </row>
    <row r="4" spans="1:10">
      <c r="A4" s="209" t="s">
        <v>247</v>
      </c>
      <c r="B4" s="209"/>
      <c r="C4" s="209"/>
      <c r="D4" s="209"/>
      <c r="E4" s="209"/>
      <c r="F4" s="209"/>
      <c r="G4" s="209"/>
      <c r="H4" s="209"/>
      <c r="I4" s="209"/>
      <c r="J4" s="209"/>
    </row>
    <row r="5" spans="1:10">
      <c r="A5" s="210"/>
      <c r="B5" s="210"/>
      <c r="C5" s="218" t="str">
        <f>Forecast_Yr &amp; "  Forecast"</f>
        <v>2014  Forecast</v>
      </c>
      <c r="D5" s="218"/>
      <c r="E5" s="218"/>
      <c r="F5" s="210"/>
      <c r="G5" s="210"/>
      <c r="H5" s="210"/>
      <c r="I5" s="210"/>
      <c r="J5" s="210"/>
    </row>
    <row r="6" spans="1:10">
      <c r="A6" s="211" t="s">
        <v>143</v>
      </c>
      <c r="B6" s="211" t="s">
        <v>160</v>
      </c>
      <c r="C6" s="212" t="s">
        <v>166</v>
      </c>
      <c r="D6" s="259" t="s">
        <v>78</v>
      </c>
      <c r="E6" s="212" t="s">
        <v>165</v>
      </c>
      <c r="F6" s="212"/>
      <c r="G6" s="212" t="s">
        <v>154</v>
      </c>
      <c r="H6" s="212" t="s">
        <v>142</v>
      </c>
      <c r="I6" s="212"/>
      <c r="J6" s="211" t="s">
        <v>167</v>
      </c>
    </row>
    <row r="7" spans="1:10">
      <c r="A7" s="209" t="s">
        <v>145</v>
      </c>
      <c r="B7" s="209" t="s">
        <v>146</v>
      </c>
      <c r="C7" s="319"/>
      <c r="D7" s="320">
        <f>Harvest_based!D70</f>
        <v>131250</v>
      </c>
      <c r="E7" s="319"/>
      <c r="F7" s="319"/>
      <c r="G7" s="321">
        <f>Harvest_based!J55</f>
        <v>118591.13953488372</v>
      </c>
      <c r="H7" s="322">
        <f>Harvest_based!V55</f>
        <v>0.72424161363145934</v>
      </c>
      <c r="I7" s="213"/>
      <c r="J7" s="209"/>
    </row>
    <row r="8" spans="1:10">
      <c r="A8" s="209" t="s">
        <v>145</v>
      </c>
      <c r="B8" s="209" t="s">
        <v>147</v>
      </c>
      <c r="C8" s="323">
        <f>Harvest_based!E78</f>
        <v>64446.951775112073</v>
      </c>
      <c r="D8" s="324">
        <f>Harvest_based!E70</f>
        <v>156457.66666666666</v>
      </c>
      <c r="E8" s="323">
        <f>Harvest_based!E80</f>
        <v>248468.38155822124</v>
      </c>
      <c r="F8" s="319"/>
      <c r="G8" s="321">
        <f>Harvest_based!K55</f>
        <v>114660.569105691</v>
      </c>
      <c r="H8" s="322">
        <f>Harvest_based!W55</f>
        <v>1.1001977927492013</v>
      </c>
      <c r="I8" s="213"/>
      <c r="J8" s="209"/>
    </row>
    <row r="9" spans="1:10">
      <c r="A9" s="209" t="s">
        <v>145</v>
      </c>
      <c r="B9" s="209" t="s">
        <v>148</v>
      </c>
      <c r="C9" s="323">
        <f>Harvest_based!F78</f>
        <v>92407.794963042179</v>
      </c>
      <c r="D9" s="324">
        <f>Harvest_based!F70</f>
        <v>175912.2</v>
      </c>
      <c r="E9" s="323">
        <f>Harvest_based!F80</f>
        <v>259416.60503695783</v>
      </c>
      <c r="F9" s="319"/>
      <c r="G9" s="321">
        <f>Harvest_based!L55</f>
        <v>134475.93157894735</v>
      </c>
      <c r="H9" s="322">
        <f>Harvest_based!X55</f>
        <v>1.0693867031238486</v>
      </c>
      <c r="I9" s="213"/>
      <c r="J9" s="209"/>
    </row>
    <row r="10" spans="1:10">
      <c r="A10" s="209" t="s">
        <v>145</v>
      </c>
      <c r="B10" s="209" t="s">
        <v>149</v>
      </c>
      <c r="C10" s="325">
        <f>Harvest_based!G78</f>
        <v>22679.823875206755</v>
      </c>
      <c r="D10" s="326">
        <f>Harvest_based!G70</f>
        <v>228520.2</v>
      </c>
      <c r="E10" s="325">
        <f>Harvest_based!G80</f>
        <v>434360.57612479327</v>
      </c>
      <c r="F10" s="319"/>
      <c r="G10" s="321">
        <f>Harvest_based!M55</f>
        <v>128889.75294117648</v>
      </c>
      <c r="H10" s="327">
        <f>Harvest_based!Y55</f>
        <v>0.98039182243936096</v>
      </c>
      <c r="I10" s="213"/>
      <c r="J10" s="209"/>
    </row>
    <row r="11" spans="1:10">
      <c r="A11" s="209" t="s">
        <v>145</v>
      </c>
      <c r="B11" s="209" t="s">
        <v>150</v>
      </c>
      <c r="C11" s="323">
        <f>Harvest_based!H78</f>
        <v>0</v>
      </c>
      <c r="D11" s="324">
        <f>Harvest_based!H70</f>
        <v>273657.55</v>
      </c>
      <c r="E11" s="323">
        <f>Harvest_based!H80</f>
        <v>606351.08104340825</v>
      </c>
      <c r="F11" s="319"/>
      <c r="G11" s="321">
        <f>Harvest_based!N55</f>
        <v>128641.70833333333</v>
      </c>
      <c r="H11" s="322">
        <f>Harvest_based!Z55</f>
        <v>1.1676625165341405</v>
      </c>
      <c r="I11" s="213"/>
      <c r="J11" s="209"/>
    </row>
    <row r="12" spans="1:10">
      <c r="A12" s="209" t="s">
        <v>184</v>
      </c>
      <c r="B12" s="209" t="s">
        <v>146</v>
      </c>
      <c r="C12" s="261"/>
      <c r="D12" s="282">
        <f>Total_Return_based!G42</f>
        <v>279665</v>
      </c>
      <c r="E12" s="261"/>
      <c r="F12" s="251"/>
      <c r="G12" s="283">
        <f>Total_Return_based!L45</f>
        <v>144872.30303030304</v>
      </c>
      <c r="H12" s="284">
        <f>Total_Return_based!AB45</f>
        <v>0.50438474126652622</v>
      </c>
      <c r="I12" s="213"/>
      <c r="J12" s="209"/>
    </row>
    <row r="13" spans="1:10">
      <c r="A13" s="209" t="s">
        <v>184</v>
      </c>
      <c r="B13" s="209" t="s">
        <v>147</v>
      </c>
      <c r="C13" s="261"/>
      <c r="D13" s="282">
        <f>Total_Return_based!H42</f>
        <v>204650.66666666666</v>
      </c>
      <c r="E13" s="261"/>
      <c r="F13" s="251"/>
      <c r="G13" s="283">
        <f>Total_Return_based!M45</f>
        <v>136315.22580645161</v>
      </c>
      <c r="H13" s="284">
        <f>Total_Return_based!AC45</f>
        <v>0.62616887228901252</v>
      </c>
      <c r="I13" s="213"/>
      <c r="J13" s="209"/>
    </row>
    <row r="14" spans="1:10">
      <c r="A14" s="209" t="s">
        <v>184</v>
      </c>
      <c r="B14" s="209" t="s">
        <v>148</v>
      </c>
      <c r="C14" s="261"/>
      <c r="D14" s="282">
        <f>Total_Return_based!I42</f>
        <v>222944</v>
      </c>
      <c r="E14" s="261"/>
      <c r="F14" s="251"/>
      <c r="G14" s="283">
        <f>Total_Return_based!N45</f>
        <v>158568.88965517242</v>
      </c>
      <c r="H14" s="284">
        <f>Total_Return_based!AD45</f>
        <v>0.69493839502126931</v>
      </c>
      <c r="I14" s="213"/>
      <c r="J14" s="209"/>
    </row>
    <row r="15" spans="1:10">
      <c r="A15" s="209" t="s">
        <v>184</v>
      </c>
      <c r="B15" s="209" t="s">
        <v>149</v>
      </c>
      <c r="C15" s="261"/>
      <c r="D15" s="282">
        <f>Total_Return_based!J42</f>
        <v>289883.2</v>
      </c>
      <c r="E15" s="261"/>
      <c r="F15" s="251"/>
      <c r="G15" s="283">
        <f>Total_Return_based!O45</f>
        <v>131658.69999999998</v>
      </c>
      <c r="H15" s="284">
        <f>Total_Return_based!AE45</f>
        <v>0.59579359180837732</v>
      </c>
      <c r="I15" s="213"/>
      <c r="J15" s="209"/>
    </row>
    <row r="16" spans="1:10">
      <c r="A16" s="209" t="s">
        <v>145</v>
      </c>
      <c r="B16" s="209" t="s">
        <v>169</v>
      </c>
      <c r="C16" s="251"/>
      <c r="D16" s="324">
        <f>Exp_smoothing_w_damping!F56</f>
        <v>214513.28647019953</v>
      </c>
      <c r="E16" s="319"/>
      <c r="F16" s="319"/>
      <c r="G16" s="321">
        <v>146507</v>
      </c>
      <c r="H16" s="322">
        <v>0.82</v>
      </c>
      <c r="I16" s="213"/>
      <c r="J16" s="209" t="s">
        <v>189</v>
      </c>
    </row>
    <row r="17" spans="1:10">
      <c r="A17" s="209" t="s">
        <v>145</v>
      </c>
      <c r="B17" s="209" t="s">
        <v>170</v>
      </c>
      <c r="C17" s="251"/>
      <c r="D17" s="324">
        <f>Exp_smoothing_w_damping!G56</f>
        <v>238985.17029642302</v>
      </c>
      <c r="E17" s="319"/>
      <c r="F17" s="319"/>
      <c r="G17" s="321">
        <v>144712</v>
      </c>
      <c r="H17" s="322">
        <v>0.71</v>
      </c>
      <c r="I17" s="213"/>
      <c r="J17" s="209" t="s">
        <v>188</v>
      </c>
    </row>
    <row r="18" spans="1:10">
      <c r="A18" s="209" t="s">
        <v>145</v>
      </c>
      <c r="B18" s="209" t="s">
        <v>155</v>
      </c>
      <c r="C18" s="251"/>
      <c r="D18" s="324">
        <f>Lag1_Exp_smoothing!D50</f>
        <v>135773.48353718527</v>
      </c>
      <c r="E18" s="319"/>
      <c r="F18" s="319"/>
      <c r="G18" s="321">
        <f>Lag1_Exp_smoothing!J55</f>
        <v>115688.69769081727</v>
      </c>
      <c r="H18" s="322">
        <f>Lag1_Exp_smoothing!P55</f>
        <v>0.76049846816496736</v>
      </c>
      <c r="I18" s="209"/>
      <c r="J18" s="209"/>
    </row>
    <row r="19" spans="1:10">
      <c r="A19" s="209" t="s">
        <v>145</v>
      </c>
      <c r="B19" s="209" t="s">
        <v>156</v>
      </c>
      <c r="C19" s="251"/>
      <c r="D19" s="324">
        <f>Lag1_Exp_smoothing!E50</f>
        <v>161881.20396942689</v>
      </c>
      <c r="E19" s="319"/>
      <c r="F19" s="319"/>
      <c r="G19" s="321">
        <f>Lag1_Exp_smoothing!K55</f>
        <v>118609.13494711641</v>
      </c>
      <c r="H19" s="322">
        <f>Lag1_Exp_smoothing!Q55</f>
        <v>0.88851635110023164</v>
      </c>
      <c r="I19" s="209"/>
      <c r="J19" s="209"/>
    </row>
    <row r="20" spans="1:10">
      <c r="A20" s="209" t="s">
        <v>145</v>
      </c>
      <c r="B20" s="209" t="s">
        <v>157</v>
      </c>
      <c r="C20" s="251"/>
      <c r="D20" s="324">
        <f>Lag1_Exp_smoothing!F50</f>
        <v>195202.73125949438</v>
      </c>
      <c r="E20" s="319"/>
      <c r="F20" s="319"/>
      <c r="G20" s="321">
        <f>Lag1_Exp_smoothing!L55</f>
        <v>132222.9995244465</v>
      </c>
      <c r="H20" s="322">
        <f>Lag1_Exp_smoothing!R55</f>
        <v>1.094680070903302</v>
      </c>
      <c r="I20" s="209"/>
      <c r="J20" s="209"/>
    </row>
    <row r="21" spans="1:10">
      <c r="A21" s="209" t="s">
        <v>145</v>
      </c>
      <c r="B21" s="209" t="s">
        <v>158</v>
      </c>
      <c r="C21" s="251"/>
      <c r="D21" s="324">
        <f>Lag1_Exp_smoothing!G50</f>
        <v>239771.98066771094</v>
      </c>
      <c r="E21" s="319"/>
      <c r="F21" s="319"/>
      <c r="G21" s="321">
        <f>Lag1_Exp_smoothing!M55</f>
        <v>161073.25699507291</v>
      </c>
      <c r="H21" s="322">
        <f>Lag1_Exp_smoothing!S55</f>
        <v>1.4122644967890858</v>
      </c>
      <c r="I21" s="209"/>
      <c r="J21" s="209"/>
    </row>
    <row r="22" spans="1:10">
      <c r="A22" s="209" t="s">
        <v>145</v>
      </c>
      <c r="B22" s="209" t="s">
        <v>159</v>
      </c>
      <c r="C22" s="251"/>
      <c r="D22" s="324">
        <f>Lag1_Exp_smoothing!H50</f>
        <v>304062.58693679166</v>
      </c>
      <c r="E22" s="319"/>
      <c r="F22" s="319"/>
      <c r="G22" s="321">
        <f>Lag1_Exp_smoothing!N55</f>
        <v>215551.58015572367</v>
      </c>
      <c r="H22" s="322">
        <f>Lag1_Exp_smoothing!T55</f>
        <v>1.8926018921614141</v>
      </c>
      <c r="I22" s="209"/>
      <c r="J22" s="209"/>
    </row>
    <row r="23" spans="1:10">
      <c r="A23" s="211"/>
      <c r="B23" s="211"/>
      <c r="C23" s="262"/>
      <c r="D23" s="262"/>
      <c r="E23" s="262"/>
      <c r="F23" s="262"/>
      <c r="G23" s="262"/>
      <c r="H23" s="262"/>
      <c r="I23" s="211"/>
      <c r="J23" s="211"/>
    </row>
    <row r="24" spans="1:10">
      <c r="A24" s="209"/>
      <c r="B24" s="209"/>
      <c r="C24" s="269" t="s">
        <v>186</v>
      </c>
      <c r="D24" s="285">
        <f>AVERAGE(D12:D15)</f>
        <v>249285.71666666667</v>
      </c>
      <c r="E24" s="263"/>
      <c r="F24" s="251"/>
      <c r="G24" s="251"/>
      <c r="H24" s="251"/>
      <c r="I24" s="209"/>
      <c r="J24" s="209"/>
    </row>
    <row r="25" spans="1:10">
      <c r="A25" s="209"/>
      <c r="B25" s="209"/>
      <c r="C25" s="269" t="s">
        <v>171</v>
      </c>
      <c r="D25" s="285">
        <f>AVERAGE(D7:D12, D16:D22)</f>
        <v>210434.85075414603</v>
      </c>
      <c r="E25" s="264"/>
      <c r="F25" s="251"/>
      <c r="G25" s="251"/>
      <c r="H25" s="251"/>
      <c r="I25" s="209"/>
      <c r="J25" s="209"/>
    </row>
    <row r="26" spans="1:10">
      <c r="A26" s="209"/>
      <c r="B26" s="209"/>
      <c r="C26" s="209"/>
      <c r="D26" s="90"/>
      <c r="E26" s="90"/>
      <c r="F26" s="209"/>
      <c r="G26" s="209"/>
      <c r="H26" s="209"/>
      <c r="I26" s="209"/>
      <c r="J26" s="209"/>
    </row>
    <row r="27" spans="1:10">
      <c r="A27" s="209"/>
      <c r="B27" s="209"/>
      <c r="C27" s="209"/>
      <c r="D27" s="228"/>
      <c r="E27" s="228"/>
      <c r="F27" s="209"/>
      <c r="G27" s="209"/>
      <c r="H27" s="209"/>
      <c r="I27" s="209"/>
      <c r="J27" s="209"/>
    </row>
    <row r="28" spans="1:10">
      <c r="A28" s="209"/>
      <c r="B28" s="209"/>
      <c r="C28" s="209"/>
      <c r="D28" s="228"/>
      <c r="E28" s="228"/>
      <c r="F28" s="209"/>
      <c r="G28" s="209"/>
      <c r="H28" s="209"/>
      <c r="I28" s="209"/>
      <c r="J28" s="209"/>
    </row>
    <row r="29" spans="1:10">
      <c r="A29" s="209"/>
      <c r="B29" s="209"/>
      <c r="C29" s="209"/>
      <c r="D29" s="228"/>
      <c r="E29" s="60"/>
      <c r="F29" s="209"/>
      <c r="G29" s="209"/>
      <c r="H29" s="209"/>
      <c r="I29" s="209"/>
      <c r="J29" s="209"/>
    </row>
    <row r="30" spans="1:10">
      <c r="A30" s="209"/>
      <c r="B30" s="209"/>
      <c r="C30" s="209"/>
      <c r="D30" s="228"/>
      <c r="E30" s="228"/>
      <c r="F30" s="209"/>
      <c r="G30" s="209"/>
      <c r="H30" s="209"/>
      <c r="I30" s="209"/>
      <c r="J30" s="209"/>
    </row>
    <row r="31" spans="1:10">
      <c r="A31" s="209"/>
      <c r="B31" s="209"/>
      <c r="C31" s="209"/>
      <c r="D31" s="227"/>
      <c r="E31" s="227"/>
      <c r="F31" s="209"/>
      <c r="G31" s="209"/>
      <c r="H31" s="209"/>
      <c r="I31" s="209"/>
      <c r="J31" s="209"/>
    </row>
    <row r="32" spans="1:10">
      <c r="A32" s="209"/>
      <c r="B32" s="209"/>
      <c r="C32" s="209"/>
      <c r="D32" s="209"/>
      <c r="E32" s="209"/>
      <c r="F32" s="209"/>
      <c r="G32" s="209"/>
      <c r="H32" s="209"/>
      <c r="I32" s="209"/>
      <c r="J32" s="209"/>
    </row>
    <row r="33" spans="1:10">
      <c r="A33" s="209"/>
      <c r="B33" s="209"/>
      <c r="C33" s="209"/>
      <c r="D33" s="209"/>
      <c r="E33" s="209"/>
      <c r="F33" s="209"/>
      <c r="G33" s="209"/>
      <c r="H33" s="209"/>
      <c r="I33" s="209"/>
      <c r="J33" s="209"/>
    </row>
    <row r="34" spans="1:10">
      <c r="A34" s="209"/>
      <c r="B34" s="209"/>
      <c r="C34" s="209"/>
      <c r="D34" s="209"/>
      <c r="E34" s="209"/>
      <c r="F34" s="209"/>
      <c r="G34" s="209"/>
      <c r="H34" s="209"/>
      <c r="I34" s="209"/>
      <c r="J34" s="209"/>
    </row>
    <row r="35" spans="1:10">
      <c r="A35" s="209"/>
      <c r="B35" s="209"/>
      <c r="C35" s="209"/>
      <c r="D35" s="209"/>
      <c r="E35" s="209"/>
      <c r="F35" s="209"/>
      <c r="G35" s="209"/>
      <c r="H35" s="209"/>
      <c r="I35" s="209"/>
      <c r="J35" s="209"/>
    </row>
  </sheetData>
  <phoneticPr fontId="17" type="noConversion"/>
  <pageMargins left="0.75" right="0.75" top="1" bottom="1" header="0.5" footer="0.5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zoomScale="65" workbookViewId="0">
      <pane ySplit="7" topLeftCell="A47" activePane="bottomLeft" state="frozen"/>
      <selection pane="bottomLeft" activeCell="N78" sqref="N78"/>
    </sheetView>
  </sheetViews>
  <sheetFormatPr defaultRowHeight="15"/>
  <cols>
    <col min="1" max="1" width="13.5546875" customWidth="1"/>
    <col min="2" max="2" width="11.109375" customWidth="1"/>
    <col min="3" max="3" width="1.77734375" customWidth="1"/>
    <col min="4" max="4" width="9.5546875" bestFit="1" customWidth="1"/>
    <col min="5" max="5" width="10.109375" customWidth="1"/>
    <col min="6" max="6" width="9.5546875" customWidth="1"/>
    <col min="7" max="7" width="9.77734375" customWidth="1"/>
    <col min="8" max="8" width="9.44140625" customWidth="1"/>
    <col min="9" max="9" width="1.77734375" customWidth="1"/>
    <col min="12" max="12" width="10.88671875" customWidth="1"/>
    <col min="15" max="15" width="1.77734375" customWidth="1"/>
    <col min="16" max="16" width="9.44140625" customWidth="1"/>
    <col min="17" max="19" width="10.88671875" bestFit="1" customWidth="1"/>
    <col min="20" max="20" width="9.6640625" customWidth="1"/>
    <col min="21" max="21" width="1.77734375" customWidth="1"/>
    <col min="22" max="28" width="9.6640625" customWidth="1"/>
  </cols>
  <sheetData>
    <row r="1" spans="1:30">
      <c r="A1" s="105" t="str">
        <f ca="1">CELL("filename",A1)</f>
        <v>O:\DCF\SALMON\FORECAST\2014\[2014_Copper_&amp;_ Bering_Wild_Coho_FINAL.xlsx]Harvest_based</v>
      </c>
    </row>
    <row r="3" spans="1:30" ht="15.75">
      <c r="A3" s="111" t="s">
        <v>111</v>
      </c>
      <c r="B3" s="111" t="s">
        <v>195</v>
      </c>
    </row>
    <row r="4" spans="1:30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O4" s="87"/>
      <c r="P4" s="87"/>
      <c r="Q4" s="87"/>
      <c r="R4" s="87"/>
      <c r="S4" s="87"/>
      <c r="T4" s="87"/>
      <c r="U4" s="60"/>
      <c r="V4" s="60"/>
      <c r="W4" s="60"/>
      <c r="X4" s="60"/>
      <c r="Y4" s="60"/>
      <c r="Z4" s="60"/>
      <c r="AA4" s="60"/>
      <c r="AB4" s="60"/>
    </row>
    <row r="5" spans="1:30" ht="18">
      <c r="A5" s="60"/>
      <c r="D5" s="108" t="s">
        <v>134</v>
      </c>
      <c r="E5" s="108"/>
      <c r="F5" s="108"/>
      <c r="G5" s="109"/>
      <c r="H5" s="101"/>
      <c r="J5" s="123" t="s">
        <v>137</v>
      </c>
      <c r="K5" s="102"/>
      <c r="L5" s="102"/>
      <c r="M5" s="101"/>
      <c r="N5" s="101"/>
      <c r="P5" s="124" t="s">
        <v>138</v>
      </c>
      <c r="Q5" s="102"/>
      <c r="R5" s="102"/>
      <c r="S5" s="108"/>
      <c r="T5" s="108"/>
      <c r="V5" s="123" t="s">
        <v>144</v>
      </c>
      <c r="W5" s="101"/>
      <c r="X5" s="101"/>
      <c r="Y5" s="101"/>
      <c r="Z5" s="101"/>
    </row>
    <row r="6" spans="1:30">
      <c r="A6" s="90" t="s">
        <v>70</v>
      </c>
      <c r="B6" s="92" t="s">
        <v>117</v>
      </c>
      <c r="C6" s="90"/>
      <c r="D6" s="90" t="s">
        <v>106</v>
      </c>
      <c r="E6" s="95" t="s">
        <v>108</v>
      </c>
      <c r="F6" s="95"/>
      <c r="G6" s="95"/>
      <c r="H6" s="112"/>
      <c r="J6" s="90" t="s">
        <v>106</v>
      </c>
      <c r="K6" s="95" t="s">
        <v>108</v>
      </c>
      <c r="L6" s="95"/>
      <c r="M6" s="100"/>
      <c r="N6" s="100"/>
      <c r="P6" s="90" t="s">
        <v>106</v>
      </c>
      <c r="Q6" s="95" t="s">
        <v>108</v>
      </c>
      <c r="R6" s="95"/>
      <c r="S6" s="100"/>
      <c r="T6" s="100"/>
      <c r="U6" s="187"/>
      <c r="V6" s="90" t="s">
        <v>106</v>
      </c>
      <c r="W6" s="95" t="s">
        <v>108</v>
      </c>
      <c r="X6" s="95"/>
      <c r="Y6" s="100"/>
      <c r="Z6" s="100"/>
      <c r="AA6" s="187"/>
      <c r="AB6" s="187"/>
    </row>
    <row r="7" spans="1:30" ht="18">
      <c r="A7" s="91" t="s">
        <v>19</v>
      </c>
      <c r="B7" s="93" t="s">
        <v>118</v>
      </c>
      <c r="C7" s="91"/>
      <c r="D7" s="120" t="s">
        <v>135</v>
      </c>
      <c r="E7" s="89" t="s">
        <v>107</v>
      </c>
      <c r="F7" s="89" t="s">
        <v>109</v>
      </c>
      <c r="G7" s="89" t="s">
        <v>114</v>
      </c>
      <c r="H7" s="89" t="s">
        <v>116</v>
      </c>
      <c r="I7" s="87"/>
      <c r="J7" s="89" t="s">
        <v>19</v>
      </c>
      <c r="K7" s="89" t="s">
        <v>107</v>
      </c>
      <c r="L7" s="89" t="s">
        <v>109</v>
      </c>
      <c r="M7" s="104" t="s">
        <v>114</v>
      </c>
      <c r="N7" s="89" t="s">
        <v>116</v>
      </c>
      <c r="O7" s="87"/>
      <c r="P7" s="89" t="s">
        <v>19</v>
      </c>
      <c r="Q7" s="89" t="s">
        <v>107</v>
      </c>
      <c r="R7" s="89" t="s">
        <v>109</v>
      </c>
      <c r="S7" s="104" t="s">
        <v>114</v>
      </c>
      <c r="T7" s="89" t="s">
        <v>116</v>
      </c>
      <c r="U7" s="88"/>
      <c r="V7" s="89" t="s">
        <v>19</v>
      </c>
      <c r="W7" s="89" t="s">
        <v>107</v>
      </c>
      <c r="X7" s="89" t="s">
        <v>109</v>
      </c>
      <c r="Y7" s="104" t="s">
        <v>114</v>
      </c>
      <c r="Z7" s="89" t="s">
        <v>116</v>
      </c>
      <c r="AA7" s="88"/>
      <c r="AB7" s="88"/>
      <c r="AD7" s="105" t="str">
        <f ca="1">CELL("filename",AD7)</f>
        <v>O:\DCF\SALMON\FORECAST\2014\[2014_Copper_&amp;_ Bering_Wild_Coho_FINAL.xlsx]Harvest_based</v>
      </c>
    </row>
    <row r="8" spans="1:30">
      <c r="A8" s="110">
        <v>1970</v>
      </c>
      <c r="B8" s="73">
        <f>CBR!B93</f>
        <v>161892</v>
      </c>
      <c r="C8" s="90"/>
      <c r="D8" s="88"/>
      <c r="E8" s="88"/>
      <c r="F8" s="88"/>
      <c r="G8" s="88"/>
      <c r="H8" s="88"/>
      <c r="I8" s="60"/>
      <c r="J8" s="88"/>
      <c r="K8" s="88"/>
      <c r="L8" s="88"/>
      <c r="M8" s="88"/>
    </row>
    <row r="9" spans="1:30">
      <c r="A9" s="90">
        <v>1971</v>
      </c>
      <c r="B9" s="73">
        <f>CBR!B94</f>
        <v>208915</v>
      </c>
      <c r="C9" s="90"/>
      <c r="D9" s="107">
        <f>B8</f>
        <v>161892</v>
      </c>
      <c r="E9" s="88"/>
      <c r="F9" s="88"/>
      <c r="G9" s="88"/>
      <c r="H9" s="88"/>
      <c r="I9" s="60"/>
      <c r="J9" s="99">
        <f>ABS(D9-B9)</f>
        <v>47023</v>
      </c>
      <c r="K9" s="88"/>
      <c r="L9" s="88"/>
      <c r="M9" s="88"/>
      <c r="P9" s="122">
        <f>D9-$B9</f>
        <v>-47023</v>
      </c>
      <c r="Q9" s="122"/>
      <c r="R9" s="122"/>
      <c r="S9" s="122"/>
      <c r="T9" s="122"/>
      <c r="U9" s="122"/>
      <c r="V9" s="188">
        <f>ABS(($B9-D9)/$B9)</f>
        <v>0.22508197113658665</v>
      </c>
      <c r="W9" s="188"/>
      <c r="X9" s="188"/>
      <c r="Y9" s="188"/>
      <c r="Z9" s="188"/>
      <c r="AA9" s="122"/>
      <c r="AB9" s="122"/>
    </row>
    <row r="10" spans="1:30">
      <c r="A10" s="90">
        <v>1972</v>
      </c>
      <c r="B10" s="73">
        <f>CBR!B95</f>
        <v>103211</v>
      </c>
      <c r="C10" s="90"/>
      <c r="D10" s="107">
        <f t="shared" ref="D10:D19" si="0">B9</f>
        <v>208915</v>
      </c>
      <c r="E10" s="88"/>
      <c r="F10" s="88"/>
      <c r="G10" s="88"/>
      <c r="H10" s="88"/>
      <c r="I10" s="60"/>
      <c r="J10" s="99">
        <f t="shared" ref="J10:J39" si="1">ABS(D10-B10)</f>
        <v>105704</v>
      </c>
      <c r="K10" s="88"/>
      <c r="L10" s="88"/>
      <c r="M10" s="88"/>
      <c r="P10" s="122">
        <f t="shared" ref="P10:P39" si="2">D10-$B10</f>
        <v>105704</v>
      </c>
      <c r="Q10" s="122"/>
      <c r="R10" s="122"/>
      <c r="S10" s="122"/>
      <c r="T10" s="122"/>
      <c r="U10" s="122"/>
      <c r="V10" s="188">
        <f t="shared" ref="V10:W42" si="3">ABS(($B10-D10)/$B10)</f>
        <v>1.0241544021470579</v>
      </c>
      <c r="W10" s="188"/>
      <c r="X10" s="188"/>
      <c r="Y10" s="188"/>
      <c r="Z10" s="188"/>
      <c r="AA10" s="122"/>
      <c r="AB10" s="122"/>
    </row>
    <row r="11" spans="1:30">
      <c r="A11" s="90">
        <v>1973</v>
      </c>
      <c r="B11" s="73">
        <f>CBR!B96</f>
        <v>132272</v>
      </c>
      <c r="C11" s="90"/>
      <c r="D11" s="107">
        <f t="shared" si="0"/>
        <v>103211</v>
      </c>
      <c r="E11" s="96">
        <f>AVERAGE(B8:B10)</f>
        <v>158006</v>
      </c>
      <c r="F11" s="88"/>
      <c r="G11" s="88"/>
      <c r="H11" s="88"/>
      <c r="I11" s="60"/>
      <c r="J11" s="99">
        <f t="shared" si="1"/>
        <v>29061</v>
      </c>
      <c r="K11" s="99">
        <f t="shared" ref="K11:K39" si="4">ABS(E11-B11)</f>
        <v>25734</v>
      </c>
      <c r="L11" s="88"/>
      <c r="M11" s="88"/>
      <c r="P11" s="122">
        <f t="shared" si="2"/>
        <v>-29061</v>
      </c>
      <c r="Q11" s="122">
        <f>E11-$B11</f>
        <v>25734</v>
      </c>
      <c r="R11" s="122"/>
      <c r="S11" s="122"/>
      <c r="T11" s="122"/>
      <c r="U11" s="122"/>
      <c r="V11" s="188">
        <f t="shared" si="3"/>
        <v>0.21970636264666749</v>
      </c>
      <c r="W11" s="188">
        <f t="shared" si="3"/>
        <v>0.19455364703036168</v>
      </c>
      <c r="X11" s="188"/>
      <c r="Y11" s="188"/>
      <c r="Z11" s="188"/>
      <c r="AA11" s="122"/>
      <c r="AB11" s="122"/>
    </row>
    <row r="12" spans="1:30">
      <c r="A12" s="90">
        <v>1974</v>
      </c>
      <c r="B12" s="73">
        <f>CBR!B97</f>
        <v>46625</v>
      </c>
      <c r="C12" s="90"/>
      <c r="D12" s="107">
        <f t="shared" si="0"/>
        <v>132272</v>
      </c>
      <c r="E12" s="96">
        <f t="shared" ref="E12:E20" si="5">AVERAGE(B9:B11)</f>
        <v>148132.66666666666</v>
      </c>
      <c r="F12" s="88"/>
      <c r="G12" s="88"/>
      <c r="H12" s="88"/>
      <c r="I12" s="60"/>
      <c r="J12" s="99">
        <f t="shared" si="1"/>
        <v>85647</v>
      </c>
      <c r="K12" s="99">
        <f t="shared" si="4"/>
        <v>101507.66666666666</v>
      </c>
      <c r="L12" s="88"/>
      <c r="M12" s="88"/>
      <c r="P12" s="122">
        <f t="shared" si="2"/>
        <v>85647</v>
      </c>
      <c r="Q12" s="122">
        <f t="shared" ref="Q12:Q39" si="6">E12-$B12</f>
        <v>101507.66666666666</v>
      </c>
      <c r="R12" s="122"/>
      <c r="S12" s="122"/>
      <c r="T12" s="122"/>
      <c r="U12" s="122"/>
      <c r="V12" s="188">
        <f t="shared" si="3"/>
        <v>1.8369329758713138</v>
      </c>
      <c r="W12" s="188">
        <f t="shared" si="3"/>
        <v>2.1771081322609471</v>
      </c>
      <c r="X12" s="188"/>
      <c r="Y12" s="188"/>
      <c r="Z12" s="188"/>
      <c r="AA12" s="122"/>
      <c r="AB12" s="122"/>
    </row>
    <row r="13" spans="1:30">
      <c r="A13" s="90">
        <v>1975</v>
      </c>
      <c r="B13" s="73">
        <f>CBR!B98</f>
        <v>53805</v>
      </c>
      <c r="C13" s="90"/>
      <c r="D13" s="107">
        <f t="shared" si="0"/>
        <v>46625</v>
      </c>
      <c r="E13" s="96">
        <f t="shared" si="5"/>
        <v>94036</v>
      </c>
      <c r="F13" s="96">
        <f>AVERAGE(B8:B12)</f>
        <v>130583</v>
      </c>
      <c r="G13" s="88"/>
      <c r="H13" s="88"/>
      <c r="I13" s="60"/>
      <c r="J13" s="99">
        <f t="shared" si="1"/>
        <v>7180</v>
      </c>
      <c r="K13" s="99">
        <f t="shared" si="4"/>
        <v>40231</v>
      </c>
      <c r="L13" s="88"/>
      <c r="M13" s="88"/>
      <c r="P13" s="122">
        <f t="shared" si="2"/>
        <v>-7180</v>
      </c>
      <c r="Q13" s="122">
        <f t="shared" si="6"/>
        <v>40231</v>
      </c>
      <c r="R13" s="122"/>
      <c r="S13" s="122"/>
      <c r="T13" s="122"/>
      <c r="U13" s="122"/>
      <c r="V13" s="188">
        <f t="shared" si="3"/>
        <v>0.13344484713316607</v>
      </c>
      <c r="W13" s="188">
        <f t="shared" si="3"/>
        <v>0.74771861351175539</v>
      </c>
      <c r="X13" s="188"/>
      <c r="Y13" s="188"/>
      <c r="Z13" s="188"/>
      <c r="AA13" s="122"/>
      <c r="AB13" s="122"/>
    </row>
    <row r="14" spans="1:30">
      <c r="A14" s="90">
        <v>1976</v>
      </c>
      <c r="B14" s="73">
        <f>CBR!B99</f>
        <v>111900</v>
      </c>
      <c r="C14" s="90"/>
      <c r="D14" s="107">
        <f t="shared" si="0"/>
        <v>53805</v>
      </c>
      <c r="E14" s="96">
        <f t="shared" si="5"/>
        <v>77567.333333333328</v>
      </c>
      <c r="F14" s="96">
        <f t="shared" ref="F14:F22" si="7">AVERAGE(B9:B13)</f>
        <v>108965.6</v>
      </c>
      <c r="G14" s="88"/>
      <c r="H14" s="88"/>
      <c r="I14" s="60"/>
      <c r="J14" s="99">
        <f t="shared" si="1"/>
        <v>58095</v>
      </c>
      <c r="K14" s="99">
        <f t="shared" si="4"/>
        <v>34332.666666666672</v>
      </c>
      <c r="L14" s="99">
        <f t="shared" ref="L14:L39" si="8">ABS(F14-B14)</f>
        <v>2934.3999999999942</v>
      </c>
      <c r="M14" s="88"/>
      <c r="P14" s="122">
        <f t="shared" si="2"/>
        <v>-58095</v>
      </c>
      <c r="Q14" s="122">
        <f t="shared" si="6"/>
        <v>-34332.666666666672</v>
      </c>
      <c r="R14" s="122">
        <f>F14-$B14</f>
        <v>-2934.3999999999942</v>
      </c>
      <c r="S14" s="122"/>
      <c r="T14" s="122"/>
      <c r="U14" s="122"/>
      <c r="V14" s="188">
        <f t="shared" si="3"/>
        <v>0.51916890080428957</v>
      </c>
      <c r="W14" s="188">
        <f t="shared" si="3"/>
        <v>0.30681560917485856</v>
      </c>
      <c r="X14" s="188">
        <f t="shared" ref="X14:Z42" si="9">ABS(($B14-F14)/$B14)</f>
        <v>2.6223413762287706E-2</v>
      </c>
      <c r="Y14" s="188"/>
      <c r="Z14" s="188"/>
      <c r="AA14" s="122"/>
      <c r="AB14" s="122"/>
    </row>
    <row r="15" spans="1:30">
      <c r="A15" s="90">
        <v>1977</v>
      </c>
      <c r="B15" s="73">
        <f>CBR!B100</f>
        <v>131356</v>
      </c>
      <c r="C15" s="90"/>
      <c r="D15" s="107">
        <f t="shared" si="0"/>
        <v>111900</v>
      </c>
      <c r="E15" s="96">
        <f t="shared" si="5"/>
        <v>70776.666666666672</v>
      </c>
      <c r="F15" s="96">
        <f t="shared" si="7"/>
        <v>89562.6</v>
      </c>
      <c r="G15" s="88"/>
      <c r="H15" s="88"/>
      <c r="I15" s="60"/>
      <c r="J15" s="99">
        <f t="shared" si="1"/>
        <v>19456</v>
      </c>
      <c r="K15" s="99">
        <f t="shared" si="4"/>
        <v>60579.333333333328</v>
      </c>
      <c r="L15" s="99">
        <f t="shared" si="8"/>
        <v>41793.399999999994</v>
      </c>
      <c r="M15" s="88"/>
      <c r="P15" s="122">
        <f t="shared" si="2"/>
        <v>-19456</v>
      </c>
      <c r="Q15" s="122">
        <f t="shared" si="6"/>
        <v>-60579.333333333328</v>
      </c>
      <c r="R15" s="122">
        <f t="shared" ref="R15:R39" si="10">F15-$B15</f>
        <v>-41793.399999999994</v>
      </c>
      <c r="S15" s="122"/>
      <c r="T15" s="122"/>
      <c r="U15" s="122"/>
      <c r="V15" s="188">
        <f t="shared" si="3"/>
        <v>0.14811656871402906</v>
      </c>
      <c r="W15" s="188">
        <f t="shared" si="3"/>
        <v>0.46118436411989805</v>
      </c>
      <c r="X15" s="188">
        <f t="shared" si="9"/>
        <v>0.3181689454611894</v>
      </c>
      <c r="Y15" s="188"/>
      <c r="Z15" s="188"/>
      <c r="AA15" s="122"/>
      <c r="AB15" s="122"/>
    </row>
    <row r="16" spans="1:30">
      <c r="A16" s="90">
        <v>1978</v>
      </c>
      <c r="B16" s="73">
        <f>CBR!B101</f>
        <v>220338</v>
      </c>
      <c r="C16" s="90"/>
      <c r="D16" s="107">
        <f t="shared" si="0"/>
        <v>131356</v>
      </c>
      <c r="E16" s="96">
        <f t="shared" si="5"/>
        <v>99020.333333333328</v>
      </c>
      <c r="F16" s="96">
        <f t="shared" si="7"/>
        <v>95191.6</v>
      </c>
      <c r="G16" s="88"/>
      <c r="H16" s="88"/>
      <c r="I16" s="60"/>
      <c r="J16" s="99">
        <f t="shared" si="1"/>
        <v>88982</v>
      </c>
      <c r="K16" s="99">
        <f t="shared" si="4"/>
        <v>121317.66666666667</v>
      </c>
      <c r="L16" s="99">
        <f t="shared" si="8"/>
        <v>125146.4</v>
      </c>
      <c r="M16" s="88"/>
      <c r="P16" s="122">
        <f t="shared" si="2"/>
        <v>-88982</v>
      </c>
      <c r="Q16" s="122">
        <f t="shared" si="6"/>
        <v>-121317.66666666667</v>
      </c>
      <c r="R16" s="122">
        <f t="shared" si="10"/>
        <v>-125146.4</v>
      </c>
      <c r="S16" s="122"/>
      <c r="T16" s="122"/>
      <c r="U16" s="122"/>
      <c r="V16" s="188">
        <f t="shared" si="3"/>
        <v>0.40384318637729305</v>
      </c>
      <c r="W16" s="188">
        <f t="shared" si="3"/>
        <v>0.55059802061680996</v>
      </c>
      <c r="X16" s="188">
        <f t="shared" si="9"/>
        <v>0.56797465711770101</v>
      </c>
      <c r="Y16" s="188"/>
      <c r="Z16" s="188"/>
      <c r="AA16" s="122"/>
      <c r="AB16" s="122"/>
    </row>
    <row r="17" spans="1:28">
      <c r="A17" s="90">
        <v>1979</v>
      </c>
      <c r="B17" s="73">
        <f>CBR!B102</f>
        <v>194885</v>
      </c>
      <c r="C17" s="90"/>
      <c r="D17" s="107">
        <f t="shared" si="0"/>
        <v>220338</v>
      </c>
      <c r="E17" s="96">
        <f t="shared" si="5"/>
        <v>154531.33333333334</v>
      </c>
      <c r="F17" s="96">
        <f t="shared" si="7"/>
        <v>112804.8</v>
      </c>
      <c r="G17" s="96"/>
      <c r="H17" s="96"/>
      <c r="I17" s="60"/>
      <c r="J17" s="99">
        <f t="shared" si="1"/>
        <v>25453</v>
      </c>
      <c r="K17" s="99">
        <f t="shared" si="4"/>
        <v>40353.666666666657</v>
      </c>
      <c r="L17" s="99">
        <f t="shared" si="8"/>
        <v>82080.2</v>
      </c>
      <c r="M17" s="88"/>
      <c r="P17" s="122">
        <f t="shared" si="2"/>
        <v>25453</v>
      </c>
      <c r="Q17" s="122">
        <f t="shared" si="6"/>
        <v>-40353.666666666657</v>
      </c>
      <c r="R17" s="122">
        <f t="shared" si="10"/>
        <v>-82080.2</v>
      </c>
      <c r="S17" s="122"/>
      <c r="T17" s="122"/>
      <c r="U17" s="122"/>
      <c r="V17" s="188">
        <f t="shared" si="3"/>
        <v>0.13060522872463248</v>
      </c>
      <c r="W17" s="188">
        <f t="shared" si="3"/>
        <v>0.20706399500560155</v>
      </c>
      <c r="X17" s="188">
        <f t="shared" si="9"/>
        <v>0.42117248633809679</v>
      </c>
      <c r="Y17" s="188"/>
      <c r="Z17" s="188"/>
      <c r="AA17" s="122"/>
      <c r="AB17" s="122"/>
    </row>
    <row r="18" spans="1:28">
      <c r="A18" s="90">
        <v>1980</v>
      </c>
      <c r="B18" s="73">
        <f>CBR!B103</f>
        <v>225299</v>
      </c>
      <c r="C18" s="23"/>
      <c r="D18" s="107">
        <f t="shared" si="0"/>
        <v>194885</v>
      </c>
      <c r="E18" s="96">
        <f t="shared" si="5"/>
        <v>182193</v>
      </c>
      <c r="F18" s="96">
        <f t="shared" si="7"/>
        <v>142456.79999999999</v>
      </c>
      <c r="G18" s="96">
        <f t="shared" ref="G18:G27" si="11">AVERAGE(B8:B17)</f>
        <v>136519.9</v>
      </c>
      <c r="H18" s="96"/>
      <c r="J18" s="99">
        <f t="shared" si="1"/>
        <v>30414</v>
      </c>
      <c r="K18" s="99">
        <f t="shared" si="4"/>
        <v>43106</v>
      </c>
      <c r="L18" s="99">
        <f t="shared" si="8"/>
        <v>82842.200000000012</v>
      </c>
      <c r="M18" s="80">
        <f t="shared" ref="M18:M39" si="12">ABS(G18-B18)</f>
        <v>88779.1</v>
      </c>
      <c r="P18" s="122">
        <f t="shared" si="2"/>
        <v>-30414</v>
      </c>
      <c r="Q18" s="122">
        <f t="shared" si="6"/>
        <v>-43106</v>
      </c>
      <c r="R18" s="122">
        <f t="shared" si="10"/>
        <v>-82842.200000000012</v>
      </c>
      <c r="S18" s="122">
        <f>G18-$B18</f>
        <v>-88779.1</v>
      </c>
      <c r="T18" s="122"/>
      <c r="U18" s="122"/>
      <c r="V18" s="188">
        <f t="shared" si="3"/>
        <v>0.13499394138456008</v>
      </c>
      <c r="W18" s="188">
        <f t="shared" si="3"/>
        <v>0.19132796861060192</v>
      </c>
      <c r="X18" s="188">
        <f t="shared" si="9"/>
        <v>0.36769892454027764</v>
      </c>
      <c r="Y18" s="188">
        <f t="shared" si="9"/>
        <v>0.39405012893976454</v>
      </c>
      <c r="Z18" s="188"/>
      <c r="AA18" s="122"/>
      <c r="AB18" s="122"/>
    </row>
    <row r="19" spans="1:28">
      <c r="A19" s="90">
        <v>1981</v>
      </c>
      <c r="B19" s="73">
        <f>CBR!B104</f>
        <v>310154</v>
      </c>
      <c r="C19" s="23"/>
      <c r="D19" s="107">
        <f t="shared" si="0"/>
        <v>225299</v>
      </c>
      <c r="E19" s="96">
        <f t="shared" si="5"/>
        <v>213507.33333333334</v>
      </c>
      <c r="F19" s="96">
        <f t="shared" si="7"/>
        <v>176755.6</v>
      </c>
      <c r="G19" s="96">
        <f t="shared" si="11"/>
        <v>142860.6</v>
      </c>
      <c r="H19" s="96"/>
      <c r="J19" s="99">
        <f t="shared" si="1"/>
        <v>84855</v>
      </c>
      <c r="K19" s="99">
        <f t="shared" si="4"/>
        <v>96646.666666666657</v>
      </c>
      <c r="L19" s="99">
        <f t="shared" si="8"/>
        <v>133398.39999999999</v>
      </c>
      <c r="M19" s="80">
        <f t="shared" si="12"/>
        <v>167293.4</v>
      </c>
      <c r="P19" s="122">
        <f t="shared" si="2"/>
        <v>-84855</v>
      </c>
      <c r="Q19" s="122">
        <f t="shared" si="6"/>
        <v>-96646.666666666657</v>
      </c>
      <c r="R19" s="122">
        <f t="shared" si="10"/>
        <v>-133398.39999999999</v>
      </c>
      <c r="S19" s="122">
        <f t="shared" ref="S19:S39" si="13">G19-$B19</f>
        <v>-167293.4</v>
      </c>
      <c r="T19" s="122"/>
      <c r="U19" s="122"/>
      <c r="V19" s="188">
        <f t="shared" si="3"/>
        <v>0.2735898940526319</v>
      </c>
      <c r="W19" s="188">
        <f t="shared" si="3"/>
        <v>0.31160864172851765</v>
      </c>
      <c r="X19" s="188">
        <f t="shared" si="9"/>
        <v>0.43010375490885172</v>
      </c>
      <c r="Y19" s="188">
        <f t="shared" si="9"/>
        <v>0.53938817490665925</v>
      </c>
      <c r="Z19" s="188"/>
      <c r="AA19" s="122"/>
      <c r="AB19" s="122"/>
    </row>
    <row r="20" spans="1:28">
      <c r="A20" s="90">
        <v>1982</v>
      </c>
      <c r="B20" s="73">
        <f>CBR!B105</f>
        <v>454763</v>
      </c>
      <c r="C20" s="23"/>
      <c r="D20" s="96">
        <f t="shared" ref="D20:D40" si="14">B19</f>
        <v>310154</v>
      </c>
      <c r="E20" s="96">
        <f t="shared" si="5"/>
        <v>243446</v>
      </c>
      <c r="F20" s="96">
        <f t="shared" si="7"/>
        <v>216406.39999999999</v>
      </c>
      <c r="G20" s="96">
        <f t="shared" si="11"/>
        <v>152984.5</v>
      </c>
      <c r="H20" s="96"/>
      <c r="J20" s="99">
        <f t="shared" si="1"/>
        <v>144609</v>
      </c>
      <c r="K20" s="99">
        <f t="shared" si="4"/>
        <v>211317</v>
      </c>
      <c r="L20" s="99">
        <f t="shared" si="8"/>
        <v>238356.6</v>
      </c>
      <c r="M20" s="80">
        <f t="shared" si="12"/>
        <v>301778.5</v>
      </c>
      <c r="P20" s="122">
        <f t="shared" si="2"/>
        <v>-144609</v>
      </c>
      <c r="Q20" s="122">
        <f t="shared" si="6"/>
        <v>-211317</v>
      </c>
      <c r="R20" s="122">
        <f t="shared" si="10"/>
        <v>-238356.6</v>
      </c>
      <c r="S20" s="122">
        <f t="shared" si="13"/>
        <v>-301778.5</v>
      </c>
      <c r="T20" s="122"/>
      <c r="U20" s="122"/>
      <c r="V20" s="188">
        <f t="shared" si="3"/>
        <v>0.31798761112931351</v>
      </c>
      <c r="W20" s="188">
        <f t="shared" si="3"/>
        <v>0.46467500654186905</v>
      </c>
      <c r="X20" s="188">
        <f t="shared" si="9"/>
        <v>0.52413366962571717</v>
      </c>
      <c r="Y20" s="188">
        <f t="shared" si="9"/>
        <v>0.66359510338352068</v>
      </c>
      <c r="Z20" s="188"/>
      <c r="AA20" s="122"/>
      <c r="AB20" s="122"/>
    </row>
    <row r="21" spans="1:28">
      <c r="A21" s="90">
        <v>1983</v>
      </c>
      <c r="B21" s="73">
        <f>CBR!B106</f>
        <v>234243</v>
      </c>
      <c r="C21" s="23"/>
      <c r="D21" s="96">
        <f t="shared" si="14"/>
        <v>454763</v>
      </c>
      <c r="E21" s="96">
        <f>AVERAGE(B18:B20)</f>
        <v>330072</v>
      </c>
      <c r="F21" s="96">
        <f t="shared" si="7"/>
        <v>281087.8</v>
      </c>
      <c r="G21" s="96">
        <f t="shared" si="11"/>
        <v>188139.7</v>
      </c>
      <c r="H21" s="96"/>
      <c r="J21" s="99">
        <f t="shared" si="1"/>
        <v>220520</v>
      </c>
      <c r="K21" s="99">
        <f t="shared" si="4"/>
        <v>95829</v>
      </c>
      <c r="L21" s="99">
        <f t="shared" si="8"/>
        <v>46844.799999999988</v>
      </c>
      <c r="M21" s="80">
        <f t="shared" si="12"/>
        <v>46103.299999999988</v>
      </c>
      <c r="P21" s="122">
        <f t="shared" si="2"/>
        <v>220520</v>
      </c>
      <c r="Q21" s="122">
        <f t="shared" si="6"/>
        <v>95829</v>
      </c>
      <c r="R21" s="122">
        <f t="shared" si="10"/>
        <v>46844.799999999988</v>
      </c>
      <c r="S21" s="122">
        <f t="shared" si="13"/>
        <v>-46103.299999999988</v>
      </c>
      <c r="T21" s="122"/>
      <c r="U21" s="122"/>
      <c r="V21" s="188">
        <f t="shared" si="3"/>
        <v>0.94141553856465299</v>
      </c>
      <c r="W21" s="188">
        <f t="shared" si="3"/>
        <v>0.4091008055736991</v>
      </c>
      <c r="X21" s="188">
        <f t="shared" si="9"/>
        <v>0.1999837775301716</v>
      </c>
      <c r="Y21" s="188">
        <f t="shared" si="9"/>
        <v>0.19681826137814146</v>
      </c>
      <c r="Z21" s="188"/>
      <c r="AA21" s="122"/>
      <c r="AB21" s="122"/>
    </row>
    <row r="22" spans="1:28">
      <c r="A22" s="90">
        <v>1984</v>
      </c>
      <c r="B22" s="73">
        <f>CBR!B107</f>
        <v>382432</v>
      </c>
      <c r="C22" s="23"/>
      <c r="D22" s="96">
        <f t="shared" si="14"/>
        <v>234243</v>
      </c>
      <c r="E22" s="96">
        <f t="shared" ref="E22:E40" si="15">AVERAGE(B19:B21)</f>
        <v>333053.33333333331</v>
      </c>
      <c r="F22" s="96">
        <f t="shared" si="7"/>
        <v>283868.79999999999</v>
      </c>
      <c r="G22" s="96">
        <f t="shared" si="11"/>
        <v>198336.8</v>
      </c>
      <c r="H22" s="96"/>
      <c r="J22" s="99">
        <f t="shared" si="1"/>
        <v>148189</v>
      </c>
      <c r="K22" s="99">
        <f t="shared" si="4"/>
        <v>49378.666666666686</v>
      </c>
      <c r="L22" s="99">
        <f t="shared" si="8"/>
        <v>98563.200000000012</v>
      </c>
      <c r="M22" s="80">
        <f t="shared" si="12"/>
        <v>184095.2</v>
      </c>
      <c r="P22" s="122">
        <f t="shared" si="2"/>
        <v>-148189</v>
      </c>
      <c r="Q22" s="122">
        <f t="shared" si="6"/>
        <v>-49378.666666666686</v>
      </c>
      <c r="R22" s="122">
        <f t="shared" si="10"/>
        <v>-98563.200000000012</v>
      </c>
      <c r="S22" s="122">
        <f t="shared" si="13"/>
        <v>-184095.2</v>
      </c>
      <c r="T22" s="122"/>
      <c r="U22" s="122"/>
      <c r="V22" s="188">
        <f t="shared" si="3"/>
        <v>0.38749110953058319</v>
      </c>
      <c r="W22" s="188">
        <f t="shared" si="3"/>
        <v>0.1291175076004798</v>
      </c>
      <c r="X22" s="188">
        <f t="shared" si="9"/>
        <v>0.25772738682955404</v>
      </c>
      <c r="Y22" s="188">
        <f t="shared" si="9"/>
        <v>0.48138021922851648</v>
      </c>
      <c r="Z22" s="188"/>
      <c r="AA22" s="122"/>
      <c r="AB22" s="122"/>
    </row>
    <row r="23" spans="1:28">
      <c r="A23" s="90">
        <v>1985</v>
      </c>
      <c r="B23" s="73">
        <f>CBR!B108</f>
        <v>587990</v>
      </c>
      <c r="C23" s="23"/>
      <c r="D23" s="96">
        <f t="shared" si="14"/>
        <v>382432</v>
      </c>
      <c r="E23" s="96">
        <f t="shared" si="15"/>
        <v>357146</v>
      </c>
      <c r="F23" s="96">
        <f>AVERAGE(B18:B22)</f>
        <v>321378.2</v>
      </c>
      <c r="G23" s="96">
        <f t="shared" si="11"/>
        <v>231917.5</v>
      </c>
      <c r="H23" s="96"/>
      <c r="J23" s="99">
        <f t="shared" si="1"/>
        <v>205558</v>
      </c>
      <c r="K23" s="99">
        <f t="shared" si="4"/>
        <v>230844</v>
      </c>
      <c r="L23" s="99">
        <f t="shared" si="8"/>
        <v>266611.8</v>
      </c>
      <c r="M23" s="80">
        <f t="shared" si="12"/>
        <v>356072.5</v>
      </c>
      <c r="P23" s="122">
        <f t="shared" si="2"/>
        <v>-205558</v>
      </c>
      <c r="Q23" s="122">
        <f t="shared" si="6"/>
        <v>-230844</v>
      </c>
      <c r="R23" s="122">
        <f t="shared" si="10"/>
        <v>-266611.8</v>
      </c>
      <c r="S23" s="122">
        <f t="shared" si="13"/>
        <v>-356072.5</v>
      </c>
      <c r="T23" s="122"/>
      <c r="U23" s="122"/>
      <c r="V23" s="188">
        <f t="shared" si="3"/>
        <v>0.34959438085681727</v>
      </c>
      <c r="W23" s="188">
        <f t="shared" si="3"/>
        <v>0.39259851358016296</v>
      </c>
      <c r="X23" s="188">
        <f t="shared" si="9"/>
        <v>0.45342913995135969</v>
      </c>
      <c r="Y23" s="188">
        <f t="shared" si="9"/>
        <v>0.60557577509821592</v>
      </c>
      <c r="Z23" s="188"/>
      <c r="AA23" s="122"/>
      <c r="AB23" s="122"/>
    </row>
    <row r="24" spans="1:28">
      <c r="A24" s="90">
        <v>1986</v>
      </c>
      <c r="B24" s="73">
        <f>CBR!B109</f>
        <v>295980</v>
      </c>
      <c r="C24" s="23"/>
      <c r="D24" s="96">
        <f t="shared" si="14"/>
        <v>587990</v>
      </c>
      <c r="E24" s="96">
        <f t="shared" si="15"/>
        <v>401555</v>
      </c>
      <c r="F24" s="96">
        <f t="shared" ref="F24:F40" si="16">AVERAGE(B19:B23)</f>
        <v>393916.4</v>
      </c>
      <c r="G24" s="96">
        <f t="shared" si="11"/>
        <v>285336</v>
      </c>
      <c r="H24" s="96"/>
      <c r="J24" s="99">
        <f t="shared" si="1"/>
        <v>292010</v>
      </c>
      <c r="K24" s="99">
        <f t="shared" si="4"/>
        <v>105575</v>
      </c>
      <c r="L24" s="99">
        <f t="shared" si="8"/>
        <v>97936.400000000023</v>
      </c>
      <c r="M24" s="80">
        <f t="shared" si="12"/>
        <v>10644</v>
      </c>
      <c r="P24" s="122">
        <f t="shared" si="2"/>
        <v>292010</v>
      </c>
      <c r="Q24" s="122">
        <f t="shared" si="6"/>
        <v>105575</v>
      </c>
      <c r="R24" s="122">
        <f t="shared" si="10"/>
        <v>97936.400000000023</v>
      </c>
      <c r="S24" s="122">
        <f t="shared" si="13"/>
        <v>-10644</v>
      </c>
      <c r="T24" s="122"/>
      <c r="U24" s="122"/>
      <c r="V24" s="188">
        <f t="shared" si="3"/>
        <v>0.986586931549429</v>
      </c>
      <c r="W24" s="188">
        <f t="shared" si="3"/>
        <v>0.35669639840529765</v>
      </c>
      <c r="X24" s="188">
        <f t="shared" si="9"/>
        <v>0.33088857355226714</v>
      </c>
      <c r="Y24" s="188">
        <f t="shared" si="9"/>
        <v>3.5961889316845734E-2</v>
      </c>
      <c r="Z24" s="188"/>
      <c r="AA24" s="122"/>
      <c r="AB24" s="122"/>
    </row>
    <row r="25" spans="1:28">
      <c r="A25" s="90">
        <v>1987</v>
      </c>
      <c r="B25" s="73">
        <f>CBR!B110</f>
        <v>111599</v>
      </c>
      <c r="C25" s="23"/>
      <c r="D25" s="96">
        <f t="shared" si="14"/>
        <v>295980</v>
      </c>
      <c r="E25" s="96">
        <f t="shared" si="15"/>
        <v>422134</v>
      </c>
      <c r="F25" s="96">
        <f t="shared" si="16"/>
        <v>391081.6</v>
      </c>
      <c r="G25" s="96">
        <f t="shared" si="11"/>
        <v>303744</v>
      </c>
      <c r="H25" s="96"/>
      <c r="J25" s="99">
        <f t="shared" si="1"/>
        <v>184381</v>
      </c>
      <c r="K25" s="99">
        <f t="shared" si="4"/>
        <v>310535</v>
      </c>
      <c r="L25" s="99">
        <f t="shared" si="8"/>
        <v>279482.59999999998</v>
      </c>
      <c r="M25" s="80">
        <f t="shared" si="12"/>
        <v>192145</v>
      </c>
      <c r="P25" s="122">
        <f t="shared" si="2"/>
        <v>184381</v>
      </c>
      <c r="Q25" s="122">
        <f t="shared" si="6"/>
        <v>310535</v>
      </c>
      <c r="R25" s="122">
        <f t="shared" si="10"/>
        <v>279482.59999999998</v>
      </c>
      <c r="S25" s="122">
        <f t="shared" si="13"/>
        <v>192145</v>
      </c>
      <c r="T25" s="122"/>
      <c r="U25" s="122"/>
      <c r="V25" s="188">
        <f t="shared" si="3"/>
        <v>1.6521743026371205</v>
      </c>
      <c r="W25" s="188">
        <f t="shared" si="3"/>
        <v>2.7825966182492676</v>
      </c>
      <c r="X25" s="188">
        <f t="shared" si="9"/>
        <v>2.5043468131434867</v>
      </c>
      <c r="Y25" s="188">
        <f t="shared" si="9"/>
        <v>1.7217448185019579</v>
      </c>
      <c r="Z25" s="188"/>
      <c r="AA25" s="122"/>
      <c r="AB25" s="122"/>
    </row>
    <row r="26" spans="1:28">
      <c r="A26" s="90">
        <v>1988</v>
      </c>
      <c r="B26" s="73">
        <f>CBR!B111</f>
        <v>315568</v>
      </c>
      <c r="C26" s="23"/>
      <c r="D26" s="96">
        <f t="shared" si="14"/>
        <v>111599</v>
      </c>
      <c r="E26" s="96">
        <f t="shared" si="15"/>
        <v>331856.33333333331</v>
      </c>
      <c r="F26" s="96">
        <f t="shared" si="16"/>
        <v>322448.8</v>
      </c>
      <c r="G26" s="96">
        <f t="shared" si="11"/>
        <v>301768.3</v>
      </c>
      <c r="H26" s="96"/>
      <c r="J26" s="99">
        <f t="shared" si="1"/>
        <v>203969</v>
      </c>
      <c r="K26" s="99">
        <f t="shared" si="4"/>
        <v>16288.333333333314</v>
      </c>
      <c r="L26" s="99">
        <f t="shared" si="8"/>
        <v>6880.7999999999884</v>
      </c>
      <c r="M26" s="80">
        <f t="shared" si="12"/>
        <v>13799.700000000012</v>
      </c>
      <c r="P26" s="122">
        <f t="shared" si="2"/>
        <v>-203969</v>
      </c>
      <c r="Q26" s="122">
        <f t="shared" si="6"/>
        <v>16288.333333333314</v>
      </c>
      <c r="R26" s="122">
        <f t="shared" si="10"/>
        <v>6880.7999999999884</v>
      </c>
      <c r="S26" s="122">
        <f t="shared" si="13"/>
        <v>-13799.700000000012</v>
      </c>
      <c r="T26" s="122"/>
      <c r="U26" s="122"/>
      <c r="V26" s="188">
        <f t="shared" si="3"/>
        <v>0.64635514374081027</v>
      </c>
      <c r="W26" s="188">
        <f t="shared" si="3"/>
        <v>5.1615922188984038E-2</v>
      </c>
      <c r="X26" s="188">
        <f t="shared" si="9"/>
        <v>2.1804492217208298E-2</v>
      </c>
      <c r="Y26" s="188">
        <f t="shared" si="9"/>
        <v>4.3729719109668955E-2</v>
      </c>
      <c r="Z26" s="188"/>
      <c r="AA26" s="122"/>
      <c r="AB26" s="122"/>
    </row>
    <row r="27" spans="1:28">
      <c r="A27" s="90">
        <v>1989</v>
      </c>
      <c r="B27" s="73">
        <f>CBR!B112</f>
        <v>194454</v>
      </c>
      <c r="C27" s="23"/>
      <c r="D27" s="96">
        <f t="shared" si="14"/>
        <v>315568</v>
      </c>
      <c r="E27" s="96">
        <f t="shared" si="15"/>
        <v>241049</v>
      </c>
      <c r="F27" s="96">
        <f t="shared" si="16"/>
        <v>338713.8</v>
      </c>
      <c r="G27" s="96">
        <f t="shared" si="11"/>
        <v>311291.3</v>
      </c>
      <c r="H27" s="96"/>
      <c r="J27" s="99">
        <f t="shared" si="1"/>
        <v>121114</v>
      </c>
      <c r="K27" s="99">
        <f t="shared" si="4"/>
        <v>46595</v>
      </c>
      <c r="L27" s="99">
        <f t="shared" si="8"/>
        <v>144259.79999999999</v>
      </c>
      <c r="M27" s="80">
        <f t="shared" si="12"/>
        <v>116837.29999999999</v>
      </c>
      <c r="P27" s="122">
        <f t="shared" si="2"/>
        <v>121114</v>
      </c>
      <c r="Q27" s="122">
        <f t="shared" si="6"/>
        <v>46595</v>
      </c>
      <c r="R27" s="122">
        <f t="shared" si="10"/>
        <v>144259.79999999999</v>
      </c>
      <c r="S27" s="122">
        <f t="shared" si="13"/>
        <v>116837.29999999999</v>
      </c>
      <c r="T27" s="122"/>
      <c r="U27" s="122"/>
      <c r="V27" s="188">
        <f t="shared" si="3"/>
        <v>0.62284139179446041</v>
      </c>
      <c r="W27" s="188">
        <f t="shared" si="3"/>
        <v>0.2396196529770537</v>
      </c>
      <c r="X27" s="188">
        <f t="shared" si="9"/>
        <v>0.74187108519238476</v>
      </c>
      <c r="Y27" s="188">
        <f t="shared" si="9"/>
        <v>0.60084801546895406</v>
      </c>
      <c r="Z27" s="188"/>
      <c r="AA27" s="122"/>
      <c r="AB27" s="122"/>
    </row>
    <row r="28" spans="1:28">
      <c r="A28" s="90">
        <v>1990</v>
      </c>
      <c r="B28" s="73">
        <f>CBR!B113</f>
        <v>246797</v>
      </c>
      <c r="C28" s="23"/>
      <c r="D28" s="96">
        <f t="shared" si="14"/>
        <v>194454</v>
      </c>
      <c r="E28" s="96">
        <f t="shared" si="15"/>
        <v>207207</v>
      </c>
      <c r="F28" s="96">
        <f t="shared" si="16"/>
        <v>301118.2</v>
      </c>
      <c r="G28" s="96">
        <f>AVERAGE(B18:B27)</f>
        <v>311248.2</v>
      </c>
      <c r="H28" s="96">
        <f>AVERAGE(B8:B27)</f>
        <v>223884.05</v>
      </c>
      <c r="J28" s="99">
        <f t="shared" si="1"/>
        <v>52343</v>
      </c>
      <c r="K28" s="99">
        <f t="shared" si="4"/>
        <v>39590</v>
      </c>
      <c r="L28" s="99">
        <f t="shared" si="8"/>
        <v>54321.200000000012</v>
      </c>
      <c r="M28" s="80">
        <f t="shared" si="12"/>
        <v>64451.200000000012</v>
      </c>
      <c r="N28" s="80">
        <f t="shared" ref="N28:N39" si="17">ABS(H28-B28)</f>
        <v>22912.950000000012</v>
      </c>
      <c r="P28" s="122">
        <f t="shared" si="2"/>
        <v>-52343</v>
      </c>
      <c r="Q28" s="122">
        <f t="shared" si="6"/>
        <v>-39590</v>
      </c>
      <c r="R28" s="122">
        <f t="shared" si="10"/>
        <v>54321.200000000012</v>
      </c>
      <c r="S28" s="122">
        <f t="shared" si="13"/>
        <v>64451.200000000012</v>
      </c>
      <c r="T28" s="122">
        <f>H28-$B28</f>
        <v>-22912.950000000012</v>
      </c>
      <c r="U28" s="122"/>
      <c r="V28" s="188">
        <f t="shared" si="3"/>
        <v>0.21208928795730905</v>
      </c>
      <c r="W28" s="188">
        <f t="shared" si="3"/>
        <v>0.16041524005559224</v>
      </c>
      <c r="X28" s="188">
        <f t="shared" si="9"/>
        <v>0.22010478247304469</v>
      </c>
      <c r="Y28" s="188">
        <f t="shared" si="9"/>
        <v>0.26115066228519801</v>
      </c>
      <c r="Z28" s="188">
        <f t="shared" si="9"/>
        <v>9.2841282511537865E-2</v>
      </c>
      <c r="AA28" s="122"/>
      <c r="AB28" s="122"/>
    </row>
    <row r="29" spans="1:28">
      <c r="A29" s="90">
        <v>1991</v>
      </c>
      <c r="B29" s="73">
        <f>CBR!B114</f>
        <v>385086</v>
      </c>
      <c r="C29" s="23"/>
      <c r="D29" s="96">
        <f t="shared" si="14"/>
        <v>246797</v>
      </c>
      <c r="E29" s="96">
        <f t="shared" si="15"/>
        <v>252273</v>
      </c>
      <c r="F29" s="96">
        <f t="shared" si="16"/>
        <v>232879.6</v>
      </c>
      <c r="G29" s="96">
        <f t="shared" ref="G29:G39" si="18">AVERAGE(B19:B28)</f>
        <v>313398</v>
      </c>
      <c r="H29" s="96">
        <f t="shared" ref="H29:H40" si="19">AVERAGE(B9:B28)</f>
        <v>228129.3</v>
      </c>
      <c r="J29" s="99">
        <f t="shared" si="1"/>
        <v>138289</v>
      </c>
      <c r="K29" s="99">
        <f t="shared" si="4"/>
        <v>132813</v>
      </c>
      <c r="L29" s="99">
        <f t="shared" si="8"/>
        <v>152206.39999999999</v>
      </c>
      <c r="M29" s="80">
        <f t="shared" si="12"/>
        <v>71688</v>
      </c>
      <c r="N29" s="80">
        <f t="shared" si="17"/>
        <v>156956.70000000001</v>
      </c>
      <c r="P29" s="122">
        <f t="shared" si="2"/>
        <v>-138289</v>
      </c>
      <c r="Q29" s="122">
        <f t="shared" si="6"/>
        <v>-132813</v>
      </c>
      <c r="R29" s="122">
        <f t="shared" si="10"/>
        <v>-152206.39999999999</v>
      </c>
      <c r="S29" s="122">
        <f t="shared" si="13"/>
        <v>-71688</v>
      </c>
      <c r="T29" s="122">
        <f t="shared" ref="T29:T39" si="20">H29-$B29</f>
        <v>-156956.70000000001</v>
      </c>
      <c r="U29" s="122"/>
      <c r="V29" s="188">
        <f t="shared" si="3"/>
        <v>0.35911199056834059</v>
      </c>
      <c r="W29" s="188">
        <f t="shared" si="3"/>
        <v>0.34489179040526013</v>
      </c>
      <c r="X29" s="188">
        <f t="shared" si="9"/>
        <v>0.3952530084188986</v>
      </c>
      <c r="Y29" s="188">
        <f t="shared" si="9"/>
        <v>0.1861610133840233</v>
      </c>
      <c r="Z29" s="188">
        <f t="shared" si="9"/>
        <v>0.40758869447344231</v>
      </c>
      <c r="AA29" s="122"/>
      <c r="AB29" s="122"/>
    </row>
    <row r="30" spans="1:28">
      <c r="A30" s="90">
        <v>1992</v>
      </c>
      <c r="B30" s="73">
        <f>CBR!B115</f>
        <v>291627</v>
      </c>
      <c r="C30" s="23"/>
      <c r="D30" s="96">
        <f t="shared" si="14"/>
        <v>385086</v>
      </c>
      <c r="E30" s="96">
        <f t="shared" si="15"/>
        <v>275445.66666666669</v>
      </c>
      <c r="F30" s="96">
        <f t="shared" si="16"/>
        <v>250700.79999999999</v>
      </c>
      <c r="G30" s="96">
        <f t="shared" si="18"/>
        <v>320891.2</v>
      </c>
      <c r="H30" s="96">
        <f t="shared" si="19"/>
        <v>236937.85</v>
      </c>
      <c r="J30" s="99">
        <f t="shared" si="1"/>
        <v>93459</v>
      </c>
      <c r="K30" s="99">
        <f t="shared" si="4"/>
        <v>16181.333333333314</v>
      </c>
      <c r="L30" s="99">
        <f t="shared" si="8"/>
        <v>40926.200000000012</v>
      </c>
      <c r="M30" s="80">
        <f t="shared" si="12"/>
        <v>29264.200000000012</v>
      </c>
      <c r="N30" s="80">
        <f t="shared" si="17"/>
        <v>54689.149999999994</v>
      </c>
      <c r="P30" s="122">
        <f t="shared" si="2"/>
        <v>93459</v>
      </c>
      <c r="Q30" s="122">
        <f t="shared" si="6"/>
        <v>-16181.333333333314</v>
      </c>
      <c r="R30" s="122">
        <f t="shared" si="10"/>
        <v>-40926.200000000012</v>
      </c>
      <c r="S30" s="122">
        <f t="shared" si="13"/>
        <v>29264.200000000012</v>
      </c>
      <c r="T30" s="122">
        <f t="shared" si="20"/>
        <v>-54689.149999999994</v>
      </c>
      <c r="U30" s="122"/>
      <c r="V30" s="188">
        <f t="shared" si="3"/>
        <v>0.32047444166692385</v>
      </c>
      <c r="W30" s="188">
        <f t="shared" si="3"/>
        <v>5.5486403293705022E-2</v>
      </c>
      <c r="X30" s="188">
        <f t="shared" si="9"/>
        <v>0.14033748589808218</v>
      </c>
      <c r="Y30" s="188">
        <f t="shared" si="9"/>
        <v>0.10034804733443753</v>
      </c>
      <c r="Z30" s="188">
        <f t="shared" si="9"/>
        <v>0.18753116138080492</v>
      </c>
      <c r="AA30" s="122"/>
      <c r="AB30" s="122"/>
    </row>
    <row r="31" spans="1:28">
      <c r="A31" s="90">
        <v>1993</v>
      </c>
      <c r="B31" s="73">
        <f>CBR!B116</f>
        <v>281469</v>
      </c>
      <c r="C31" s="23"/>
      <c r="D31" s="96">
        <f t="shared" si="14"/>
        <v>291627</v>
      </c>
      <c r="E31" s="96">
        <f t="shared" si="15"/>
        <v>307836.66666666669</v>
      </c>
      <c r="F31" s="96">
        <f t="shared" si="16"/>
        <v>286706.40000000002</v>
      </c>
      <c r="G31" s="96">
        <f t="shared" si="18"/>
        <v>304577.59999999998</v>
      </c>
      <c r="H31" s="96">
        <f t="shared" si="19"/>
        <v>246358.65</v>
      </c>
      <c r="J31" s="99">
        <f t="shared" si="1"/>
        <v>10158</v>
      </c>
      <c r="K31" s="99">
        <f t="shared" si="4"/>
        <v>26367.666666666686</v>
      </c>
      <c r="L31" s="99">
        <f t="shared" si="8"/>
        <v>5237.4000000000233</v>
      </c>
      <c r="M31" s="80">
        <f t="shared" si="12"/>
        <v>23108.599999999977</v>
      </c>
      <c r="N31" s="80">
        <f t="shared" si="17"/>
        <v>35110.350000000006</v>
      </c>
      <c r="P31" s="122">
        <f t="shared" si="2"/>
        <v>10158</v>
      </c>
      <c r="Q31" s="122">
        <f t="shared" si="6"/>
        <v>26367.666666666686</v>
      </c>
      <c r="R31" s="122">
        <f t="shared" si="10"/>
        <v>5237.4000000000233</v>
      </c>
      <c r="S31" s="122">
        <f t="shared" si="13"/>
        <v>23108.599999999977</v>
      </c>
      <c r="T31" s="122">
        <f t="shared" si="20"/>
        <v>-35110.350000000006</v>
      </c>
      <c r="U31" s="122"/>
      <c r="V31" s="188">
        <f t="shared" si="3"/>
        <v>3.6089231851464995E-2</v>
      </c>
      <c r="W31" s="188">
        <f t="shared" si="3"/>
        <v>9.3678759176558296E-2</v>
      </c>
      <c r="X31" s="188">
        <f t="shared" si="9"/>
        <v>1.8607377721880643E-2</v>
      </c>
      <c r="Y31" s="188">
        <f t="shared" si="9"/>
        <v>8.2099982591333248E-2</v>
      </c>
      <c r="Z31" s="188">
        <f t="shared" si="9"/>
        <v>0.12473966937744478</v>
      </c>
      <c r="AA31" s="122"/>
      <c r="AB31" s="122"/>
    </row>
    <row r="32" spans="1:28">
      <c r="A32" s="90">
        <v>1994</v>
      </c>
      <c r="B32" s="73">
        <f>CBR!B117</f>
        <v>677633</v>
      </c>
      <c r="C32" s="23"/>
      <c r="D32" s="96">
        <f t="shared" si="14"/>
        <v>281469</v>
      </c>
      <c r="E32" s="96">
        <f t="shared" si="15"/>
        <v>319394</v>
      </c>
      <c r="F32" s="96">
        <f t="shared" si="16"/>
        <v>279886.59999999998</v>
      </c>
      <c r="G32" s="96">
        <f t="shared" si="18"/>
        <v>309300.2</v>
      </c>
      <c r="H32" s="96">
        <f t="shared" si="19"/>
        <v>253818.5</v>
      </c>
      <c r="J32" s="99">
        <f t="shared" si="1"/>
        <v>396164</v>
      </c>
      <c r="K32" s="99">
        <f t="shared" si="4"/>
        <v>358239</v>
      </c>
      <c r="L32" s="99">
        <f t="shared" si="8"/>
        <v>397746.4</v>
      </c>
      <c r="M32" s="80">
        <f t="shared" si="12"/>
        <v>368332.79999999999</v>
      </c>
      <c r="N32" s="80">
        <f t="shared" si="17"/>
        <v>423814.5</v>
      </c>
      <c r="P32" s="122">
        <f t="shared" si="2"/>
        <v>-396164</v>
      </c>
      <c r="Q32" s="122">
        <f t="shared" si="6"/>
        <v>-358239</v>
      </c>
      <c r="R32" s="122">
        <f t="shared" si="10"/>
        <v>-397746.4</v>
      </c>
      <c r="S32" s="122">
        <f t="shared" si="13"/>
        <v>-368332.79999999999</v>
      </c>
      <c r="T32" s="122">
        <f t="shared" si="20"/>
        <v>-423814.5</v>
      </c>
      <c r="U32" s="122"/>
      <c r="V32" s="188">
        <f t="shared" si="3"/>
        <v>0.5846291429136421</v>
      </c>
      <c r="W32" s="188">
        <f t="shared" si="3"/>
        <v>0.5286622699898027</v>
      </c>
      <c r="X32" s="188">
        <f t="shared" si="9"/>
        <v>0.58696433024955985</v>
      </c>
      <c r="Y32" s="188">
        <f t="shared" si="9"/>
        <v>0.54355794360664256</v>
      </c>
      <c r="Z32" s="188">
        <f t="shared" si="9"/>
        <v>0.62543367870218836</v>
      </c>
      <c r="AA32" s="122"/>
      <c r="AB32" s="122"/>
    </row>
    <row r="33" spans="1:28">
      <c r="A33" s="90">
        <v>1995</v>
      </c>
      <c r="B33" s="73">
        <f>CBR!B118</f>
        <v>542658</v>
      </c>
      <c r="C33" s="23"/>
      <c r="D33" s="96">
        <f t="shared" si="14"/>
        <v>677633</v>
      </c>
      <c r="E33" s="96">
        <f t="shared" si="15"/>
        <v>416909.66666666669</v>
      </c>
      <c r="F33" s="96">
        <f t="shared" si="16"/>
        <v>376522.4</v>
      </c>
      <c r="G33" s="96">
        <f t="shared" si="18"/>
        <v>338820.3</v>
      </c>
      <c r="H33" s="96">
        <f t="shared" si="19"/>
        <v>285368.90000000002</v>
      </c>
      <c r="J33" s="99">
        <f t="shared" si="1"/>
        <v>134975</v>
      </c>
      <c r="K33" s="99">
        <f t="shared" si="4"/>
        <v>125748.33333333331</v>
      </c>
      <c r="L33" s="99">
        <f t="shared" si="8"/>
        <v>166135.59999999998</v>
      </c>
      <c r="M33" s="80">
        <f t="shared" si="12"/>
        <v>203837.7</v>
      </c>
      <c r="N33" s="80">
        <f t="shared" si="17"/>
        <v>257289.09999999998</v>
      </c>
      <c r="P33" s="122">
        <f t="shared" si="2"/>
        <v>134975</v>
      </c>
      <c r="Q33" s="122">
        <f t="shared" si="6"/>
        <v>-125748.33333333331</v>
      </c>
      <c r="R33" s="122">
        <f t="shared" si="10"/>
        <v>-166135.59999999998</v>
      </c>
      <c r="S33" s="122">
        <f t="shared" si="13"/>
        <v>-203837.7</v>
      </c>
      <c r="T33" s="122">
        <f t="shared" si="20"/>
        <v>-257289.09999999998</v>
      </c>
      <c r="U33" s="122"/>
      <c r="V33" s="188">
        <f t="shared" si="3"/>
        <v>0.24872940231232193</v>
      </c>
      <c r="W33" s="188">
        <f t="shared" si="3"/>
        <v>0.23172667376751713</v>
      </c>
      <c r="X33" s="188">
        <f t="shared" si="9"/>
        <v>0.30615157244526015</v>
      </c>
      <c r="Y33" s="188">
        <f t="shared" si="9"/>
        <v>0.37562829627500194</v>
      </c>
      <c r="Z33" s="188">
        <f t="shared" si="9"/>
        <v>0.47412753520633616</v>
      </c>
      <c r="AA33" s="122"/>
      <c r="AB33" s="122"/>
    </row>
    <row r="34" spans="1:28">
      <c r="A34" s="90">
        <v>1996</v>
      </c>
      <c r="B34" s="73">
        <f>CBR!B119</f>
        <v>193042</v>
      </c>
      <c r="C34" s="23"/>
      <c r="D34" s="96">
        <f t="shared" si="14"/>
        <v>542658</v>
      </c>
      <c r="E34" s="96">
        <f t="shared" si="15"/>
        <v>500586.66666666669</v>
      </c>
      <c r="F34" s="96">
        <f t="shared" si="16"/>
        <v>435694.6</v>
      </c>
      <c r="G34" s="96">
        <f t="shared" si="18"/>
        <v>334287.09999999998</v>
      </c>
      <c r="H34" s="96">
        <f t="shared" si="19"/>
        <v>309811.55</v>
      </c>
      <c r="J34" s="99">
        <f t="shared" si="1"/>
        <v>349616</v>
      </c>
      <c r="K34" s="99">
        <f t="shared" si="4"/>
        <v>307544.66666666669</v>
      </c>
      <c r="L34" s="99">
        <f t="shared" si="8"/>
        <v>242652.59999999998</v>
      </c>
      <c r="M34" s="80">
        <f t="shared" si="12"/>
        <v>141245.09999999998</v>
      </c>
      <c r="N34" s="80">
        <f t="shared" si="17"/>
        <v>116769.54999999999</v>
      </c>
      <c r="P34" s="122">
        <f t="shared" si="2"/>
        <v>349616</v>
      </c>
      <c r="Q34" s="122">
        <f t="shared" si="6"/>
        <v>307544.66666666669</v>
      </c>
      <c r="R34" s="122">
        <f t="shared" si="10"/>
        <v>242652.59999999998</v>
      </c>
      <c r="S34" s="122">
        <f t="shared" si="13"/>
        <v>141245.09999999998</v>
      </c>
      <c r="T34" s="122">
        <f t="shared" si="20"/>
        <v>116769.54999999999</v>
      </c>
      <c r="U34" s="122"/>
      <c r="V34" s="188">
        <f t="shared" si="3"/>
        <v>1.8110877425637943</v>
      </c>
      <c r="W34" s="188">
        <f t="shared" si="3"/>
        <v>1.5931489865763238</v>
      </c>
      <c r="X34" s="188">
        <f t="shared" si="9"/>
        <v>1.2569938148175008</v>
      </c>
      <c r="Y34" s="188">
        <f t="shared" si="9"/>
        <v>0.73168067052765706</v>
      </c>
      <c r="Z34" s="188">
        <f t="shared" si="9"/>
        <v>0.60489194061395957</v>
      </c>
      <c r="AA34" s="122"/>
      <c r="AB34" s="122"/>
    </row>
    <row r="35" spans="1:28">
      <c r="A35" s="90">
        <v>1997</v>
      </c>
      <c r="B35" s="73">
        <f>CBR!B120</f>
        <v>18656</v>
      </c>
      <c r="C35" s="23"/>
      <c r="D35" s="96">
        <f t="shared" si="14"/>
        <v>193042</v>
      </c>
      <c r="E35" s="96">
        <f t="shared" si="15"/>
        <v>471111</v>
      </c>
      <c r="F35" s="96">
        <f t="shared" si="16"/>
        <v>397285.8</v>
      </c>
      <c r="G35" s="96">
        <f t="shared" si="18"/>
        <v>323993.3</v>
      </c>
      <c r="H35" s="96">
        <f t="shared" si="19"/>
        <v>313868.65000000002</v>
      </c>
      <c r="J35" s="99">
        <f t="shared" si="1"/>
        <v>174386</v>
      </c>
      <c r="K35" s="99">
        <f t="shared" si="4"/>
        <v>452455</v>
      </c>
      <c r="L35" s="99">
        <f t="shared" si="8"/>
        <v>378629.8</v>
      </c>
      <c r="M35" s="80">
        <f t="shared" si="12"/>
        <v>305337.3</v>
      </c>
      <c r="N35" s="80">
        <f t="shared" si="17"/>
        <v>295212.65000000002</v>
      </c>
      <c r="P35" s="122">
        <f t="shared" si="2"/>
        <v>174386</v>
      </c>
      <c r="Q35" s="122">
        <f t="shared" si="6"/>
        <v>452455</v>
      </c>
      <c r="R35" s="122">
        <f t="shared" si="10"/>
        <v>378629.8</v>
      </c>
      <c r="S35" s="122">
        <f t="shared" si="13"/>
        <v>305337.3</v>
      </c>
      <c r="T35" s="122">
        <f t="shared" si="20"/>
        <v>295212.65000000002</v>
      </c>
      <c r="U35" s="122"/>
      <c r="V35" s="188">
        <f t="shared" si="3"/>
        <v>9.3474485420240132</v>
      </c>
      <c r="W35" s="188">
        <f t="shared" si="3"/>
        <v>24.252519296740996</v>
      </c>
      <c r="X35" s="188">
        <f t="shared" si="9"/>
        <v>20.295336620926243</v>
      </c>
      <c r="Y35" s="188">
        <f t="shared" si="9"/>
        <v>16.366707761578045</v>
      </c>
      <c r="Z35" s="188">
        <f t="shared" si="9"/>
        <v>15.824005681818184</v>
      </c>
      <c r="AA35" s="122"/>
      <c r="AB35" s="122"/>
    </row>
    <row r="36" spans="1:28">
      <c r="A36" s="90">
        <v>1998</v>
      </c>
      <c r="B36" s="73">
        <f>CBR!B121</f>
        <v>108232</v>
      </c>
      <c r="C36" s="23"/>
      <c r="D36" s="96">
        <f t="shared" si="14"/>
        <v>18656</v>
      </c>
      <c r="E36" s="96">
        <f t="shared" si="15"/>
        <v>251452</v>
      </c>
      <c r="F36" s="96">
        <f t="shared" si="16"/>
        <v>342691.6</v>
      </c>
      <c r="G36" s="96">
        <f t="shared" si="18"/>
        <v>314699</v>
      </c>
      <c r="H36" s="96">
        <f t="shared" si="19"/>
        <v>308233.65000000002</v>
      </c>
      <c r="J36" s="99">
        <f t="shared" si="1"/>
        <v>89576</v>
      </c>
      <c r="K36" s="99">
        <f t="shared" si="4"/>
        <v>143220</v>
      </c>
      <c r="L36" s="99">
        <f t="shared" si="8"/>
        <v>234459.59999999998</v>
      </c>
      <c r="M36" s="80">
        <f t="shared" si="12"/>
        <v>206467</v>
      </c>
      <c r="N36" s="80">
        <f t="shared" si="17"/>
        <v>200001.65000000002</v>
      </c>
      <c r="P36" s="122">
        <f t="shared" si="2"/>
        <v>-89576</v>
      </c>
      <c r="Q36" s="122">
        <f t="shared" si="6"/>
        <v>143220</v>
      </c>
      <c r="R36" s="122">
        <f t="shared" si="10"/>
        <v>234459.59999999998</v>
      </c>
      <c r="S36" s="122">
        <f t="shared" si="13"/>
        <v>206467</v>
      </c>
      <c r="T36" s="122">
        <f t="shared" si="20"/>
        <v>200001.65000000002</v>
      </c>
      <c r="U36" s="122"/>
      <c r="V36" s="188">
        <f t="shared" si="3"/>
        <v>0.82762953655111238</v>
      </c>
      <c r="W36" s="188">
        <f t="shared" si="3"/>
        <v>1.3232685342597383</v>
      </c>
      <c r="X36" s="188">
        <f t="shared" si="9"/>
        <v>2.1662687560056173</v>
      </c>
      <c r="Y36" s="188">
        <f t="shared" si="9"/>
        <v>1.9076336018922315</v>
      </c>
      <c r="Z36" s="188">
        <f t="shared" si="9"/>
        <v>1.8478975718826227</v>
      </c>
      <c r="AA36" s="122"/>
      <c r="AB36" s="122"/>
    </row>
    <row r="37" spans="1:28">
      <c r="A37" s="90">
        <v>1999</v>
      </c>
      <c r="B37" s="73">
        <f>CBR!B122</f>
        <v>153061</v>
      </c>
      <c r="C37" s="23"/>
      <c r="D37" s="96">
        <f t="shared" si="14"/>
        <v>108232</v>
      </c>
      <c r="E37" s="96">
        <f t="shared" si="15"/>
        <v>106643.33333333333</v>
      </c>
      <c r="F37" s="96">
        <f t="shared" si="16"/>
        <v>308044.2</v>
      </c>
      <c r="G37" s="96">
        <f t="shared" si="18"/>
        <v>293965.40000000002</v>
      </c>
      <c r="H37" s="96">
        <f t="shared" si="19"/>
        <v>302628.34999999998</v>
      </c>
      <c r="J37" s="99">
        <f t="shared" si="1"/>
        <v>44829</v>
      </c>
      <c r="K37" s="99">
        <f t="shared" si="4"/>
        <v>46417.666666666672</v>
      </c>
      <c r="L37" s="99">
        <f t="shared" si="8"/>
        <v>154983.20000000001</v>
      </c>
      <c r="M37" s="80">
        <f t="shared" si="12"/>
        <v>140904.40000000002</v>
      </c>
      <c r="N37" s="80">
        <f t="shared" si="17"/>
        <v>149567.34999999998</v>
      </c>
      <c r="P37" s="122">
        <f t="shared" si="2"/>
        <v>-44829</v>
      </c>
      <c r="Q37" s="122">
        <f t="shared" si="6"/>
        <v>-46417.666666666672</v>
      </c>
      <c r="R37" s="122">
        <f t="shared" si="10"/>
        <v>154983.20000000001</v>
      </c>
      <c r="S37" s="122">
        <f t="shared" si="13"/>
        <v>140904.40000000002</v>
      </c>
      <c r="T37" s="122">
        <f t="shared" si="20"/>
        <v>149567.34999999998</v>
      </c>
      <c r="U37" s="122"/>
      <c r="V37" s="188">
        <f t="shared" si="3"/>
        <v>0.29288322956207002</v>
      </c>
      <c r="W37" s="188">
        <f t="shared" si="3"/>
        <v>0.30326253367393829</v>
      </c>
      <c r="X37" s="188">
        <f t="shared" si="9"/>
        <v>1.012558391752308</v>
      </c>
      <c r="Y37" s="188">
        <f t="shared" si="9"/>
        <v>0.92057676351258666</v>
      </c>
      <c r="Z37" s="188">
        <f t="shared" si="9"/>
        <v>0.97717478652302003</v>
      </c>
      <c r="AA37" s="122"/>
      <c r="AB37" s="122"/>
    </row>
    <row r="38" spans="1:28">
      <c r="A38" s="90">
        <v>2000</v>
      </c>
      <c r="B38" s="73">
        <f>CBR!B123</f>
        <v>304944</v>
      </c>
      <c r="C38" s="23"/>
      <c r="D38" s="96">
        <f t="shared" si="14"/>
        <v>153061</v>
      </c>
      <c r="E38" s="96">
        <f t="shared" si="15"/>
        <v>93316.333333333328</v>
      </c>
      <c r="F38" s="96">
        <f t="shared" si="16"/>
        <v>203129.8</v>
      </c>
      <c r="G38" s="96">
        <f t="shared" si="18"/>
        <v>289826.09999999998</v>
      </c>
      <c r="H38" s="96">
        <f t="shared" si="19"/>
        <v>300537.15000000002</v>
      </c>
      <c r="J38" s="99">
        <f t="shared" si="1"/>
        <v>151883</v>
      </c>
      <c r="K38" s="99">
        <f t="shared" si="4"/>
        <v>211627.66666666669</v>
      </c>
      <c r="L38" s="99">
        <f t="shared" si="8"/>
        <v>101814.20000000001</v>
      </c>
      <c r="M38" s="80">
        <f t="shared" si="12"/>
        <v>15117.900000000023</v>
      </c>
      <c r="N38" s="80">
        <f t="shared" si="17"/>
        <v>4406.8499999999767</v>
      </c>
      <c r="P38" s="122">
        <f t="shared" si="2"/>
        <v>-151883</v>
      </c>
      <c r="Q38" s="122">
        <f t="shared" si="6"/>
        <v>-211627.66666666669</v>
      </c>
      <c r="R38" s="122">
        <f t="shared" si="10"/>
        <v>-101814.20000000001</v>
      </c>
      <c r="S38" s="122">
        <f t="shared" si="13"/>
        <v>-15117.900000000023</v>
      </c>
      <c r="T38" s="122">
        <f t="shared" si="20"/>
        <v>-4406.8499999999767</v>
      </c>
      <c r="U38" s="122"/>
      <c r="V38" s="188">
        <f t="shared" si="3"/>
        <v>0.49806849782255103</v>
      </c>
      <c r="W38" s="188">
        <f t="shared" si="3"/>
        <v>0.69398862304772901</v>
      </c>
      <c r="X38" s="188">
        <f t="shared" si="9"/>
        <v>0.3338783514350176</v>
      </c>
      <c r="Y38" s="188">
        <f t="shared" si="9"/>
        <v>4.9575987722335978E-2</v>
      </c>
      <c r="Z38" s="188">
        <f t="shared" si="9"/>
        <v>1.4451341885723204E-2</v>
      </c>
      <c r="AA38" s="122"/>
      <c r="AB38" s="122"/>
    </row>
    <row r="39" spans="1:28">
      <c r="A39" s="90">
        <v>2001</v>
      </c>
      <c r="B39" s="73">
        <f>CBR!B124</f>
        <v>251473</v>
      </c>
      <c r="C39" s="23"/>
      <c r="D39" s="96">
        <f t="shared" si="14"/>
        <v>304944</v>
      </c>
      <c r="E39" s="96">
        <f t="shared" si="15"/>
        <v>188745.66666666666</v>
      </c>
      <c r="F39" s="96">
        <f t="shared" si="16"/>
        <v>155587</v>
      </c>
      <c r="G39" s="96">
        <f t="shared" si="18"/>
        <v>295640.8</v>
      </c>
      <c r="H39" s="96">
        <f t="shared" si="19"/>
        <v>304519.40000000002</v>
      </c>
      <c r="J39" s="99">
        <f t="shared" si="1"/>
        <v>53471</v>
      </c>
      <c r="K39" s="99">
        <f t="shared" si="4"/>
        <v>62727.333333333343</v>
      </c>
      <c r="L39" s="99">
        <f t="shared" si="8"/>
        <v>95886</v>
      </c>
      <c r="M39" s="80">
        <f t="shared" si="12"/>
        <v>44167.799999999988</v>
      </c>
      <c r="N39" s="80">
        <f t="shared" si="17"/>
        <v>53046.400000000023</v>
      </c>
      <c r="P39" s="122">
        <f t="shared" si="2"/>
        <v>53471</v>
      </c>
      <c r="Q39" s="122">
        <f t="shared" si="6"/>
        <v>-62727.333333333343</v>
      </c>
      <c r="R39" s="122">
        <f t="shared" si="10"/>
        <v>-95886</v>
      </c>
      <c r="S39" s="122">
        <f t="shared" si="13"/>
        <v>44167.799999999988</v>
      </c>
      <c r="T39" s="122">
        <f t="shared" si="20"/>
        <v>53046.400000000023</v>
      </c>
      <c r="U39" s="122"/>
      <c r="V39" s="188">
        <f t="shared" si="3"/>
        <v>0.21263117710450027</v>
      </c>
      <c r="W39" s="188">
        <f t="shared" si="3"/>
        <v>0.24943963500389044</v>
      </c>
      <c r="X39" s="188">
        <f t="shared" si="9"/>
        <v>0.38129739574427474</v>
      </c>
      <c r="Y39" s="188">
        <f t="shared" si="9"/>
        <v>0.17563635062213434</v>
      </c>
      <c r="Z39" s="188">
        <f t="shared" si="9"/>
        <v>0.21094272546158047</v>
      </c>
      <c r="AA39" s="122"/>
      <c r="AB39" s="122"/>
    </row>
    <row r="40" spans="1:28">
      <c r="A40" s="90">
        <v>2002</v>
      </c>
      <c r="B40" s="73">
        <f>CBR!B125</f>
        <v>538277</v>
      </c>
      <c r="C40" s="23"/>
      <c r="D40" s="96">
        <f t="shared" si="14"/>
        <v>251473</v>
      </c>
      <c r="E40" s="96">
        <f t="shared" si="15"/>
        <v>236492.66666666666</v>
      </c>
      <c r="F40" s="96">
        <f t="shared" si="16"/>
        <v>167273.20000000001</v>
      </c>
      <c r="G40" s="96">
        <f t="shared" ref="G40:G46" si="21">AVERAGE(B30:B39)</f>
        <v>282279.5</v>
      </c>
      <c r="H40" s="96">
        <f t="shared" si="19"/>
        <v>301585.34999999998</v>
      </c>
      <c r="J40" s="99">
        <f t="shared" ref="J40:J45" si="22">ABS(D40-B40)</f>
        <v>286804</v>
      </c>
      <c r="K40" s="99">
        <f t="shared" ref="K40:K45" si="23">ABS(E40-B40)</f>
        <v>301784.33333333337</v>
      </c>
      <c r="L40" s="99">
        <f t="shared" ref="L40:L45" si="24">ABS(F40-B40)</f>
        <v>371003.8</v>
      </c>
      <c r="M40" s="80">
        <f t="shared" ref="M40:M45" si="25">ABS(G40-B40)</f>
        <v>255997.5</v>
      </c>
      <c r="N40" s="80">
        <f t="shared" ref="N40:N45" si="26">ABS(H40-B40)</f>
        <v>236691.65000000002</v>
      </c>
      <c r="O40" s="127"/>
      <c r="P40" s="122">
        <f t="shared" ref="P40:T42" si="27">D40-$B40</f>
        <v>-286804</v>
      </c>
      <c r="Q40" s="122">
        <f t="shared" si="27"/>
        <v>-301784.33333333337</v>
      </c>
      <c r="R40" s="122">
        <f t="shared" si="27"/>
        <v>-371003.8</v>
      </c>
      <c r="S40" s="122">
        <f t="shared" si="27"/>
        <v>-255997.5</v>
      </c>
      <c r="T40" s="122">
        <f t="shared" si="27"/>
        <v>-236691.65000000002</v>
      </c>
      <c r="U40" s="122"/>
      <c r="V40" s="188">
        <f t="shared" si="3"/>
        <v>0.53281860454747276</v>
      </c>
      <c r="W40" s="188">
        <f t="shared" si="3"/>
        <v>0.5606487613874146</v>
      </c>
      <c r="X40" s="188">
        <f t="shared" si="9"/>
        <v>0.68924327065804403</v>
      </c>
      <c r="Y40" s="188">
        <f t="shared" si="9"/>
        <v>0.47558691900266964</v>
      </c>
      <c r="Z40" s="188">
        <f t="shared" si="9"/>
        <v>0.43972090577899486</v>
      </c>
      <c r="AA40" s="122"/>
      <c r="AB40" s="122"/>
    </row>
    <row r="41" spans="1:28">
      <c r="A41" s="90">
        <v>2003</v>
      </c>
      <c r="B41" s="73">
        <f>CBR!B126</f>
        <v>363489</v>
      </c>
      <c r="C41" s="99"/>
      <c r="D41" s="96">
        <f t="shared" ref="D41:D48" si="28">B40</f>
        <v>538277</v>
      </c>
      <c r="E41" s="96">
        <f t="shared" ref="E41:E48" si="29">AVERAGE(B38:B40)</f>
        <v>364898</v>
      </c>
      <c r="F41" s="96">
        <f t="shared" ref="F41:F46" si="30">AVERAGE(B36:B40)</f>
        <v>271197.40000000002</v>
      </c>
      <c r="G41" s="96">
        <f t="shared" si="21"/>
        <v>306944.5</v>
      </c>
      <c r="H41" s="96">
        <f t="shared" ref="H41:H46" si="31">AVERAGE(B21:B40)</f>
        <v>305761.05</v>
      </c>
      <c r="I41" s="99"/>
      <c r="J41" s="99">
        <f t="shared" si="22"/>
        <v>174788</v>
      </c>
      <c r="K41" s="99">
        <f t="shared" si="23"/>
        <v>1409</v>
      </c>
      <c r="L41" s="99">
        <f t="shared" si="24"/>
        <v>92291.599999999977</v>
      </c>
      <c r="M41" s="80">
        <f t="shared" si="25"/>
        <v>56544.5</v>
      </c>
      <c r="N41" s="80">
        <f t="shared" si="26"/>
        <v>57727.950000000012</v>
      </c>
      <c r="O41" s="127"/>
      <c r="P41" s="122">
        <f t="shared" si="27"/>
        <v>174788</v>
      </c>
      <c r="Q41" s="122">
        <f t="shared" si="27"/>
        <v>1409</v>
      </c>
      <c r="R41" s="122">
        <f t="shared" si="27"/>
        <v>-92291.599999999977</v>
      </c>
      <c r="S41" s="122">
        <f t="shared" si="27"/>
        <v>-56544.5</v>
      </c>
      <c r="T41" s="122">
        <f t="shared" si="27"/>
        <v>-57727.950000000012</v>
      </c>
      <c r="U41" s="122"/>
      <c r="V41" s="188">
        <f t="shared" si="3"/>
        <v>0.48086186927252267</v>
      </c>
      <c r="W41" s="188">
        <f t="shared" si="3"/>
        <v>3.8763208790362296E-3</v>
      </c>
      <c r="X41" s="188">
        <f t="shared" si="9"/>
        <v>0.2539047949181405</v>
      </c>
      <c r="Y41" s="188">
        <f t="shared" si="9"/>
        <v>0.15556041585852667</v>
      </c>
      <c r="Z41" s="188">
        <f t="shared" si="9"/>
        <v>0.15881622277427931</v>
      </c>
      <c r="AA41" s="122"/>
      <c r="AB41" s="122"/>
    </row>
    <row r="42" spans="1:28">
      <c r="A42" s="90">
        <v>2004</v>
      </c>
      <c r="B42" s="73">
        <f>CBR!B127</f>
        <v>467859</v>
      </c>
      <c r="C42" s="73"/>
      <c r="D42" s="96">
        <f t="shared" si="28"/>
        <v>363489</v>
      </c>
      <c r="E42" s="96">
        <f t="shared" si="29"/>
        <v>384413</v>
      </c>
      <c r="F42" s="96">
        <f t="shared" si="30"/>
        <v>322248.8</v>
      </c>
      <c r="G42" s="96">
        <f t="shared" si="21"/>
        <v>315146.5</v>
      </c>
      <c r="H42" s="96">
        <f t="shared" si="31"/>
        <v>312223.34999999998</v>
      </c>
      <c r="I42" s="99"/>
      <c r="J42" s="99">
        <f t="shared" si="22"/>
        <v>104370</v>
      </c>
      <c r="K42" s="99">
        <f t="shared" si="23"/>
        <v>83446</v>
      </c>
      <c r="L42" s="99">
        <f t="shared" si="24"/>
        <v>145610.20000000001</v>
      </c>
      <c r="M42" s="80">
        <f t="shared" si="25"/>
        <v>152712.5</v>
      </c>
      <c r="N42" s="80">
        <f t="shared" si="26"/>
        <v>155635.65000000002</v>
      </c>
      <c r="O42" s="127"/>
      <c r="P42" s="122">
        <f t="shared" si="27"/>
        <v>-104370</v>
      </c>
      <c r="Q42" s="122">
        <f t="shared" si="27"/>
        <v>-83446</v>
      </c>
      <c r="R42" s="122">
        <f t="shared" si="27"/>
        <v>-145610.20000000001</v>
      </c>
      <c r="S42" s="122">
        <f t="shared" si="27"/>
        <v>-152712.5</v>
      </c>
      <c r="T42" s="122">
        <f t="shared" si="27"/>
        <v>-155635.65000000002</v>
      </c>
      <c r="U42" s="122"/>
      <c r="V42" s="188">
        <f t="shared" si="3"/>
        <v>0.22308003052201625</v>
      </c>
      <c r="W42" s="188">
        <f t="shared" si="3"/>
        <v>0.17835715461282139</v>
      </c>
      <c r="X42" s="188">
        <f t="shared" si="9"/>
        <v>0.31122667299335915</v>
      </c>
      <c r="Y42" s="188">
        <f t="shared" si="9"/>
        <v>0.32640710128478878</v>
      </c>
      <c r="Z42" s="188">
        <f t="shared" si="9"/>
        <v>0.332655030682321</v>
      </c>
      <c r="AA42" s="122"/>
      <c r="AB42" s="122"/>
    </row>
    <row r="43" spans="1:28">
      <c r="A43" s="90">
        <v>2005</v>
      </c>
      <c r="B43" s="73">
        <f>CBR!B128</f>
        <v>263465</v>
      </c>
      <c r="C43" s="73"/>
      <c r="D43" s="96">
        <f t="shared" si="28"/>
        <v>467859</v>
      </c>
      <c r="E43" s="96">
        <f t="shared" si="29"/>
        <v>456541.66666666669</v>
      </c>
      <c r="F43" s="96">
        <f t="shared" si="30"/>
        <v>385208.4</v>
      </c>
      <c r="G43" s="96">
        <f t="shared" si="21"/>
        <v>294169.09999999998</v>
      </c>
      <c r="H43" s="96">
        <f t="shared" si="31"/>
        <v>316494.7</v>
      </c>
      <c r="I43" s="99"/>
      <c r="J43" s="99">
        <f t="shared" si="22"/>
        <v>204394</v>
      </c>
      <c r="K43" s="99">
        <f t="shared" si="23"/>
        <v>193076.66666666669</v>
      </c>
      <c r="L43" s="99">
        <f t="shared" si="24"/>
        <v>121743.40000000002</v>
      </c>
      <c r="M43" s="80">
        <f t="shared" si="25"/>
        <v>30704.099999999977</v>
      </c>
      <c r="N43" s="80">
        <f t="shared" si="26"/>
        <v>53029.700000000012</v>
      </c>
      <c r="O43" s="127"/>
      <c r="P43" s="122">
        <f t="shared" ref="P43:T44" si="32">D43-$B43</f>
        <v>204394</v>
      </c>
      <c r="Q43" s="122">
        <f t="shared" si="32"/>
        <v>193076.66666666669</v>
      </c>
      <c r="R43" s="122">
        <f t="shared" si="32"/>
        <v>121743.40000000002</v>
      </c>
      <c r="S43" s="122">
        <f t="shared" si="32"/>
        <v>30704.099999999977</v>
      </c>
      <c r="T43" s="122">
        <f t="shared" si="32"/>
        <v>53029.700000000012</v>
      </c>
      <c r="U43" s="122"/>
      <c r="V43" s="188">
        <f t="shared" ref="V43:Z44" si="33">ABS(($B43-D43)/$B43)</f>
        <v>0.77579185090998803</v>
      </c>
      <c r="W43" s="188">
        <f t="shared" si="33"/>
        <v>0.73283611358877532</v>
      </c>
      <c r="X43" s="188">
        <f t="shared" si="33"/>
        <v>0.4620856660277457</v>
      </c>
      <c r="Y43" s="188">
        <f t="shared" si="33"/>
        <v>0.11653957831210968</v>
      </c>
      <c r="Z43" s="188">
        <f t="shared" si="33"/>
        <v>0.20127796861063144</v>
      </c>
      <c r="AA43" s="122"/>
      <c r="AB43" s="122"/>
    </row>
    <row r="44" spans="1:28">
      <c r="A44" s="90">
        <v>2006</v>
      </c>
      <c r="B44" s="73">
        <f>CBR!B129</f>
        <v>312150</v>
      </c>
      <c r="C44" s="73"/>
      <c r="D44" s="96">
        <f t="shared" si="28"/>
        <v>263465</v>
      </c>
      <c r="E44" s="96">
        <f t="shared" si="29"/>
        <v>364937.66666666669</v>
      </c>
      <c r="F44" s="96">
        <f t="shared" si="30"/>
        <v>376912.6</v>
      </c>
      <c r="G44" s="96">
        <f t="shared" si="21"/>
        <v>266249.8</v>
      </c>
      <c r="H44" s="96">
        <f t="shared" si="31"/>
        <v>300268.45</v>
      </c>
      <c r="I44" s="99"/>
      <c r="J44" s="99">
        <f t="shared" si="22"/>
        <v>48685</v>
      </c>
      <c r="K44" s="99">
        <f t="shared" si="23"/>
        <v>52787.666666666686</v>
      </c>
      <c r="L44" s="99">
        <f t="shared" si="24"/>
        <v>64762.599999999977</v>
      </c>
      <c r="M44" s="80">
        <f t="shared" si="25"/>
        <v>45900.200000000012</v>
      </c>
      <c r="N44" s="80">
        <f t="shared" si="26"/>
        <v>11881.549999999988</v>
      </c>
      <c r="O44" s="127"/>
      <c r="P44" s="122">
        <f t="shared" si="32"/>
        <v>-48685</v>
      </c>
      <c r="Q44" s="122">
        <f t="shared" si="32"/>
        <v>52787.666666666686</v>
      </c>
      <c r="R44" s="122">
        <f t="shared" si="32"/>
        <v>64762.599999999977</v>
      </c>
      <c r="S44" s="122">
        <f t="shared" si="32"/>
        <v>-45900.200000000012</v>
      </c>
      <c r="T44" s="122">
        <f t="shared" si="32"/>
        <v>-11881.549999999988</v>
      </c>
      <c r="U44" s="122"/>
      <c r="V44" s="188">
        <f t="shared" si="33"/>
        <v>0.15596668268460676</v>
      </c>
      <c r="W44" s="188">
        <f t="shared" si="33"/>
        <v>0.16910993646217104</v>
      </c>
      <c r="X44" s="188">
        <f t="shared" si="33"/>
        <v>0.20747268941214153</v>
      </c>
      <c r="Y44" s="188">
        <f t="shared" si="33"/>
        <v>0.14704533077046295</v>
      </c>
      <c r="Z44" s="188">
        <f t="shared" si="33"/>
        <v>3.8063591222168791E-2</v>
      </c>
      <c r="AA44" s="122"/>
      <c r="AB44" s="122"/>
    </row>
    <row r="45" spans="1:28">
      <c r="A45" s="90">
        <v>2007</v>
      </c>
      <c r="B45" s="73">
        <f>CBR!B130</f>
        <v>117182</v>
      </c>
      <c r="C45" s="73"/>
      <c r="D45" s="96">
        <f t="shared" si="28"/>
        <v>312150</v>
      </c>
      <c r="E45" s="96">
        <f t="shared" si="29"/>
        <v>347824.66666666669</v>
      </c>
      <c r="F45" s="96">
        <f t="shared" si="30"/>
        <v>389048</v>
      </c>
      <c r="G45" s="96">
        <f t="shared" si="21"/>
        <v>278160.59999999998</v>
      </c>
      <c r="H45" s="96">
        <f t="shared" si="31"/>
        <v>301076.95</v>
      </c>
      <c r="I45" s="99"/>
      <c r="J45" s="99">
        <f t="shared" si="22"/>
        <v>194968</v>
      </c>
      <c r="K45" s="99">
        <f t="shared" si="23"/>
        <v>230642.66666666669</v>
      </c>
      <c r="L45" s="99">
        <f t="shared" si="24"/>
        <v>271866</v>
      </c>
      <c r="M45" s="80">
        <f t="shared" si="25"/>
        <v>160978.59999999998</v>
      </c>
      <c r="N45" s="80">
        <f t="shared" si="26"/>
        <v>183894.95</v>
      </c>
      <c r="O45" s="127"/>
      <c r="P45" s="122">
        <f t="shared" ref="P45:T47" si="34">D45-$B45</f>
        <v>194968</v>
      </c>
      <c r="Q45" s="122">
        <f t="shared" si="34"/>
        <v>230642.66666666669</v>
      </c>
      <c r="R45" s="122">
        <f t="shared" si="34"/>
        <v>271866</v>
      </c>
      <c r="S45" s="122">
        <f t="shared" si="34"/>
        <v>160978.59999999998</v>
      </c>
      <c r="T45" s="122">
        <f t="shared" si="34"/>
        <v>183894.95</v>
      </c>
      <c r="U45" s="122"/>
      <c r="V45" s="188">
        <f t="shared" ref="V45:Z47" si="35">ABS(($B45-D45)/$B45)</f>
        <v>1.6638050212489972</v>
      </c>
      <c r="W45" s="188">
        <f t="shared" si="35"/>
        <v>1.9682431317665399</v>
      </c>
      <c r="X45" s="188">
        <f t="shared" si="35"/>
        <v>2.3200320868392756</v>
      </c>
      <c r="Y45" s="188">
        <f t="shared" si="35"/>
        <v>1.3737485279309107</v>
      </c>
      <c r="Z45" s="188">
        <f t="shared" si="35"/>
        <v>1.5693105596422661</v>
      </c>
      <c r="AA45" s="122"/>
      <c r="AB45" s="122"/>
    </row>
    <row r="46" spans="1:28">
      <c r="A46" s="90">
        <v>2008</v>
      </c>
      <c r="B46" s="73">
        <f>CBR!B131</f>
        <v>202412</v>
      </c>
      <c r="C46" s="73"/>
      <c r="D46" s="265">
        <f t="shared" si="28"/>
        <v>117182</v>
      </c>
      <c r="E46" s="265">
        <f t="shared" si="29"/>
        <v>230932.33333333334</v>
      </c>
      <c r="F46" s="265">
        <f t="shared" si="30"/>
        <v>304829</v>
      </c>
      <c r="G46" s="265">
        <f t="shared" si="21"/>
        <v>288013.2</v>
      </c>
      <c r="H46" s="265">
        <f t="shared" si="31"/>
        <v>301356.09999999998</v>
      </c>
      <c r="I46" s="99"/>
      <c r="J46" s="99">
        <f t="shared" ref="J46:J51" si="36">ABS(D46-B46)</f>
        <v>85230</v>
      </c>
      <c r="K46" s="99">
        <f t="shared" ref="K46:K51" si="37">ABS(E46-B46)</f>
        <v>28520.333333333343</v>
      </c>
      <c r="L46" s="99">
        <f t="shared" ref="L46:L51" si="38">ABS(F46-B46)</f>
        <v>102417</v>
      </c>
      <c r="M46" s="80">
        <f t="shared" ref="M46:M51" si="39">ABS(G46-B46)</f>
        <v>85601.200000000012</v>
      </c>
      <c r="N46" s="80">
        <f t="shared" ref="N46:N51" si="40">ABS(H46-B46)</f>
        <v>98944.099999999977</v>
      </c>
      <c r="O46" s="127"/>
      <c r="P46" s="122">
        <f t="shared" si="34"/>
        <v>-85230</v>
      </c>
      <c r="Q46" s="122">
        <f t="shared" si="34"/>
        <v>28520.333333333343</v>
      </c>
      <c r="R46" s="122">
        <f t="shared" si="34"/>
        <v>102417</v>
      </c>
      <c r="S46" s="122">
        <f t="shared" si="34"/>
        <v>85601.200000000012</v>
      </c>
      <c r="T46" s="122">
        <f t="shared" si="34"/>
        <v>98944.099999999977</v>
      </c>
      <c r="U46" s="122"/>
      <c r="V46" s="188">
        <f t="shared" si="35"/>
        <v>0.42107187320909828</v>
      </c>
      <c r="W46" s="188">
        <f t="shared" si="35"/>
        <v>0.14090238391663212</v>
      </c>
      <c r="X46" s="188">
        <f t="shared" si="35"/>
        <v>0.50598284686678652</v>
      </c>
      <c r="Y46" s="188">
        <f t="shared" si="35"/>
        <v>0.42290575657569718</v>
      </c>
      <c r="Z46" s="188">
        <f t="shared" si="35"/>
        <v>0.48882526727664355</v>
      </c>
      <c r="AA46" s="122"/>
      <c r="AB46" s="122"/>
    </row>
    <row r="47" spans="1:28">
      <c r="A47" s="90">
        <v>2009</v>
      </c>
      <c r="B47" s="73">
        <f>CBR!B132</f>
        <v>207776</v>
      </c>
      <c r="C47" s="73"/>
      <c r="D47" s="265">
        <f t="shared" si="28"/>
        <v>202412</v>
      </c>
      <c r="E47" s="265">
        <f t="shared" si="29"/>
        <v>210581.33333333334</v>
      </c>
      <c r="F47" s="265">
        <f t="shared" ref="F47:F52" si="41">AVERAGE(B42:B46)</f>
        <v>272613.59999999998</v>
      </c>
      <c r="G47" s="265">
        <f t="shared" ref="G47:G52" si="42">AVERAGE(B37:B46)</f>
        <v>297431.2</v>
      </c>
      <c r="H47" s="265">
        <f t="shared" ref="H47:H52" si="43">AVERAGE(B27:B46)</f>
        <v>295698.3</v>
      </c>
      <c r="I47" s="99"/>
      <c r="J47" s="99">
        <f t="shared" si="36"/>
        <v>5364</v>
      </c>
      <c r="K47" s="99">
        <f t="shared" si="37"/>
        <v>2805.333333333343</v>
      </c>
      <c r="L47" s="99">
        <f t="shared" si="38"/>
        <v>64837.599999999977</v>
      </c>
      <c r="M47" s="80">
        <f t="shared" si="39"/>
        <v>89655.200000000012</v>
      </c>
      <c r="N47" s="80">
        <f t="shared" si="40"/>
        <v>87922.299999999988</v>
      </c>
      <c r="O47" s="127"/>
      <c r="P47" s="122">
        <f t="shared" si="34"/>
        <v>-5364</v>
      </c>
      <c r="Q47" s="122">
        <f t="shared" si="34"/>
        <v>2805.333333333343</v>
      </c>
      <c r="R47" s="122">
        <f t="shared" si="34"/>
        <v>64837.599999999977</v>
      </c>
      <c r="S47" s="122">
        <f t="shared" si="34"/>
        <v>89655.200000000012</v>
      </c>
      <c r="T47" s="122">
        <f t="shared" si="34"/>
        <v>87922.299999999988</v>
      </c>
      <c r="U47" s="122"/>
      <c r="V47" s="188">
        <f t="shared" si="35"/>
        <v>2.5816263668566149E-2</v>
      </c>
      <c r="W47" s="188">
        <f t="shared" si="35"/>
        <v>1.3501719800811177E-2</v>
      </c>
      <c r="X47" s="188">
        <f t="shared" si="35"/>
        <v>0.31205529031264428</v>
      </c>
      <c r="Y47" s="188">
        <f t="shared" si="35"/>
        <v>0.43149930694594185</v>
      </c>
      <c r="Z47" s="188">
        <f t="shared" si="35"/>
        <v>0.42315907515786227</v>
      </c>
      <c r="AA47" s="122"/>
      <c r="AB47" s="122"/>
    </row>
    <row r="48" spans="1:28">
      <c r="A48" s="90">
        <v>2010</v>
      </c>
      <c r="B48" s="73">
        <f>CBR!B133</f>
        <v>210621</v>
      </c>
      <c r="C48" s="73"/>
      <c r="D48" s="281">
        <f t="shared" si="28"/>
        <v>207776</v>
      </c>
      <c r="E48" s="281">
        <f t="shared" si="29"/>
        <v>175790</v>
      </c>
      <c r="F48" s="281">
        <f t="shared" si="41"/>
        <v>220597</v>
      </c>
      <c r="G48" s="281">
        <f t="shared" si="42"/>
        <v>302902.7</v>
      </c>
      <c r="H48" s="281">
        <f t="shared" si="43"/>
        <v>296364.40000000002</v>
      </c>
      <c r="I48" s="99"/>
      <c r="J48" s="99">
        <f t="shared" si="36"/>
        <v>2845</v>
      </c>
      <c r="K48" s="99">
        <f t="shared" si="37"/>
        <v>34831</v>
      </c>
      <c r="L48" s="99">
        <f t="shared" si="38"/>
        <v>9976</v>
      </c>
      <c r="M48" s="80">
        <f t="shared" si="39"/>
        <v>92281.700000000012</v>
      </c>
      <c r="N48" s="80">
        <f t="shared" si="40"/>
        <v>85743.400000000023</v>
      </c>
      <c r="O48" s="127"/>
      <c r="P48" s="122">
        <f t="shared" ref="P48:T50" si="44">D48-$B48</f>
        <v>-2845</v>
      </c>
      <c r="Q48" s="122">
        <f t="shared" si="44"/>
        <v>-34831</v>
      </c>
      <c r="R48" s="122">
        <f t="shared" si="44"/>
        <v>9976</v>
      </c>
      <c r="S48" s="122">
        <f t="shared" si="44"/>
        <v>92281.700000000012</v>
      </c>
      <c r="T48" s="122">
        <f t="shared" si="44"/>
        <v>85743.400000000023</v>
      </c>
      <c r="U48" s="122"/>
      <c r="V48" s="188">
        <f t="shared" ref="V48:Z50" si="45">ABS(($B48-D48)/$B48)</f>
        <v>1.3507674923203289E-2</v>
      </c>
      <c r="W48" s="188">
        <f t="shared" si="45"/>
        <v>0.16537287355012084</v>
      </c>
      <c r="X48" s="188">
        <f t="shared" si="45"/>
        <v>4.7364697727197196E-2</v>
      </c>
      <c r="Y48" s="188">
        <f t="shared" si="45"/>
        <v>0.43814102107577124</v>
      </c>
      <c r="Z48" s="188">
        <f t="shared" si="45"/>
        <v>0.40709805764857265</v>
      </c>
      <c r="AA48" s="122"/>
      <c r="AB48" s="122"/>
    </row>
    <row r="49" spans="1:28">
      <c r="A49" s="90">
        <v>2011</v>
      </c>
      <c r="B49" s="73">
        <f>CBR!B134</f>
        <v>127502</v>
      </c>
      <c r="C49" s="73"/>
      <c r="D49" s="281">
        <f>B48</f>
        <v>210621</v>
      </c>
      <c r="E49" s="281">
        <f>AVERAGE(B46:B48)</f>
        <v>206936.33333333334</v>
      </c>
      <c r="F49" s="281">
        <f t="shared" si="41"/>
        <v>210028.2</v>
      </c>
      <c r="G49" s="281">
        <f t="shared" si="42"/>
        <v>293470.40000000002</v>
      </c>
      <c r="H49" s="281">
        <f t="shared" si="43"/>
        <v>294555.59999999998</v>
      </c>
      <c r="I49" s="99"/>
      <c r="J49" s="99">
        <f t="shared" si="36"/>
        <v>83119</v>
      </c>
      <c r="K49" s="99">
        <f t="shared" si="37"/>
        <v>79434.333333333343</v>
      </c>
      <c r="L49" s="99">
        <f t="shared" si="38"/>
        <v>82526.200000000012</v>
      </c>
      <c r="M49" s="80">
        <f t="shared" si="39"/>
        <v>165968.40000000002</v>
      </c>
      <c r="N49" s="80">
        <f t="shared" si="40"/>
        <v>167053.59999999998</v>
      </c>
      <c r="O49" s="127"/>
      <c r="P49" s="122">
        <f t="shared" si="44"/>
        <v>83119</v>
      </c>
      <c r="Q49" s="122">
        <f t="shared" si="44"/>
        <v>79434.333333333343</v>
      </c>
      <c r="R49" s="122">
        <f t="shared" si="44"/>
        <v>82526.200000000012</v>
      </c>
      <c r="S49" s="122">
        <f t="shared" si="44"/>
        <v>165968.40000000002</v>
      </c>
      <c r="T49" s="122">
        <f t="shared" si="44"/>
        <v>167053.59999999998</v>
      </c>
      <c r="U49" s="122"/>
      <c r="V49" s="188">
        <f t="shared" si="45"/>
        <v>0.65190349955294824</v>
      </c>
      <c r="W49" s="188">
        <f t="shared" si="45"/>
        <v>0.62300460646368949</v>
      </c>
      <c r="X49" s="188">
        <f t="shared" si="45"/>
        <v>0.64725416071904762</v>
      </c>
      <c r="Y49" s="188">
        <f t="shared" si="45"/>
        <v>1.301692522470236</v>
      </c>
      <c r="Z49" s="188">
        <f t="shared" si="45"/>
        <v>1.3102037615096231</v>
      </c>
      <c r="AA49" s="122"/>
      <c r="AB49" s="122"/>
    </row>
    <row r="50" spans="1:28">
      <c r="A50" s="90">
        <v>2012</v>
      </c>
      <c r="B50" s="73">
        <f>CBR!B135</f>
        <v>131250</v>
      </c>
      <c r="C50" s="73"/>
      <c r="D50" s="281">
        <f>B49</f>
        <v>127502</v>
      </c>
      <c r="E50" s="281">
        <f>AVERAGE(B47:B49)</f>
        <v>181966.33333333334</v>
      </c>
      <c r="F50" s="281">
        <f t="shared" si="41"/>
        <v>173098.6</v>
      </c>
      <c r="G50" s="281">
        <f t="shared" si="42"/>
        <v>281073.3</v>
      </c>
      <c r="H50" s="281">
        <f t="shared" si="43"/>
        <v>281676.40000000002</v>
      </c>
      <c r="I50" s="99"/>
      <c r="J50" s="99">
        <f t="shared" si="36"/>
        <v>3748</v>
      </c>
      <c r="K50" s="99">
        <f t="shared" si="37"/>
        <v>50716.333333333343</v>
      </c>
      <c r="L50" s="99">
        <f t="shared" si="38"/>
        <v>41848.600000000006</v>
      </c>
      <c r="M50" s="80">
        <f t="shared" si="39"/>
        <v>149823.29999999999</v>
      </c>
      <c r="N50" s="80">
        <f t="shared" si="40"/>
        <v>150426.40000000002</v>
      </c>
      <c r="O50" s="127"/>
      <c r="P50" s="122">
        <f t="shared" si="44"/>
        <v>-3748</v>
      </c>
      <c r="Q50" s="122">
        <f t="shared" si="44"/>
        <v>50716.333333333343</v>
      </c>
      <c r="R50" s="122">
        <f t="shared" si="44"/>
        <v>41848.600000000006</v>
      </c>
      <c r="S50" s="122">
        <f t="shared" si="44"/>
        <v>149823.29999999999</v>
      </c>
      <c r="T50" s="122">
        <f t="shared" si="44"/>
        <v>150426.40000000002</v>
      </c>
      <c r="U50" s="122"/>
      <c r="V50" s="188">
        <f t="shared" si="45"/>
        <v>2.8556190476190475E-2</v>
      </c>
      <c r="W50" s="188">
        <f t="shared" si="45"/>
        <v>0.38641015873015883</v>
      </c>
      <c r="X50" s="188">
        <f t="shared" si="45"/>
        <v>0.31884647619047624</v>
      </c>
      <c r="Y50" s="188">
        <f t="shared" si="45"/>
        <v>1.1415108571428572</v>
      </c>
      <c r="Z50" s="188">
        <f t="shared" si="45"/>
        <v>1.1461059047619049</v>
      </c>
      <c r="AA50" s="122"/>
      <c r="AB50" s="122"/>
    </row>
    <row r="51" spans="1:28" ht="15.75" thickBot="1">
      <c r="A51" s="90">
        <v>2013</v>
      </c>
      <c r="B51" s="73">
        <f>CBR!B136</f>
        <v>244985</v>
      </c>
      <c r="C51" s="73"/>
      <c r="D51" s="316">
        <f>B50</f>
        <v>131250</v>
      </c>
      <c r="E51" s="316">
        <f>AVERAGE(B48:B50)</f>
        <v>156457.66666666666</v>
      </c>
      <c r="F51" s="316">
        <f t="shared" si="41"/>
        <v>175912.2</v>
      </c>
      <c r="G51" s="316">
        <f t="shared" si="42"/>
        <v>240370.6</v>
      </c>
      <c r="H51" s="316">
        <f t="shared" si="43"/>
        <v>273657.55</v>
      </c>
      <c r="I51" s="99"/>
      <c r="J51" s="99">
        <f t="shared" si="36"/>
        <v>113735</v>
      </c>
      <c r="K51" s="99">
        <f t="shared" si="37"/>
        <v>88527.333333333343</v>
      </c>
      <c r="L51" s="99">
        <f t="shared" si="38"/>
        <v>69072.799999999988</v>
      </c>
      <c r="M51" s="80">
        <f t="shared" si="39"/>
        <v>4614.3999999999942</v>
      </c>
      <c r="N51" s="80">
        <f t="shared" si="40"/>
        <v>28672.549999999988</v>
      </c>
      <c r="O51" s="127"/>
      <c r="P51" s="122">
        <f t="shared" ref="P51" si="46">D51-$B51</f>
        <v>-113735</v>
      </c>
      <c r="Q51" s="122">
        <f t="shared" ref="Q51" si="47">E51-$B51</f>
        <v>-88527.333333333343</v>
      </c>
      <c r="R51" s="122">
        <f t="shared" ref="R51" si="48">F51-$B51</f>
        <v>-69072.799999999988</v>
      </c>
      <c r="S51" s="122">
        <f t="shared" ref="S51" si="49">G51-$B51</f>
        <v>-4614.3999999999942</v>
      </c>
      <c r="T51" s="122">
        <f t="shared" ref="T51" si="50">H51-$B51</f>
        <v>28672.549999999988</v>
      </c>
      <c r="U51" s="122"/>
      <c r="V51" s="188">
        <f t="shared" ref="V51" si="51">ABS(($B51-D51)/$B51)</f>
        <v>0.46425291344368025</v>
      </c>
      <c r="W51" s="188">
        <f t="shared" ref="W51" si="52">ABS(($B51-E51)/$B51)</f>
        <v>0.3613581783918744</v>
      </c>
      <c r="X51" s="188">
        <f t="shared" ref="X51" si="53">ABS(($B51-F51)/$B51)</f>
        <v>0.28194705798314179</v>
      </c>
      <c r="Y51" s="188">
        <f t="shared" ref="Y51" si="54">ABS(($B51-G51)/$B51)</f>
        <v>1.8835438904422696E-2</v>
      </c>
      <c r="Z51" s="188">
        <f t="shared" ref="Z51" si="55">ABS(($B51-H51)/$B51)</f>
        <v>0.1170379819172602</v>
      </c>
      <c r="AA51" s="122"/>
      <c r="AB51" s="122"/>
    </row>
    <row r="52" spans="1:28" ht="15.75" thickBot="1">
      <c r="A52" s="90">
        <v>2014</v>
      </c>
      <c r="B52" s="73"/>
      <c r="C52" s="73"/>
      <c r="D52" s="289">
        <f>B51</f>
        <v>244985</v>
      </c>
      <c r="E52" s="290">
        <f>AVERAGE(B49:B51)</f>
        <v>167912.33333333334</v>
      </c>
      <c r="F52" s="290">
        <f t="shared" si="41"/>
        <v>184426.8</v>
      </c>
      <c r="G52" s="290">
        <f t="shared" si="42"/>
        <v>228520.2</v>
      </c>
      <c r="H52" s="291">
        <f t="shared" si="43"/>
        <v>271833.34999999998</v>
      </c>
      <c r="I52" s="99"/>
      <c r="J52" s="99"/>
      <c r="K52" s="99"/>
      <c r="L52" s="99"/>
      <c r="M52" s="80"/>
      <c r="N52" s="80"/>
      <c r="O52" s="127"/>
      <c r="P52" s="122"/>
      <c r="Q52" s="122"/>
      <c r="R52" s="122"/>
      <c r="S52" s="122"/>
      <c r="T52" s="122"/>
      <c r="U52" s="122"/>
      <c r="V52" s="188"/>
      <c r="W52" s="188"/>
      <c r="X52" s="188"/>
      <c r="Y52" s="188"/>
      <c r="Z52" s="188"/>
      <c r="AA52" s="122"/>
      <c r="AB52" s="122"/>
    </row>
    <row r="53" spans="1:28">
      <c r="A53" s="90"/>
      <c r="B53" s="73"/>
      <c r="C53" s="73"/>
      <c r="D53" s="265"/>
      <c r="E53" s="265"/>
      <c r="F53" s="265"/>
      <c r="G53" s="265"/>
      <c r="H53" s="265"/>
      <c r="I53" s="99"/>
      <c r="J53" s="99"/>
      <c r="K53" s="99"/>
      <c r="L53" s="99"/>
      <c r="M53" s="80"/>
      <c r="N53" s="80"/>
      <c r="O53" s="127"/>
      <c r="P53" s="122"/>
      <c r="Q53" s="122"/>
      <c r="R53" s="122"/>
      <c r="S53" s="122"/>
      <c r="T53" s="122"/>
      <c r="U53" s="122"/>
      <c r="V53" s="188"/>
      <c r="W53" s="188"/>
      <c r="X53" s="188"/>
      <c r="Y53" s="188"/>
      <c r="Z53" s="188"/>
      <c r="AA53" s="122"/>
      <c r="AB53" s="122"/>
    </row>
    <row r="54" spans="1:28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60"/>
      <c r="V54" s="189"/>
      <c r="W54" s="189"/>
      <c r="X54" s="189"/>
      <c r="Y54" s="189"/>
      <c r="Z54" s="189"/>
      <c r="AA54" s="60"/>
      <c r="AB54" s="60"/>
    </row>
    <row r="55" spans="1:28">
      <c r="A55" s="38" t="s">
        <v>115</v>
      </c>
      <c r="G55" s="94"/>
      <c r="H55" s="114" t="s">
        <v>113</v>
      </c>
      <c r="I55" s="94"/>
      <c r="J55" s="160">
        <f>AVERAGE(J9:J54)</f>
        <v>118591.13953488372</v>
      </c>
      <c r="K55" s="160">
        <f>AVERAGE(K11:K54)</f>
        <v>114660.569105691</v>
      </c>
      <c r="L55" s="160">
        <f>AVERAGE(L14:L54)</f>
        <v>134475.93157894735</v>
      </c>
      <c r="M55" s="160">
        <f>AVERAGE(M18:M54)</f>
        <v>128889.75294117648</v>
      </c>
      <c r="N55" s="160">
        <f>AVERAGE(N19:N54)</f>
        <v>128641.70833333333</v>
      </c>
      <c r="O55" s="232"/>
      <c r="P55" s="230">
        <f>SUM(P9:P54)</f>
        <v>-83093</v>
      </c>
      <c r="Q55" s="230">
        <f>SUM(Q9:Q54)</f>
        <v>-78533.999999999796</v>
      </c>
      <c r="R55" s="230">
        <f>SUM(R9:R54)</f>
        <v>-298754.2000000003</v>
      </c>
      <c r="S55" s="230">
        <f>SUM(S9:S54)</f>
        <v>-304370.79999999981</v>
      </c>
      <c r="T55" s="230">
        <f>SUM(T9:T54)</f>
        <v>253168.1999999999</v>
      </c>
      <c r="U55" s="232"/>
      <c r="V55" s="190">
        <f>AVERAGE(V9:V54)</f>
        <v>0.72424161363145934</v>
      </c>
      <c r="W55" s="190">
        <f>AVERAGE(W11:W54)</f>
        <v>1.1001977927492013</v>
      </c>
      <c r="X55" s="190">
        <f>AVERAGE(X14:X54)</f>
        <v>1.0693867031238486</v>
      </c>
      <c r="Y55" s="190">
        <f>AVERAGE(Y18:Y54)</f>
        <v>0.98039182243936096</v>
      </c>
      <c r="Z55" s="190">
        <f>AVERAGE(Z19:Z54)</f>
        <v>1.1676625165341405</v>
      </c>
      <c r="AA55" s="103"/>
      <c r="AB55" s="103"/>
    </row>
    <row r="56" spans="1:28" ht="15.75">
      <c r="A56" s="318" t="str">
        <f>"1970-"&amp; (Forecast_Yr-1)</f>
        <v>1970-2013</v>
      </c>
      <c r="B56" s="234">
        <f>AVERAGE(B8:B54)</f>
        <v>252711.97727272726</v>
      </c>
      <c r="D56" t="s">
        <v>175</v>
      </c>
      <c r="H56" s="59" t="s">
        <v>121</v>
      </c>
      <c r="J56" s="80">
        <f>MIN(J9:J54)</f>
        <v>2845</v>
      </c>
      <c r="K56" s="80">
        <f>MIN(K9:K54)</f>
        <v>1409</v>
      </c>
      <c r="L56" s="80">
        <f>MIN(L9:L54)</f>
        <v>2934.3999999999942</v>
      </c>
      <c r="M56" s="80">
        <f>MIN(M9:M54)</f>
        <v>4614.3999999999942</v>
      </c>
      <c r="N56" s="80">
        <f>MIN(N9:N54)</f>
        <v>4406.8499999999767</v>
      </c>
      <c r="O56" s="103"/>
      <c r="P56" s="103"/>
      <c r="Q56" s="103"/>
      <c r="R56" s="103"/>
      <c r="S56" s="103"/>
      <c r="T56" s="103"/>
      <c r="U56" s="186"/>
      <c r="V56" s="188">
        <f>MIN(V9:V54)</f>
        <v>1.3507674923203289E-2</v>
      </c>
      <c r="W56" s="188">
        <f>MIN(W9:W54)</f>
        <v>3.8763208790362296E-3</v>
      </c>
      <c r="X56" s="188">
        <f>MIN(X9:X54)</f>
        <v>1.8607377721880643E-2</v>
      </c>
      <c r="Y56" s="188">
        <f>MIN(Y9:Y54)</f>
        <v>1.8835438904422696E-2</v>
      </c>
      <c r="Z56" s="188">
        <f>MIN(Z9:Z54)</f>
        <v>1.4451341885723204E-2</v>
      </c>
      <c r="AA56" s="103"/>
      <c r="AB56" s="103"/>
    </row>
    <row r="57" spans="1:28" ht="15.75">
      <c r="A57" s="318" t="str">
        <f>(Forecast_Yr -10)&amp;"-"&amp;(Forecast_Yr-1)</f>
        <v>2004-2013</v>
      </c>
      <c r="B57" s="235">
        <f>AVERAGE(B41:B54)</f>
        <v>240790.09090909091</v>
      </c>
      <c r="D57" t="s">
        <v>176</v>
      </c>
      <c r="H57" s="59" t="s">
        <v>122</v>
      </c>
      <c r="J57" s="80">
        <f>MAX(J9:J54)</f>
        <v>396164</v>
      </c>
      <c r="K57" s="80">
        <f>MAX(K9:K54)</f>
        <v>452455</v>
      </c>
      <c r="L57" s="80">
        <f>MAX(L9:L54)</f>
        <v>397746.4</v>
      </c>
      <c r="M57" s="80">
        <f>MAX(M9:M54)</f>
        <v>368332.79999999999</v>
      </c>
      <c r="N57" s="80">
        <f>MAX(N9:N54)</f>
        <v>423814.5</v>
      </c>
      <c r="O57" s="103"/>
      <c r="P57" s="103"/>
      <c r="Q57" s="103"/>
      <c r="R57" s="103"/>
      <c r="S57" s="103"/>
      <c r="T57" s="103"/>
      <c r="U57" s="186"/>
      <c r="V57" s="188">
        <f>MAX(V9:V54)</f>
        <v>9.3474485420240132</v>
      </c>
      <c r="W57" s="188">
        <f>MAX(W9:W54)</f>
        <v>24.252519296740996</v>
      </c>
      <c r="X57" s="188">
        <f>MAX(X9:X54)</f>
        <v>20.295336620926243</v>
      </c>
      <c r="Y57" s="188">
        <f>MAX(Y9:Y54)</f>
        <v>16.366707761578045</v>
      </c>
      <c r="Z57" s="188">
        <f>MAX(Z9:Z54)</f>
        <v>15.824005681818184</v>
      </c>
      <c r="AA57" s="103"/>
      <c r="AB57" s="103"/>
    </row>
    <row r="58" spans="1:28" ht="15.75">
      <c r="A58" s="318" t="str">
        <f>(Forecast_Yr -5)&amp;"-"&amp;(Forecast_Yr-1)</f>
        <v>2009-2013</v>
      </c>
      <c r="B58" s="236">
        <f>AVERAGE(B46:B54)</f>
        <v>187424.33333333334</v>
      </c>
      <c r="C58" s="87"/>
      <c r="D58" s="87" t="s">
        <v>177</v>
      </c>
      <c r="E58" s="87"/>
      <c r="F58" s="87"/>
      <c r="G58" s="87"/>
      <c r="H58" s="79" t="s">
        <v>123</v>
      </c>
      <c r="I58" s="87"/>
      <c r="J58" s="159">
        <f>STDEV(J9:J54)</f>
        <v>94377.137262354008</v>
      </c>
      <c r="K58" s="159">
        <f>STDEV(K9:K54)</f>
        <v>108464.41929438442</v>
      </c>
      <c r="L58" s="159">
        <f>STDEV(L9:L54)</f>
        <v>105628.79145230298</v>
      </c>
      <c r="M58" s="159">
        <f>STDEV(M9:M54)</f>
        <v>100972.22916947149</v>
      </c>
      <c r="N58" s="159">
        <f>STDEV(N9:N54)</f>
        <v>102278.36085924345</v>
      </c>
      <c r="O58" s="161"/>
      <c r="P58" s="161"/>
      <c r="Q58" s="161"/>
      <c r="R58" s="161"/>
      <c r="S58" s="161"/>
      <c r="T58" s="161"/>
      <c r="U58" s="161"/>
      <c r="V58" s="192">
        <f>STDEV(V9:V54)</f>
        <v>1.4267661357165309</v>
      </c>
      <c r="W58" s="192">
        <f>STDEV(W9:W54)</f>
        <v>3.7552639161509358</v>
      </c>
      <c r="X58" s="192">
        <f>STDEV(X9:X54)</f>
        <v>3.2563217372272901</v>
      </c>
      <c r="Y58" s="192">
        <f>STDEV(Y9:Y54)</f>
        <v>2.7605847505668919</v>
      </c>
      <c r="Z58" s="192">
        <f>STDEV(Z9:Z54)</f>
        <v>3.1606266625369899</v>
      </c>
      <c r="AA58" s="186"/>
      <c r="AB58" s="186"/>
    </row>
    <row r="59" spans="1:28" ht="9.75" customHeight="1"/>
    <row r="60" spans="1:28" ht="15" customHeight="1">
      <c r="A60" s="121" t="s">
        <v>136</v>
      </c>
    </row>
    <row r="61" spans="1:28" ht="15" customHeight="1"/>
    <row r="62" spans="1:28" ht="15" customHeight="1">
      <c r="A62" s="121" t="s">
        <v>139</v>
      </c>
    </row>
    <row r="63" spans="1:28" ht="15" customHeight="1"/>
    <row r="64" spans="1:28" ht="15" customHeight="1">
      <c r="A64" s="121" t="s">
        <v>140</v>
      </c>
    </row>
    <row r="65" spans="1:12" ht="15" customHeight="1">
      <c r="A65" s="59"/>
    </row>
    <row r="66" spans="1:12" ht="15" customHeight="1">
      <c r="A66" s="59"/>
    </row>
    <row r="67" spans="1:12" ht="29.25" customHeight="1">
      <c r="A67" s="59"/>
      <c r="D67" s="207" t="s">
        <v>253</v>
      </c>
      <c r="E67" s="207"/>
      <c r="F67" s="207"/>
      <c r="G67" s="207"/>
      <c r="H67" s="207"/>
    </row>
    <row r="68" spans="1:12" ht="15" customHeight="1">
      <c r="A68" s="59"/>
      <c r="D68" s="206" t="s">
        <v>106</v>
      </c>
      <c r="E68" s="194"/>
      <c r="F68" s="194"/>
      <c r="G68" s="194"/>
      <c r="H68" s="194"/>
    </row>
    <row r="69" spans="1:12" ht="15" customHeight="1">
      <c r="A69" s="59"/>
      <c r="D69" s="79" t="s">
        <v>19</v>
      </c>
      <c r="E69" s="79" t="s">
        <v>161</v>
      </c>
      <c r="F69" s="79" t="s">
        <v>162</v>
      </c>
      <c r="G69" s="79" t="s">
        <v>163</v>
      </c>
      <c r="H69" s="79" t="s">
        <v>164</v>
      </c>
    </row>
    <row r="70" spans="1:12" ht="15" customHeight="1">
      <c r="C70" s="200" t="s">
        <v>75</v>
      </c>
      <c r="D70" s="201">
        <f>D51</f>
        <v>131250</v>
      </c>
      <c r="E70" s="201">
        <f>E51</f>
        <v>156457.66666666666</v>
      </c>
      <c r="F70" s="201">
        <f>F51</f>
        <v>175912.2</v>
      </c>
      <c r="G70" s="201">
        <f>G52</f>
        <v>228520.2</v>
      </c>
      <c r="H70" s="201">
        <f>H51</f>
        <v>273657.55</v>
      </c>
    </row>
    <row r="71" spans="1:12" ht="21.75" customHeight="1">
      <c r="C71" s="200" t="s">
        <v>168</v>
      </c>
      <c r="D71" s="201"/>
      <c r="E71" s="201">
        <f>MEDIAN($B48:$B50)</f>
        <v>131250</v>
      </c>
      <c r="F71" s="201">
        <f>MEDIAN($B46:$B50)</f>
        <v>202412</v>
      </c>
      <c r="G71" s="201">
        <f>MEDIAN($B42:$B51)</f>
        <v>209198.5</v>
      </c>
      <c r="H71" s="201">
        <f>MEDIAN($B31:$B50)</f>
        <v>231047</v>
      </c>
    </row>
    <row r="72" spans="1:12" ht="15" customHeight="1">
      <c r="C72" s="200" t="s">
        <v>76</v>
      </c>
      <c r="D72" s="201"/>
      <c r="E72" s="201">
        <f>MINA($B48:$B50)</f>
        <v>127502</v>
      </c>
      <c r="F72" s="201">
        <f>MINA($B46:$B50)</f>
        <v>127502</v>
      </c>
      <c r="G72" s="201">
        <f>MINA($B42:$B51)</f>
        <v>117182</v>
      </c>
      <c r="H72" s="201">
        <f>MINA($B31:$B50)</f>
        <v>18656</v>
      </c>
    </row>
    <row r="73" spans="1:12" ht="15" customHeight="1">
      <c r="C73" s="200" t="s">
        <v>77</v>
      </c>
      <c r="D73" s="201"/>
      <c r="E73" s="201">
        <f>MAXA($B48:$B50)</f>
        <v>210621</v>
      </c>
      <c r="F73" s="201">
        <f>MAXA($B46:$B50)</f>
        <v>210621</v>
      </c>
      <c r="G73" s="201">
        <f>MAXA($B42:$B51)</f>
        <v>467859</v>
      </c>
      <c r="H73" s="201">
        <f>MAXA($B31:$B50)</f>
        <v>677633</v>
      </c>
      <c r="K73" s="182">
        <f>AVERAGE(K9:K53)</f>
        <v>114660.569105691</v>
      </c>
      <c r="L73" s="191">
        <f>AVERAGE(L9:L54)</f>
        <v>134475.93157894735</v>
      </c>
    </row>
    <row r="74" spans="1:12" ht="15" customHeight="1">
      <c r="C74" s="200" t="s">
        <v>45</v>
      </c>
      <c r="D74" s="201"/>
      <c r="E74" s="201">
        <f>COUNTA($B48:$B50)</f>
        <v>3</v>
      </c>
      <c r="F74" s="201">
        <f>COUNTA($B46:$B50)</f>
        <v>5</v>
      </c>
      <c r="G74" s="201">
        <f>COUNTA($B41:$B50)</f>
        <v>10</v>
      </c>
      <c r="H74" s="201">
        <f>COUNTA($B31:$B50)</f>
        <v>20</v>
      </c>
    </row>
    <row r="75" spans="1:12" ht="15" customHeight="1">
      <c r="C75" s="200" t="s">
        <v>180</v>
      </c>
      <c r="D75" s="201"/>
      <c r="E75" s="201">
        <f>(STDEVA(B48:B50))</f>
        <v>46944.24229160948</v>
      </c>
      <c r="F75" s="201">
        <f>(STDEVA(B46:B50))</f>
        <v>42604.288284162161</v>
      </c>
      <c r="G75" s="201">
        <f>(STDEVA(B42:B51))</f>
        <v>105020.60006367003</v>
      </c>
      <c r="H75" s="201">
        <f>(STDEVA(B31:B50))</f>
        <v>169741.59747112668</v>
      </c>
    </row>
    <row r="76" spans="1:12">
      <c r="C76" s="200" t="s">
        <v>47</v>
      </c>
      <c r="D76" s="202"/>
      <c r="E76" s="202">
        <v>1.96</v>
      </c>
      <c r="F76" s="202">
        <v>1.96</v>
      </c>
      <c r="G76" s="202">
        <v>1.96</v>
      </c>
      <c r="H76" s="202">
        <v>1.96</v>
      </c>
    </row>
    <row r="77" spans="1:12" ht="15.75" customHeight="1">
      <c r="C77" s="203" t="s">
        <v>182</v>
      </c>
      <c r="D77" s="201"/>
      <c r="E77" s="201">
        <f>E75*E76</f>
        <v>92010.714891554584</v>
      </c>
      <c r="F77" s="201">
        <f>F75*F76</f>
        <v>83504.405036957833</v>
      </c>
      <c r="G77" s="201">
        <f>G75*G76</f>
        <v>205840.37612479326</v>
      </c>
      <c r="H77" s="201">
        <f>H75*H76</f>
        <v>332693.53104340826</v>
      </c>
    </row>
    <row r="78" spans="1:12">
      <c r="C78" s="200" t="s">
        <v>59</v>
      </c>
      <c r="D78" s="204"/>
      <c r="E78" s="204">
        <f>IF(+E70-E77&lt;0,0,+E70-E77)</f>
        <v>64446.951775112073</v>
      </c>
      <c r="F78" s="204">
        <f>IF(+F70-F77&lt;0,0,+F70-F77)</f>
        <v>92407.794963042179</v>
      </c>
      <c r="G78" s="204">
        <f>IF(+G70-G77&lt;0,0,+G70-G77)</f>
        <v>22679.823875206755</v>
      </c>
      <c r="H78" s="204">
        <f>IF(+H70-H77&lt;0,0,+H70-H77)</f>
        <v>0</v>
      </c>
    </row>
    <row r="79" spans="1:12" ht="16.5" customHeight="1">
      <c r="C79" s="200" t="s">
        <v>78</v>
      </c>
      <c r="D79" s="205">
        <f>D70</f>
        <v>131250</v>
      </c>
      <c r="E79" s="205">
        <f>E70</f>
        <v>156457.66666666666</v>
      </c>
      <c r="F79" s="205">
        <f>F70</f>
        <v>175912.2</v>
      </c>
      <c r="G79" s="205">
        <f>G70</f>
        <v>228520.2</v>
      </c>
      <c r="H79" s="205">
        <f>H70</f>
        <v>273657.55</v>
      </c>
    </row>
    <row r="80" spans="1:12">
      <c r="C80" s="200" t="s">
        <v>60</v>
      </c>
      <c r="D80" s="205"/>
      <c r="E80" s="205">
        <f>E70+E77</f>
        <v>248468.38155822124</v>
      </c>
      <c r="F80" s="205">
        <f>F70+F77</f>
        <v>259416.60503695783</v>
      </c>
      <c r="G80" s="205">
        <f>G70+G77</f>
        <v>434360.57612479327</v>
      </c>
      <c r="H80" s="205">
        <f>H70+H77</f>
        <v>606351.08104340825</v>
      </c>
    </row>
  </sheetData>
  <phoneticPr fontId="17" type="noConversion"/>
  <printOptions horizontalCentered="1"/>
  <pageMargins left="1" right="1" top="1" bottom="1" header="0.5" footer="0.5"/>
  <pageSetup scale="3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3"/>
  <sheetViews>
    <sheetView zoomScale="75" workbookViewId="0">
      <pane ySplit="7" topLeftCell="A35" activePane="bottomLeft" state="frozen"/>
      <selection pane="bottomLeft" activeCell="A40" sqref="A40:XFD40"/>
    </sheetView>
  </sheetViews>
  <sheetFormatPr defaultRowHeight="15"/>
  <cols>
    <col min="3" max="3" width="8.6640625" customWidth="1"/>
    <col min="5" max="5" width="10.6640625" customWidth="1"/>
    <col min="6" max="6" width="1.77734375" customWidth="1"/>
    <col min="11" max="11" width="1.77734375" customWidth="1"/>
    <col min="16" max="16" width="1.77734375" customWidth="1"/>
    <col min="21" max="21" width="19.21875" customWidth="1"/>
    <col min="22" max="22" width="10.88671875" bestFit="1" customWidth="1"/>
    <col min="27" max="27" width="1.77734375" customWidth="1"/>
  </cols>
  <sheetData>
    <row r="1" spans="1:31" ht="15.75">
      <c r="A1" s="162" t="str">
        <f ca="1">CELL("filename",A1)</f>
        <v>O:\DCF\SALMON\FORECAST\2014\[2014_Copper_&amp;_ Bering_Wild_Coho_FINAL.xlsx]Total_Return_based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</row>
    <row r="2" spans="1:31" ht="15.7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31" ht="15.75">
      <c r="A3" s="185" t="s">
        <v>187</v>
      </c>
      <c r="B3" s="185" t="s">
        <v>194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31" ht="15.75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3"/>
    </row>
    <row r="5" spans="1:31" ht="18.75">
      <c r="A5" s="165"/>
      <c r="B5" s="163"/>
      <c r="C5" s="163"/>
      <c r="D5" s="163"/>
      <c r="E5" s="163"/>
      <c r="F5" s="163"/>
      <c r="G5" s="166" t="s">
        <v>110</v>
      </c>
      <c r="H5" s="166"/>
      <c r="I5" s="166"/>
      <c r="J5" s="167"/>
      <c r="K5" s="163"/>
      <c r="L5" s="166" t="s">
        <v>112</v>
      </c>
      <c r="M5" s="166"/>
      <c r="N5" s="166"/>
      <c r="O5" s="167"/>
      <c r="P5" s="163"/>
      <c r="Q5" s="124" t="s">
        <v>138</v>
      </c>
      <c r="R5" s="109"/>
      <c r="S5" s="102"/>
      <c r="T5" s="108"/>
      <c r="V5" s="123" t="s">
        <v>144</v>
      </c>
      <c r="W5" s="101"/>
      <c r="X5" s="101"/>
      <c r="Y5" s="101"/>
      <c r="Z5" s="109"/>
      <c r="AB5" s="123" t="s">
        <v>144</v>
      </c>
      <c r="AC5" s="101"/>
      <c r="AD5" s="101"/>
      <c r="AE5" s="101"/>
    </row>
    <row r="6" spans="1:31" ht="15.75">
      <c r="A6" s="168" t="s">
        <v>70</v>
      </c>
      <c r="B6" s="169"/>
      <c r="C6" s="168"/>
      <c r="D6" s="168"/>
      <c r="E6" s="168"/>
      <c r="F6" s="163"/>
      <c r="G6" s="183" t="s">
        <v>106</v>
      </c>
      <c r="H6" s="170" t="s">
        <v>108</v>
      </c>
      <c r="I6" s="170"/>
      <c r="J6" s="170"/>
      <c r="K6" s="163"/>
      <c r="L6" s="165" t="s">
        <v>106</v>
      </c>
      <c r="M6" s="170" t="s">
        <v>108</v>
      </c>
      <c r="N6" s="170"/>
      <c r="O6" s="170"/>
      <c r="P6" s="163"/>
      <c r="Q6" s="90" t="s">
        <v>106</v>
      </c>
      <c r="R6" s="95" t="s">
        <v>108</v>
      </c>
      <c r="S6" s="100"/>
      <c r="T6" s="100"/>
      <c r="V6" s="90" t="s">
        <v>106</v>
      </c>
      <c r="W6" s="95" t="s">
        <v>108</v>
      </c>
      <c r="X6" s="95"/>
      <c r="Y6" s="100"/>
      <c r="Z6" s="100"/>
      <c r="AA6" s="187"/>
      <c r="AB6" s="90" t="s">
        <v>106</v>
      </c>
      <c r="AC6" s="95" t="s">
        <v>108</v>
      </c>
      <c r="AD6" s="95"/>
      <c r="AE6" s="100"/>
    </row>
    <row r="7" spans="1:31" ht="15.75">
      <c r="A7" s="171" t="s">
        <v>19</v>
      </c>
      <c r="B7" s="172" t="s">
        <v>103</v>
      </c>
      <c r="C7" s="171" t="s">
        <v>105</v>
      </c>
      <c r="D7" s="171" t="s">
        <v>104</v>
      </c>
      <c r="E7" s="171"/>
      <c r="F7" s="164"/>
      <c r="G7" s="184" t="s">
        <v>19</v>
      </c>
      <c r="H7" s="173" t="s">
        <v>107</v>
      </c>
      <c r="I7" s="173" t="s">
        <v>109</v>
      </c>
      <c r="J7" s="174" t="s">
        <v>114</v>
      </c>
      <c r="K7" s="164"/>
      <c r="L7" s="173" t="s">
        <v>19</v>
      </c>
      <c r="M7" s="173" t="s">
        <v>107</v>
      </c>
      <c r="N7" s="173" t="s">
        <v>109</v>
      </c>
      <c r="O7" s="174" t="s">
        <v>114</v>
      </c>
      <c r="P7" s="163"/>
      <c r="Q7" s="89" t="s">
        <v>19</v>
      </c>
      <c r="R7" s="89" t="s">
        <v>107</v>
      </c>
      <c r="S7" s="89" t="s">
        <v>109</v>
      </c>
      <c r="T7" s="104" t="s">
        <v>114</v>
      </c>
      <c r="U7" s="88"/>
      <c r="V7" s="89" t="s">
        <v>19</v>
      </c>
      <c r="W7" s="89" t="s">
        <v>107</v>
      </c>
      <c r="X7" s="89" t="s">
        <v>109</v>
      </c>
      <c r="Y7" s="104" t="s">
        <v>114</v>
      </c>
      <c r="Z7" s="88"/>
      <c r="AA7" s="88"/>
      <c r="AB7" s="89" t="s">
        <v>19</v>
      </c>
      <c r="AC7" s="89" t="s">
        <v>107</v>
      </c>
      <c r="AD7" s="89" t="s">
        <v>109</v>
      </c>
      <c r="AE7" s="104" t="s">
        <v>114</v>
      </c>
    </row>
    <row r="8" spans="1:31" ht="15.75">
      <c r="A8" s="168">
        <v>1980</v>
      </c>
      <c r="B8" s="175">
        <f>CBR!B103</f>
        <v>225299</v>
      </c>
      <c r="C8" s="176">
        <f>CBR!E103</f>
        <v>85462</v>
      </c>
      <c r="D8" s="176">
        <f t="shared" ref="D8:D34" si="0">C8+B8</f>
        <v>310761</v>
      </c>
      <c r="E8" s="177">
        <f>_xlfn.RANK.AVG(D8,($D$8:$D$41))</f>
        <v>18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</row>
    <row r="9" spans="1:31" ht="15.75">
      <c r="A9" s="168">
        <v>1981</v>
      </c>
      <c r="B9" s="175">
        <f>CBR!B104</f>
        <v>310154</v>
      </c>
      <c r="C9" s="176">
        <f>CBR!E104</f>
        <v>44450</v>
      </c>
      <c r="D9" s="176">
        <f t="shared" si="0"/>
        <v>354604</v>
      </c>
      <c r="E9" s="177">
        <f t="shared" ref="E9:E41" si="1">_xlfn.RANK.AVG(D9,($D$8:$D$41))</f>
        <v>12</v>
      </c>
      <c r="F9" s="163"/>
      <c r="G9" s="178">
        <f>D8</f>
        <v>310761</v>
      </c>
      <c r="H9" s="178"/>
      <c r="I9" s="162"/>
      <c r="J9" s="162"/>
      <c r="K9" s="163"/>
      <c r="L9" s="179">
        <f>ABS(G9-$D9)</f>
        <v>43843</v>
      </c>
      <c r="M9" s="162"/>
      <c r="N9" s="162"/>
      <c r="O9" s="162"/>
      <c r="P9" s="163"/>
      <c r="Q9" s="122">
        <f>$D9-G9</f>
        <v>43843</v>
      </c>
      <c r="V9" s="303">
        <f t="shared" ref="V9:V40" si="2">(($D9-G9)/$D9)</f>
        <v>0.12363932724955161</v>
      </c>
      <c r="W9" s="304"/>
      <c r="X9" s="304"/>
      <c r="Y9" s="304"/>
      <c r="AB9" s="231">
        <f t="shared" ref="AB9:AB40" si="3">ABS(($D9-G9)/$D9)</f>
        <v>0.12363932724955161</v>
      </c>
    </row>
    <row r="10" spans="1:31" ht="15.75">
      <c r="A10" s="168">
        <v>1982</v>
      </c>
      <c r="B10" s="175">
        <f>CBR!B105</f>
        <v>454763</v>
      </c>
      <c r="C10" s="176">
        <f>CBR!E105</f>
        <v>53410</v>
      </c>
      <c r="D10" s="176">
        <f t="shared" si="0"/>
        <v>508173</v>
      </c>
      <c r="E10" s="177">
        <f t="shared" si="1"/>
        <v>6</v>
      </c>
      <c r="F10" s="163"/>
      <c r="G10" s="178">
        <f t="shared" ref="G10:G30" si="4">D9</f>
        <v>354604</v>
      </c>
      <c r="H10" s="178"/>
      <c r="I10" s="162"/>
      <c r="J10" s="162"/>
      <c r="K10" s="163"/>
      <c r="L10" s="179">
        <f t="shared" ref="L10:L30" si="5">ABS(G10-D10)</f>
        <v>153569</v>
      </c>
      <c r="M10" s="162"/>
      <c r="N10" s="162"/>
      <c r="O10" s="162"/>
      <c r="P10" s="163"/>
      <c r="Q10" s="122">
        <f t="shared" ref="Q10:Q40" si="6">$D10-G10</f>
        <v>153569</v>
      </c>
      <c r="V10" s="303">
        <f t="shared" si="2"/>
        <v>0.30219826712556552</v>
      </c>
      <c r="W10" s="304"/>
      <c r="X10" s="304"/>
      <c r="Y10" s="304"/>
      <c r="AB10" s="231">
        <f t="shared" si="3"/>
        <v>0.30219826712556552</v>
      </c>
    </row>
    <row r="11" spans="1:31" ht="15.75">
      <c r="A11" s="168">
        <v>1983</v>
      </c>
      <c r="B11" s="175">
        <f>CBR!B106</f>
        <v>234243</v>
      </c>
      <c r="C11" s="176">
        <f>CBR!E106</f>
        <v>61775</v>
      </c>
      <c r="D11" s="176">
        <f t="shared" si="0"/>
        <v>296018</v>
      </c>
      <c r="E11" s="177">
        <f t="shared" si="1"/>
        <v>19</v>
      </c>
      <c r="F11" s="163"/>
      <c r="G11" s="178">
        <f t="shared" si="4"/>
        <v>508173</v>
      </c>
      <c r="H11" s="178">
        <f>AVERAGE(D8:D10)</f>
        <v>391179.33333333331</v>
      </c>
      <c r="I11" s="162"/>
      <c r="J11" s="162"/>
      <c r="K11" s="163"/>
      <c r="L11" s="179">
        <f t="shared" si="5"/>
        <v>212155</v>
      </c>
      <c r="M11" s="179">
        <f>ABS(H11-$D11)</f>
        <v>95161.333333333314</v>
      </c>
      <c r="N11" s="162"/>
      <c r="O11" s="162"/>
      <c r="P11" s="163"/>
      <c r="Q11" s="122">
        <f t="shared" si="6"/>
        <v>-212155</v>
      </c>
      <c r="R11" s="122">
        <f>$D11-H11</f>
        <v>-95161.333333333314</v>
      </c>
      <c r="V11" s="303">
        <f t="shared" si="2"/>
        <v>-0.7166962819828524</v>
      </c>
      <c r="W11" s="303">
        <f t="shared" ref="W11:W40" si="7">(($D11-H11)/$D11)</f>
        <v>-0.32147144205194722</v>
      </c>
      <c r="X11" s="304"/>
      <c r="Y11" s="304"/>
      <c r="AB11" s="231">
        <f t="shared" si="3"/>
        <v>0.7166962819828524</v>
      </c>
      <c r="AC11" s="231">
        <f t="shared" ref="AC11:AC40" si="8">ABS(($D11-H11)/$D11)</f>
        <v>0.32147144205194722</v>
      </c>
    </row>
    <row r="12" spans="1:31" ht="15.75">
      <c r="A12" s="168">
        <v>1984</v>
      </c>
      <c r="B12" s="175">
        <f>CBR!B107</f>
        <v>382432</v>
      </c>
      <c r="C12" s="176">
        <f>CBR!E107</f>
        <v>57445</v>
      </c>
      <c r="D12" s="176">
        <f t="shared" si="0"/>
        <v>439877</v>
      </c>
      <c r="E12" s="177">
        <f t="shared" si="1"/>
        <v>8</v>
      </c>
      <c r="F12" s="163"/>
      <c r="G12" s="178">
        <f t="shared" si="4"/>
        <v>296018</v>
      </c>
      <c r="H12" s="178">
        <f t="shared" ref="H12:H29" si="9">AVERAGE(D9:D11)</f>
        <v>386265</v>
      </c>
      <c r="I12" s="162"/>
      <c r="J12" s="162"/>
      <c r="K12" s="163"/>
      <c r="L12" s="179">
        <f t="shared" si="5"/>
        <v>143859</v>
      </c>
      <c r="M12" s="179">
        <f t="shared" ref="M12:M30" si="10">ABS(H12-$D12)</f>
        <v>53612</v>
      </c>
      <c r="N12" s="162"/>
      <c r="O12" s="162"/>
      <c r="P12" s="163"/>
      <c r="Q12" s="122">
        <f t="shared" si="6"/>
        <v>143859</v>
      </c>
      <c r="R12" s="122">
        <f t="shared" ref="R12:R40" si="11">$D12-H12</f>
        <v>53612</v>
      </c>
      <c r="V12" s="303">
        <f t="shared" si="2"/>
        <v>0.32704369630601282</v>
      </c>
      <c r="W12" s="303">
        <f t="shared" si="7"/>
        <v>0.12187952541278585</v>
      </c>
      <c r="X12" s="304"/>
      <c r="Y12" s="304"/>
      <c r="AB12" s="231">
        <f t="shared" si="3"/>
        <v>0.32704369630601282</v>
      </c>
      <c r="AC12" s="231">
        <f t="shared" si="8"/>
        <v>0.12187952541278585</v>
      </c>
    </row>
    <row r="13" spans="1:31" ht="15.75">
      <c r="A13" s="168">
        <v>1985</v>
      </c>
      <c r="B13" s="175">
        <f>CBR!B108</f>
        <v>587990</v>
      </c>
      <c r="C13" s="176">
        <f>CBR!E108</f>
        <v>105060</v>
      </c>
      <c r="D13" s="176">
        <f t="shared" si="0"/>
        <v>693050</v>
      </c>
      <c r="E13" s="177">
        <f t="shared" si="1"/>
        <v>2</v>
      </c>
      <c r="F13" s="163"/>
      <c r="G13" s="178">
        <f t="shared" si="4"/>
        <v>439877</v>
      </c>
      <c r="H13" s="178">
        <f t="shared" si="9"/>
        <v>414689.33333333331</v>
      </c>
      <c r="I13" s="178">
        <f>AVERAGE(D8:D12)</f>
        <v>381886.6</v>
      </c>
      <c r="J13" s="178"/>
      <c r="K13" s="163"/>
      <c r="L13" s="179">
        <f t="shared" si="5"/>
        <v>253173</v>
      </c>
      <c r="M13" s="179">
        <f t="shared" si="10"/>
        <v>278360.66666666669</v>
      </c>
      <c r="N13" s="179">
        <f>ABS(I13-$D13)</f>
        <v>311163.40000000002</v>
      </c>
      <c r="O13" s="162"/>
      <c r="P13" s="163"/>
      <c r="Q13" s="122">
        <f t="shared" si="6"/>
        <v>253173</v>
      </c>
      <c r="R13" s="122">
        <f t="shared" si="11"/>
        <v>278360.66666666669</v>
      </c>
      <c r="S13" s="122">
        <f>$D13-I13</f>
        <v>311163.40000000002</v>
      </c>
      <c r="V13" s="303">
        <f t="shared" si="2"/>
        <v>0.36530264771661497</v>
      </c>
      <c r="W13" s="303">
        <f t="shared" si="7"/>
        <v>0.40164586489671261</v>
      </c>
      <c r="X13" s="303">
        <f t="shared" ref="X13:X40" si="12">(($D13-I13)/$D13)</f>
        <v>0.44897684149772749</v>
      </c>
      <c r="Y13" s="304"/>
      <c r="AB13" s="231">
        <f t="shared" si="3"/>
        <v>0.36530264771661497</v>
      </c>
      <c r="AC13" s="231">
        <f t="shared" si="8"/>
        <v>0.40164586489671261</v>
      </c>
      <c r="AD13" s="231">
        <f t="shared" ref="AD13:AD40" si="13">ABS(($D13-I13)/$D13)</f>
        <v>0.44897684149772749</v>
      </c>
    </row>
    <row r="14" spans="1:31" ht="15.75">
      <c r="A14" s="168">
        <v>1986</v>
      </c>
      <c r="B14" s="175">
        <f>CBR!B109</f>
        <v>295980</v>
      </c>
      <c r="C14" s="176">
        <f>CBR!E109</f>
        <v>25790</v>
      </c>
      <c r="D14" s="176">
        <f t="shared" si="0"/>
        <v>321770</v>
      </c>
      <c r="E14" s="177">
        <f t="shared" si="1"/>
        <v>17</v>
      </c>
      <c r="F14" s="163"/>
      <c r="G14" s="178">
        <f t="shared" si="4"/>
        <v>693050</v>
      </c>
      <c r="H14" s="178">
        <f t="shared" si="9"/>
        <v>476315</v>
      </c>
      <c r="I14" s="178">
        <f t="shared" ref="I14:I30" si="14">AVERAGE(D9:D13)</f>
        <v>458344.4</v>
      </c>
      <c r="J14" s="178"/>
      <c r="K14" s="163"/>
      <c r="L14" s="179">
        <f t="shared" si="5"/>
        <v>371280</v>
      </c>
      <c r="M14" s="179">
        <f t="shared" si="10"/>
        <v>154545</v>
      </c>
      <c r="N14" s="179">
        <f t="shared" ref="N14:N30" si="15">ABS(I14-$D14)</f>
        <v>136574.40000000002</v>
      </c>
      <c r="O14" s="162"/>
      <c r="P14" s="163"/>
      <c r="Q14" s="122">
        <f t="shared" si="6"/>
        <v>-371280</v>
      </c>
      <c r="R14" s="122">
        <f t="shared" si="11"/>
        <v>-154545</v>
      </c>
      <c r="S14" s="122">
        <f>$D14-I14</f>
        <v>-136574.40000000002</v>
      </c>
      <c r="V14" s="303">
        <f t="shared" si="2"/>
        <v>-1.1538676694533363</v>
      </c>
      <c r="W14" s="303">
        <f t="shared" si="7"/>
        <v>-0.48029648506697331</v>
      </c>
      <c r="X14" s="303">
        <f t="shared" si="12"/>
        <v>-0.42444727600459964</v>
      </c>
      <c r="Y14" s="304"/>
      <c r="AB14" s="231">
        <f t="shared" si="3"/>
        <v>1.1538676694533363</v>
      </c>
      <c r="AC14" s="231">
        <f t="shared" si="8"/>
        <v>0.48029648506697331</v>
      </c>
      <c r="AD14" s="231">
        <f t="shared" si="13"/>
        <v>0.42444727600459964</v>
      </c>
    </row>
    <row r="15" spans="1:31" ht="15.75">
      <c r="A15" s="168">
        <v>1987</v>
      </c>
      <c r="B15" s="175">
        <f>CBR!B110</f>
        <v>111599</v>
      </c>
      <c r="C15" s="176">
        <f>CBR!E110</f>
        <v>27925</v>
      </c>
      <c r="D15" s="176">
        <f t="shared" si="0"/>
        <v>139524</v>
      </c>
      <c r="E15" s="177">
        <f t="shared" si="1"/>
        <v>32</v>
      </c>
      <c r="F15" s="163"/>
      <c r="G15" s="178">
        <f t="shared" si="4"/>
        <v>321770</v>
      </c>
      <c r="H15" s="178">
        <f t="shared" si="9"/>
        <v>484899</v>
      </c>
      <c r="I15" s="178">
        <f t="shared" si="14"/>
        <v>451777.6</v>
      </c>
      <c r="J15" s="178"/>
      <c r="K15" s="163"/>
      <c r="L15" s="179">
        <f t="shared" si="5"/>
        <v>182246</v>
      </c>
      <c r="M15" s="179">
        <f t="shared" si="10"/>
        <v>345375</v>
      </c>
      <c r="N15" s="179">
        <f t="shared" si="15"/>
        <v>312253.59999999998</v>
      </c>
      <c r="O15" s="162"/>
      <c r="P15" s="163"/>
      <c r="Q15" s="122">
        <f t="shared" si="6"/>
        <v>-182246</v>
      </c>
      <c r="R15" s="122">
        <f t="shared" si="11"/>
        <v>-345375</v>
      </c>
      <c r="S15" s="122">
        <f t="shared" ref="S15:S40" si="16">$D15-I15</f>
        <v>-312253.59999999998</v>
      </c>
      <c r="V15" s="303">
        <f t="shared" si="2"/>
        <v>-1.3061982167942432</v>
      </c>
      <c r="W15" s="303">
        <f t="shared" si="7"/>
        <v>-2.4753805796852153</v>
      </c>
      <c r="X15" s="303">
        <f t="shared" si="12"/>
        <v>-2.2379920300450098</v>
      </c>
      <c r="Y15" s="304"/>
      <c r="AB15" s="231">
        <f t="shared" si="3"/>
        <v>1.3061982167942432</v>
      </c>
      <c r="AC15" s="231">
        <f t="shared" si="8"/>
        <v>2.4753805796852153</v>
      </c>
      <c r="AD15" s="231">
        <f t="shared" si="13"/>
        <v>2.2379920300450098</v>
      </c>
    </row>
    <row r="16" spans="1:31" ht="15.75">
      <c r="A16" s="168">
        <v>1988</v>
      </c>
      <c r="B16" s="175">
        <f>CBR!B111</f>
        <v>315568</v>
      </c>
      <c r="C16" s="176">
        <f>CBR!E111</f>
        <v>27930</v>
      </c>
      <c r="D16" s="176">
        <f t="shared" si="0"/>
        <v>343498</v>
      </c>
      <c r="E16" s="177">
        <f t="shared" si="1"/>
        <v>14</v>
      </c>
      <c r="F16" s="163"/>
      <c r="G16" s="178">
        <f t="shared" si="4"/>
        <v>139524</v>
      </c>
      <c r="H16" s="178">
        <f t="shared" si="9"/>
        <v>384781.33333333331</v>
      </c>
      <c r="I16" s="178">
        <f t="shared" si="14"/>
        <v>378047.8</v>
      </c>
      <c r="J16" s="178"/>
      <c r="K16" s="163"/>
      <c r="L16" s="179">
        <f t="shared" si="5"/>
        <v>203974</v>
      </c>
      <c r="M16" s="179">
        <f t="shared" si="10"/>
        <v>41283.333333333314</v>
      </c>
      <c r="N16" s="179">
        <f t="shared" si="15"/>
        <v>34549.799999999988</v>
      </c>
      <c r="O16" s="162"/>
      <c r="P16" s="163"/>
      <c r="Q16" s="122">
        <f t="shared" si="6"/>
        <v>203974</v>
      </c>
      <c r="R16" s="122">
        <f t="shared" si="11"/>
        <v>-41283.333333333314</v>
      </c>
      <c r="S16" s="122">
        <f t="shared" si="16"/>
        <v>-34549.799999999988</v>
      </c>
      <c r="V16" s="314">
        <f t="shared" si="2"/>
        <v>0.59381422890380731</v>
      </c>
      <c r="W16" s="303">
        <f t="shared" si="7"/>
        <v>-0.12018507628380169</v>
      </c>
      <c r="X16" s="303">
        <f t="shared" si="12"/>
        <v>-0.10058224502034943</v>
      </c>
      <c r="Y16" s="304"/>
      <c r="AB16" s="231">
        <f t="shared" si="3"/>
        <v>0.59381422890380731</v>
      </c>
      <c r="AC16" s="231">
        <f t="shared" si="8"/>
        <v>0.12018507628380169</v>
      </c>
      <c r="AD16" s="231">
        <f t="shared" si="13"/>
        <v>0.10058224502034943</v>
      </c>
    </row>
    <row r="17" spans="1:31" ht="15.75">
      <c r="A17" s="168">
        <v>1989</v>
      </c>
      <c r="B17" s="175">
        <f>CBR!B112</f>
        <v>194454</v>
      </c>
      <c r="C17" s="176">
        <f>CBR!E112</f>
        <v>41366</v>
      </c>
      <c r="D17" s="176">
        <f t="shared" si="0"/>
        <v>235820</v>
      </c>
      <c r="E17" s="177">
        <f t="shared" si="1"/>
        <v>27</v>
      </c>
      <c r="F17" s="163"/>
      <c r="G17" s="178">
        <f t="shared" si="4"/>
        <v>343498</v>
      </c>
      <c r="H17" s="178">
        <f t="shared" si="9"/>
        <v>268264</v>
      </c>
      <c r="I17" s="178">
        <f t="shared" si="14"/>
        <v>387543.8</v>
      </c>
      <c r="J17" s="178"/>
      <c r="K17" s="163"/>
      <c r="L17" s="179">
        <f t="shared" si="5"/>
        <v>107678</v>
      </c>
      <c r="M17" s="179">
        <f t="shared" si="10"/>
        <v>32444</v>
      </c>
      <c r="N17" s="179">
        <f t="shared" si="15"/>
        <v>151723.79999999999</v>
      </c>
      <c r="O17" s="162"/>
      <c r="P17" s="163"/>
      <c r="Q17" s="122">
        <f t="shared" si="6"/>
        <v>-107678</v>
      </c>
      <c r="R17" s="122">
        <f t="shared" si="11"/>
        <v>-32444</v>
      </c>
      <c r="S17" s="122">
        <f t="shared" si="16"/>
        <v>-151723.79999999999</v>
      </c>
      <c r="V17" s="303">
        <f t="shared" si="2"/>
        <v>-0.45661097447205495</v>
      </c>
      <c r="W17" s="303">
        <f t="shared" si="7"/>
        <v>-0.13757950979560682</v>
      </c>
      <c r="X17" s="303">
        <f t="shared" si="12"/>
        <v>-0.64338817742345855</v>
      </c>
      <c r="Y17" s="304"/>
      <c r="AB17" s="231">
        <f t="shared" si="3"/>
        <v>0.45661097447205495</v>
      </c>
      <c r="AC17" s="231">
        <f t="shared" si="8"/>
        <v>0.13757950979560682</v>
      </c>
      <c r="AD17" s="231">
        <f t="shared" si="13"/>
        <v>0.64338817742345855</v>
      </c>
    </row>
    <row r="18" spans="1:31" ht="15.75">
      <c r="A18" s="168">
        <v>1990</v>
      </c>
      <c r="B18" s="175">
        <f>CBR!B113</f>
        <v>246797</v>
      </c>
      <c r="C18" s="176">
        <f>CBR!E113</f>
        <v>42386</v>
      </c>
      <c r="D18" s="176">
        <f t="shared" si="0"/>
        <v>289183</v>
      </c>
      <c r="E18" s="177">
        <f t="shared" si="1"/>
        <v>21</v>
      </c>
      <c r="F18" s="163"/>
      <c r="G18" s="178">
        <f t="shared" si="4"/>
        <v>235820</v>
      </c>
      <c r="H18" s="178">
        <f t="shared" si="9"/>
        <v>239614</v>
      </c>
      <c r="I18" s="178">
        <f t="shared" si="14"/>
        <v>346732.4</v>
      </c>
      <c r="J18" s="178">
        <f>AVERAGE(D8:D17)</f>
        <v>364309.5</v>
      </c>
      <c r="K18" s="163"/>
      <c r="L18" s="179">
        <f t="shared" si="5"/>
        <v>53363</v>
      </c>
      <c r="M18" s="179">
        <f t="shared" si="10"/>
        <v>49569</v>
      </c>
      <c r="N18" s="179">
        <f t="shared" si="15"/>
        <v>57549.400000000023</v>
      </c>
      <c r="O18" s="179">
        <f>ABS(J18-$D18)</f>
        <v>75126.5</v>
      </c>
      <c r="P18" s="163"/>
      <c r="Q18" s="122">
        <f t="shared" si="6"/>
        <v>53363</v>
      </c>
      <c r="R18" s="122">
        <f t="shared" si="11"/>
        <v>49569</v>
      </c>
      <c r="S18" s="122">
        <f t="shared" si="16"/>
        <v>-57549.400000000023</v>
      </c>
      <c r="T18" s="122">
        <f>$D18-J18</f>
        <v>-75126.5</v>
      </c>
      <c r="U18" s="122"/>
      <c r="V18" s="303">
        <f t="shared" si="2"/>
        <v>0.18453021097367411</v>
      </c>
      <c r="W18" s="303">
        <f t="shared" si="7"/>
        <v>0.17141049093480598</v>
      </c>
      <c r="X18" s="303">
        <f t="shared" si="12"/>
        <v>-0.19900685724956177</v>
      </c>
      <c r="Y18" s="303">
        <f t="shared" ref="Y18:Y40" si="17">(($D18-J18)/$D18)</f>
        <v>-0.2597887842646352</v>
      </c>
      <c r="Z18" s="122"/>
      <c r="AB18" s="231">
        <f t="shared" si="3"/>
        <v>0.18453021097367411</v>
      </c>
      <c r="AC18" s="302">
        <f t="shared" si="8"/>
        <v>0.17141049093480598</v>
      </c>
      <c r="AD18" s="231">
        <f t="shared" si="13"/>
        <v>0.19900685724956177</v>
      </c>
      <c r="AE18" s="231">
        <f t="shared" ref="AE18:AE40" si="18">ABS(($D18-J18)/$D18)</f>
        <v>0.2597887842646352</v>
      </c>
    </row>
    <row r="19" spans="1:31" ht="15.75">
      <c r="A19" s="168">
        <v>1991</v>
      </c>
      <c r="B19" s="175">
        <f>CBR!B114</f>
        <v>385086</v>
      </c>
      <c r="C19" s="176">
        <f>CBR!E114</f>
        <v>64356</v>
      </c>
      <c r="D19" s="176">
        <f t="shared" si="0"/>
        <v>449442</v>
      </c>
      <c r="E19" s="177">
        <f t="shared" si="1"/>
        <v>7</v>
      </c>
      <c r="F19" s="163"/>
      <c r="G19" s="178">
        <f t="shared" si="4"/>
        <v>289183</v>
      </c>
      <c r="H19" s="178">
        <f t="shared" si="9"/>
        <v>289500.33333333331</v>
      </c>
      <c r="I19" s="178">
        <f t="shared" si="14"/>
        <v>265959</v>
      </c>
      <c r="J19" s="178">
        <f t="shared" ref="J19:J30" si="19">AVERAGE(D9:D18)</f>
        <v>362151.7</v>
      </c>
      <c r="K19" s="163"/>
      <c r="L19" s="179">
        <f t="shared" si="5"/>
        <v>160259</v>
      </c>
      <c r="M19" s="179">
        <f t="shared" si="10"/>
        <v>159941.66666666669</v>
      </c>
      <c r="N19" s="179">
        <f t="shared" si="15"/>
        <v>183483</v>
      </c>
      <c r="O19" s="179">
        <f t="shared" ref="O19:O30" si="20">ABS(J19-$D19)</f>
        <v>87290.299999999988</v>
      </c>
      <c r="P19" s="163"/>
      <c r="Q19" s="122">
        <f t="shared" si="6"/>
        <v>160259</v>
      </c>
      <c r="R19" s="122">
        <f t="shared" si="11"/>
        <v>159941.66666666669</v>
      </c>
      <c r="S19" s="122">
        <f t="shared" si="16"/>
        <v>183483</v>
      </c>
      <c r="T19" s="122">
        <f t="shared" ref="T19:T40" si="21">$D19-J19</f>
        <v>87290.299999999988</v>
      </c>
      <c r="U19" s="122"/>
      <c r="V19" s="303">
        <f t="shared" si="2"/>
        <v>0.35657326195593647</v>
      </c>
      <c r="W19" s="303">
        <f t="shared" si="7"/>
        <v>0.35586720125548277</v>
      </c>
      <c r="X19" s="303">
        <f t="shared" si="12"/>
        <v>0.40824622531939603</v>
      </c>
      <c r="Y19" s="303">
        <f t="shared" si="17"/>
        <v>0.19421927634711483</v>
      </c>
      <c r="Z19" s="122"/>
      <c r="AB19" s="231">
        <f t="shared" si="3"/>
        <v>0.35657326195593647</v>
      </c>
      <c r="AC19" s="231">
        <f t="shared" si="8"/>
        <v>0.35586720125548277</v>
      </c>
      <c r="AD19" s="231">
        <f t="shared" si="13"/>
        <v>0.40824622531939603</v>
      </c>
      <c r="AE19" s="302">
        <f t="shared" si="18"/>
        <v>0.19421927634711483</v>
      </c>
    </row>
    <row r="20" spans="1:31" ht="15.75">
      <c r="A20" s="168">
        <v>1992</v>
      </c>
      <c r="B20" s="175">
        <f>CBR!B115</f>
        <v>291627</v>
      </c>
      <c r="C20" s="176">
        <f>CBR!E115</f>
        <v>44563</v>
      </c>
      <c r="D20" s="176">
        <f t="shared" si="0"/>
        <v>336190</v>
      </c>
      <c r="E20" s="177">
        <f t="shared" si="1"/>
        <v>15</v>
      </c>
      <c r="F20" s="163"/>
      <c r="G20" s="178">
        <f t="shared" si="4"/>
        <v>449442</v>
      </c>
      <c r="H20" s="178">
        <f t="shared" si="9"/>
        <v>324815</v>
      </c>
      <c r="I20" s="178">
        <f t="shared" si="14"/>
        <v>291493.40000000002</v>
      </c>
      <c r="J20" s="178">
        <f t="shared" si="19"/>
        <v>371635.5</v>
      </c>
      <c r="K20" s="163"/>
      <c r="L20" s="179">
        <f t="shared" si="5"/>
        <v>113252</v>
      </c>
      <c r="M20" s="179">
        <f t="shared" si="10"/>
        <v>11375</v>
      </c>
      <c r="N20" s="179">
        <f t="shared" si="15"/>
        <v>44696.599999999977</v>
      </c>
      <c r="O20" s="179">
        <f t="shared" si="20"/>
        <v>35445.5</v>
      </c>
      <c r="P20" s="163"/>
      <c r="Q20" s="122">
        <f t="shared" si="6"/>
        <v>-113252</v>
      </c>
      <c r="R20" s="122">
        <f t="shared" si="11"/>
        <v>11375</v>
      </c>
      <c r="S20" s="122">
        <f t="shared" si="16"/>
        <v>44696.599999999977</v>
      </c>
      <c r="T20" s="122">
        <f t="shared" si="21"/>
        <v>-35445.5</v>
      </c>
      <c r="U20" s="122"/>
      <c r="V20" s="303">
        <f t="shared" si="2"/>
        <v>-0.33686903239239718</v>
      </c>
      <c r="W20" s="303">
        <f t="shared" si="7"/>
        <v>3.3835033760671047E-2</v>
      </c>
      <c r="X20" s="303">
        <f t="shared" si="12"/>
        <v>0.13295041494393045</v>
      </c>
      <c r="Y20" s="303">
        <f t="shared" si="17"/>
        <v>-0.10543293970671347</v>
      </c>
      <c r="Z20" s="122"/>
      <c r="AB20" s="231">
        <f t="shared" si="3"/>
        <v>0.33686903239239718</v>
      </c>
      <c r="AC20" s="302">
        <f t="shared" si="8"/>
        <v>3.3835033760671047E-2</v>
      </c>
      <c r="AD20" s="231">
        <f t="shared" si="13"/>
        <v>0.13295041494393045</v>
      </c>
      <c r="AE20" s="231">
        <f t="shared" si="18"/>
        <v>0.10543293970671347</v>
      </c>
    </row>
    <row r="21" spans="1:31" ht="15.75">
      <c r="A21" s="168">
        <v>1993</v>
      </c>
      <c r="B21" s="175">
        <f>CBR!B116</f>
        <v>281469</v>
      </c>
      <c r="C21" s="176">
        <f>CBR!E116</f>
        <v>45740</v>
      </c>
      <c r="D21" s="176">
        <f t="shared" si="0"/>
        <v>327209</v>
      </c>
      <c r="E21" s="177">
        <f t="shared" si="1"/>
        <v>16</v>
      </c>
      <c r="F21" s="163"/>
      <c r="G21" s="178">
        <f t="shared" si="4"/>
        <v>336190</v>
      </c>
      <c r="H21" s="178">
        <f t="shared" si="9"/>
        <v>358271.66666666669</v>
      </c>
      <c r="I21" s="178">
        <f t="shared" si="14"/>
        <v>330826.59999999998</v>
      </c>
      <c r="J21" s="178">
        <f t="shared" si="19"/>
        <v>354437.2</v>
      </c>
      <c r="K21" s="163"/>
      <c r="L21" s="179">
        <f t="shared" si="5"/>
        <v>8981</v>
      </c>
      <c r="M21" s="179">
        <f t="shared" si="10"/>
        <v>31062.666666666686</v>
      </c>
      <c r="N21" s="179">
        <f t="shared" si="15"/>
        <v>3617.5999999999767</v>
      </c>
      <c r="O21" s="179">
        <f t="shared" si="20"/>
        <v>27228.200000000012</v>
      </c>
      <c r="P21" s="163"/>
      <c r="Q21" s="122">
        <f t="shared" si="6"/>
        <v>-8981</v>
      </c>
      <c r="R21" s="122">
        <f t="shared" si="11"/>
        <v>-31062.666666666686</v>
      </c>
      <c r="S21" s="122">
        <f t="shared" si="16"/>
        <v>-3617.5999999999767</v>
      </c>
      <c r="T21" s="122">
        <f t="shared" si="21"/>
        <v>-27228.200000000012</v>
      </c>
      <c r="U21" s="122"/>
      <c r="V21" s="303">
        <f t="shared" si="2"/>
        <v>-2.7447289041560591E-2</v>
      </c>
      <c r="W21" s="303">
        <f t="shared" si="7"/>
        <v>-9.4932189110527782E-2</v>
      </c>
      <c r="X21" s="303">
        <f t="shared" si="12"/>
        <v>-1.1055930613155435E-2</v>
      </c>
      <c r="Y21" s="303">
        <f t="shared" si="17"/>
        <v>-8.3213481291773791E-2</v>
      </c>
      <c r="Z21" s="122"/>
      <c r="AB21" s="231">
        <f t="shared" si="3"/>
        <v>2.7447289041560591E-2</v>
      </c>
      <c r="AC21" s="231">
        <f t="shared" si="8"/>
        <v>9.4932189110527782E-2</v>
      </c>
      <c r="AD21" s="302">
        <f t="shared" si="13"/>
        <v>1.1055930613155435E-2</v>
      </c>
      <c r="AE21" s="231">
        <f t="shared" si="18"/>
        <v>8.3213481291773791E-2</v>
      </c>
    </row>
    <row r="22" spans="1:31" ht="15.75">
      <c r="A22" s="168">
        <v>1994</v>
      </c>
      <c r="B22" s="175">
        <f>CBR!B117</f>
        <v>677633</v>
      </c>
      <c r="C22" s="176">
        <f>CBR!E117</f>
        <v>49250</v>
      </c>
      <c r="D22" s="176">
        <f t="shared" si="0"/>
        <v>726883</v>
      </c>
      <c r="E22" s="177">
        <f t="shared" si="1"/>
        <v>1</v>
      </c>
      <c r="F22" s="163"/>
      <c r="G22" s="178">
        <f t="shared" si="4"/>
        <v>327209</v>
      </c>
      <c r="H22" s="178">
        <f t="shared" si="9"/>
        <v>370947</v>
      </c>
      <c r="I22" s="178">
        <f t="shared" si="14"/>
        <v>327568.8</v>
      </c>
      <c r="J22" s="178">
        <f t="shared" si="19"/>
        <v>357556.3</v>
      </c>
      <c r="K22" s="163"/>
      <c r="L22" s="179">
        <f t="shared" si="5"/>
        <v>399674</v>
      </c>
      <c r="M22" s="179">
        <f t="shared" si="10"/>
        <v>355936</v>
      </c>
      <c r="N22" s="179">
        <f t="shared" si="15"/>
        <v>399314.2</v>
      </c>
      <c r="O22" s="179">
        <f t="shared" si="20"/>
        <v>369326.7</v>
      </c>
      <c r="P22" s="163"/>
      <c r="Q22" s="122">
        <f t="shared" si="6"/>
        <v>399674</v>
      </c>
      <c r="R22" s="122">
        <f t="shared" si="11"/>
        <v>355936</v>
      </c>
      <c r="S22" s="122">
        <f t="shared" si="16"/>
        <v>399314.2</v>
      </c>
      <c r="T22" s="122">
        <f t="shared" si="21"/>
        <v>369326.7</v>
      </c>
      <c r="U22" s="122"/>
      <c r="V22" s="303">
        <f t="shared" si="2"/>
        <v>0.54984639893903142</v>
      </c>
      <c r="W22" s="303">
        <f t="shared" si="7"/>
        <v>0.48967440427138892</v>
      </c>
      <c r="X22" s="303">
        <f t="shared" si="12"/>
        <v>0.54935140868612975</v>
      </c>
      <c r="Y22" s="303">
        <f t="shared" si="17"/>
        <v>0.50809648870588531</v>
      </c>
      <c r="Z22" s="122"/>
      <c r="AB22" s="231">
        <f t="shared" si="3"/>
        <v>0.54984639893903142</v>
      </c>
      <c r="AC22" s="302">
        <f t="shared" si="8"/>
        <v>0.48967440427138892</v>
      </c>
      <c r="AD22" s="231">
        <f t="shared" si="13"/>
        <v>0.54935140868612975</v>
      </c>
      <c r="AE22" s="231">
        <f t="shared" si="18"/>
        <v>0.50809648870588531</v>
      </c>
    </row>
    <row r="23" spans="1:31" ht="15.75">
      <c r="A23" s="168">
        <v>1995</v>
      </c>
      <c r="B23" s="175">
        <f>CBR!B118</f>
        <v>542658</v>
      </c>
      <c r="C23" s="176">
        <f>CBR!E118</f>
        <v>34370</v>
      </c>
      <c r="D23" s="176">
        <f t="shared" si="0"/>
        <v>577028</v>
      </c>
      <c r="E23" s="177">
        <f t="shared" si="1"/>
        <v>4</v>
      </c>
      <c r="F23" s="163"/>
      <c r="G23" s="178">
        <f t="shared" si="4"/>
        <v>726883</v>
      </c>
      <c r="H23" s="178">
        <f t="shared" si="9"/>
        <v>463427.33333333331</v>
      </c>
      <c r="I23" s="178">
        <f t="shared" si="14"/>
        <v>425781.4</v>
      </c>
      <c r="J23" s="178">
        <f t="shared" si="19"/>
        <v>386256.9</v>
      </c>
      <c r="K23" s="163"/>
      <c r="L23" s="179">
        <f t="shared" si="5"/>
        <v>149855</v>
      </c>
      <c r="M23" s="179">
        <f t="shared" si="10"/>
        <v>113600.66666666669</v>
      </c>
      <c r="N23" s="179">
        <f t="shared" si="15"/>
        <v>151246.59999999998</v>
      </c>
      <c r="O23" s="179">
        <f t="shared" si="20"/>
        <v>190771.09999999998</v>
      </c>
      <c r="P23" s="163"/>
      <c r="Q23" s="122">
        <f t="shared" si="6"/>
        <v>-149855</v>
      </c>
      <c r="R23" s="122">
        <f t="shared" si="11"/>
        <v>113600.66666666669</v>
      </c>
      <c r="S23" s="122">
        <f t="shared" si="16"/>
        <v>151246.59999999998</v>
      </c>
      <c r="T23" s="122">
        <f t="shared" si="21"/>
        <v>190771.09999999998</v>
      </c>
      <c r="U23" s="122"/>
      <c r="V23" s="303">
        <f t="shared" si="2"/>
        <v>-0.25970143563223969</v>
      </c>
      <c r="W23" s="303">
        <f t="shared" si="7"/>
        <v>0.19687201776459146</v>
      </c>
      <c r="X23" s="303">
        <f t="shared" si="12"/>
        <v>0.26211310369687429</v>
      </c>
      <c r="Y23" s="303">
        <f t="shared" si="17"/>
        <v>0.33060977976805284</v>
      </c>
      <c r="Z23" s="122"/>
      <c r="AB23" s="231">
        <f t="shared" si="3"/>
        <v>0.25970143563223969</v>
      </c>
      <c r="AC23" s="302">
        <f t="shared" si="8"/>
        <v>0.19687201776459146</v>
      </c>
      <c r="AD23" s="231">
        <f t="shared" si="13"/>
        <v>0.26211310369687429</v>
      </c>
      <c r="AE23" s="231">
        <f t="shared" si="18"/>
        <v>0.33060977976805284</v>
      </c>
    </row>
    <row r="24" spans="1:31" ht="15.75">
      <c r="A24" s="168">
        <v>1996</v>
      </c>
      <c r="B24" s="175">
        <f>CBR!B119</f>
        <v>193042</v>
      </c>
      <c r="C24" s="176">
        <f>CBR!E119</f>
        <v>45230</v>
      </c>
      <c r="D24" s="176">
        <f t="shared" si="0"/>
        <v>238272</v>
      </c>
      <c r="E24" s="177">
        <f t="shared" si="1"/>
        <v>26</v>
      </c>
      <c r="F24" s="163"/>
      <c r="G24" s="178">
        <f t="shared" si="4"/>
        <v>577028</v>
      </c>
      <c r="H24" s="178">
        <f t="shared" si="9"/>
        <v>543706.66666666663</v>
      </c>
      <c r="I24" s="178">
        <f t="shared" si="14"/>
        <v>483350.4</v>
      </c>
      <c r="J24" s="178">
        <f t="shared" si="19"/>
        <v>374654.7</v>
      </c>
      <c r="K24" s="163"/>
      <c r="L24" s="179">
        <f t="shared" si="5"/>
        <v>338756</v>
      </c>
      <c r="M24" s="179">
        <f t="shared" si="10"/>
        <v>305434.66666666663</v>
      </c>
      <c r="N24" s="179">
        <f t="shared" si="15"/>
        <v>245078.40000000002</v>
      </c>
      <c r="O24" s="179">
        <f t="shared" si="20"/>
        <v>136382.70000000001</v>
      </c>
      <c r="P24" s="163"/>
      <c r="Q24" s="122">
        <f t="shared" si="6"/>
        <v>-338756</v>
      </c>
      <c r="R24" s="122">
        <f t="shared" si="11"/>
        <v>-305434.66666666663</v>
      </c>
      <c r="S24" s="122">
        <f t="shared" si="16"/>
        <v>-245078.40000000002</v>
      </c>
      <c r="T24" s="122">
        <f t="shared" si="21"/>
        <v>-136382.70000000001</v>
      </c>
      <c r="U24" s="122"/>
      <c r="V24" s="303">
        <f t="shared" si="2"/>
        <v>-1.4217197152833736</v>
      </c>
      <c r="W24" s="303">
        <f t="shared" si="7"/>
        <v>-1.2818739367893275</v>
      </c>
      <c r="X24" s="303">
        <f t="shared" si="12"/>
        <v>-1.0285656728444803</v>
      </c>
      <c r="Y24" s="303">
        <f t="shared" si="17"/>
        <v>-0.57238240330378731</v>
      </c>
      <c r="Z24" s="122"/>
      <c r="AB24" s="231">
        <f t="shared" si="3"/>
        <v>1.4217197152833736</v>
      </c>
      <c r="AC24" s="231">
        <f t="shared" si="8"/>
        <v>1.2818739367893275</v>
      </c>
      <c r="AD24" s="231">
        <f t="shared" si="13"/>
        <v>1.0285656728444803</v>
      </c>
      <c r="AE24" s="302">
        <f t="shared" si="18"/>
        <v>0.57238240330378731</v>
      </c>
    </row>
    <row r="25" spans="1:31" ht="15.75">
      <c r="A25" s="168">
        <v>1997</v>
      </c>
      <c r="B25" s="175">
        <f>CBR!B120</f>
        <v>18656</v>
      </c>
      <c r="C25" s="176">
        <f>CBR!E120</f>
        <v>54740</v>
      </c>
      <c r="D25" s="176">
        <f t="shared" si="0"/>
        <v>73396</v>
      </c>
      <c r="E25" s="177">
        <f t="shared" si="1"/>
        <v>34</v>
      </c>
      <c r="F25" s="163"/>
      <c r="G25" s="178">
        <f t="shared" si="4"/>
        <v>238272</v>
      </c>
      <c r="H25" s="178">
        <f t="shared" si="9"/>
        <v>514061</v>
      </c>
      <c r="I25" s="178">
        <f t="shared" si="14"/>
        <v>441116.4</v>
      </c>
      <c r="J25" s="178">
        <f t="shared" si="19"/>
        <v>366304.9</v>
      </c>
      <c r="K25" s="163"/>
      <c r="L25" s="179">
        <f t="shared" si="5"/>
        <v>164876</v>
      </c>
      <c r="M25" s="179">
        <f t="shared" si="10"/>
        <v>440665</v>
      </c>
      <c r="N25" s="179">
        <f t="shared" si="15"/>
        <v>367720.4</v>
      </c>
      <c r="O25" s="179">
        <f t="shared" si="20"/>
        <v>292908.90000000002</v>
      </c>
      <c r="P25" s="163"/>
      <c r="Q25" s="122">
        <f t="shared" si="6"/>
        <v>-164876</v>
      </c>
      <c r="R25" s="122">
        <f t="shared" si="11"/>
        <v>-440665</v>
      </c>
      <c r="S25" s="122">
        <f t="shared" si="16"/>
        <v>-367720.4</v>
      </c>
      <c r="T25" s="122">
        <f t="shared" si="21"/>
        <v>-292908.90000000002</v>
      </c>
      <c r="U25" s="122"/>
      <c r="V25" s="303">
        <f t="shared" si="2"/>
        <v>-2.246389449016295</v>
      </c>
      <c r="W25" s="303">
        <f t="shared" si="7"/>
        <v>-6.0039375442803422</v>
      </c>
      <c r="X25" s="303">
        <f t="shared" si="12"/>
        <v>-5.0100877432012645</v>
      </c>
      <c r="Y25" s="303">
        <f t="shared" si="17"/>
        <v>-3.9908019510600035</v>
      </c>
      <c r="Z25" s="122"/>
      <c r="AB25" s="302">
        <f t="shared" si="3"/>
        <v>2.246389449016295</v>
      </c>
      <c r="AC25" s="231">
        <f t="shared" si="8"/>
        <v>6.0039375442803422</v>
      </c>
      <c r="AD25" s="231">
        <f t="shared" si="13"/>
        <v>5.0100877432012645</v>
      </c>
      <c r="AE25" s="231">
        <f t="shared" si="18"/>
        <v>3.9908019510600035</v>
      </c>
    </row>
    <row r="26" spans="1:31" ht="15.75">
      <c r="A26" s="168">
        <v>1998</v>
      </c>
      <c r="B26" s="175">
        <f>CBR!B121</f>
        <v>108232</v>
      </c>
      <c r="C26" s="176">
        <f>CBR!E121</f>
        <v>30750</v>
      </c>
      <c r="D26" s="176">
        <f t="shared" si="0"/>
        <v>138982</v>
      </c>
      <c r="E26" s="177">
        <f t="shared" si="1"/>
        <v>33</v>
      </c>
      <c r="F26" s="163"/>
      <c r="G26" s="178">
        <f t="shared" si="4"/>
        <v>73396</v>
      </c>
      <c r="H26" s="178">
        <f t="shared" si="9"/>
        <v>296232</v>
      </c>
      <c r="I26" s="178">
        <f t="shared" si="14"/>
        <v>388557.6</v>
      </c>
      <c r="J26" s="178">
        <f t="shared" si="19"/>
        <v>359692.1</v>
      </c>
      <c r="K26" s="163"/>
      <c r="L26" s="179">
        <f t="shared" si="5"/>
        <v>65586</v>
      </c>
      <c r="M26" s="179">
        <f t="shared" si="10"/>
        <v>157250</v>
      </c>
      <c r="N26" s="179">
        <f t="shared" si="15"/>
        <v>249575.59999999998</v>
      </c>
      <c r="O26" s="179">
        <f t="shared" si="20"/>
        <v>220710.09999999998</v>
      </c>
      <c r="P26" s="163"/>
      <c r="Q26" s="122">
        <f t="shared" si="6"/>
        <v>65586</v>
      </c>
      <c r="R26" s="122">
        <f t="shared" si="11"/>
        <v>-157250</v>
      </c>
      <c r="S26" s="122">
        <f t="shared" si="16"/>
        <v>-249575.59999999998</v>
      </c>
      <c r="T26" s="122">
        <f t="shared" si="21"/>
        <v>-220710.09999999998</v>
      </c>
      <c r="U26" s="122"/>
      <c r="V26" s="303">
        <f t="shared" si="2"/>
        <v>0.47190283633851865</v>
      </c>
      <c r="W26" s="303">
        <f t="shared" si="7"/>
        <v>-1.1314414816307148</v>
      </c>
      <c r="X26" s="303">
        <f t="shared" si="12"/>
        <v>-1.7957404555985665</v>
      </c>
      <c r="Y26" s="303">
        <f t="shared" si="17"/>
        <v>-1.5880480925587483</v>
      </c>
      <c r="Z26" s="122"/>
      <c r="AB26" s="302">
        <f t="shared" si="3"/>
        <v>0.47190283633851865</v>
      </c>
      <c r="AC26" s="231">
        <f t="shared" si="8"/>
        <v>1.1314414816307148</v>
      </c>
      <c r="AD26" s="231">
        <f t="shared" si="13"/>
        <v>1.7957404555985665</v>
      </c>
      <c r="AE26" s="231">
        <f t="shared" si="18"/>
        <v>1.5880480925587483</v>
      </c>
    </row>
    <row r="27" spans="1:31" ht="15.75">
      <c r="A27" s="168">
        <v>1999</v>
      </c>
      <c r="B27" s="175">
        <f>CBR!B122</f>
        <v>153061</v>
      </c>
      <c r="C27" s="176">
        <f>CBR!E122</f>
        <v>45405</v>
      </c>
      <c r="D27" s="176">
        <f t="shared" si="0"/>
        <v>198466</v>
      </c>
      <c r="E27" s="177">
        <f t="shared" si="1"/>
        <v>28</v>
      </c>
      <c r="F27" s="163"/>
      <c r="G27" s="178">
        <f t="shared" si="4"/>
        <v>138982</v>
      </c>
      <c r="H27" s="178">
        <f t="shared" si="9"/>
        <v>150216.66666666666</v>
      </c>
      <c r="I27" s="178">
        <f t="shared" si="14"/>
        <v>350912.2</v>
      </c>
      <c r="J27" s="178">
        <f t="shared" si="19"/>
        <v>339240.5</v>
      </c>
      <c r="K27" s="163"/>
      <c r="L27" s="179">
        <f t="shared" si="5"/>
        <v>59484</v>
      </c>
      <c r="M27" s="179">
        <f t="shared" si="10"/>
        <v>48249.333333333343</v>
      </c>
      <c r="N27" s="179">
        <f t="shared" si="15"/>
        <v>152446.20000000001</v>
      </c>
      <c r="O27" s="179">
        <f t="shared" si="20"/>
        <v>140774.5</v>
      </c>
      <c r="P27" s="163"/>
      <c r="Q27" s="122">
        <f t="shared" si="6"/>
        <v>59484</v>
      </c>
      <c r="R27" s="122">
        <f t="shared" si="11"/>
        <v>48249.333333333343</v>
      </c>
      <c r="S27" s="122">
        <f t="shared" si="16"/>
        <v>-152446.20000000001</v>
      </c>
      <c r="T27" s="122">
        <f t="shared" si="21"/>
        <v>-140774.5</v>
      </c>
      <c r="U27" s="122"/>
      <c r="V27" s="303">
        <f t="shared" si="2"/>
        <v>0.29971884352987416</v>
      </c>
      <c r="W27" s="303">
        <f t="shared" si="7"/>
        <v>0.24311133057215514</v>
      </c>
      <c r="X27" s="303">
        <f t="shared" si="12"/>
        <v>-0.76812249957171508</v>
      </c>
      <c r="Y27" s="303">
        <f t="shared" si="17"/>
        <v>-0.70931293017443797</v>
      </c>
      <c r="Z27" s="122"/>
      <c r="AB27" s="231">
        <f t="shared" si="3"/>
        <v>0.29971884352987416</v>
      </c>
      <c r="AC27" s="302">
        <f t="shared" si="8"/>
        <v>0.24311133057215514</v>
      </c>
      <c r="AD27" s="231">
        <f t="shared" si="13"/>
        <v>0.76812249957171508</v>
      </c>
      <c r="AE27" s="231">
        <f t="shared" si="18"/>
        <v>0.70931293017443797</v>
      </c>
    </row>
    <row r="28" spans="1:31" ht="15.75">
      <c r="A28" s="168">
        <v>2000</v>
      </c>
      <c r="B28" s="175">
        <f>CBR!B123</f>
        <v>304944</v>
      </c>
      <c r="C28" s="176">
        <f>CBR!E123</f>
        <v>43185</v>
      </c>
      <c r="D28" s="176">
        <f t="shared" si="0"/>
        <v>348129</v>
      </c>
      <c r="E28" s="177">
        <f t="shared" si="1"/>
        <v>13</v>
      </c>
      <c r="F28" s="163"/>
      <c r="G28" s="178">
        <f t="shared" si="4"/>
        <v>198466</v>
      </c>
      <c r="H28" s="178">
        <f t="shared" si="9"/>
        <v>136948</v>
      </c>
      <c r="I28" s="178">
        <f t="shared" si="14"/>
        <v>245228.79999999999</v>
      </c>
      <c r="J28" s="178">
        <f t="shared" si="19"/>
        <v>335505.09999999998</v>
      </c>
      <c r="K28" s="163"/>
      <c r="L28" s="179">
        <f t="shared" si="5"/>
        <v>149663</v>
      </c>
      <c r="M28" s="179">
        <f t="shared" si="10"/>
        <v>211181</v>
      </c>
      <c r="N28" s="179">
        <f t="shared" si="15"/>
        <v>102900.20000000001</v>
      </c>
      <c r="O28" s="179">
        <f t="shared" si="20"/>
        <v>12623.900000000023</v>
      </c>
      <c r="P28" s="163"/>
      <c r="Q28" s="122">
        <f t="shared" si="6"/>
        <v>149663</v>
      </c>
      <c r="R28" s="122">
        <f t="shared" si="11"/>
        <v>211181</v>
      </c>
      <c r="S28" s="122">
        <f t="shared" si="16"/>
        <v>102900.20000000001</v>
      </c>
      <c r="T28" s="122">
        <f t="shared" si="21"/>
        <v>12623.900000000023</v>
      </c>
      <c r="U28" s="122"/>
      <c r="V28" s="303">
        <f t="shared" si="2"/>
        <v>0.42990672997653168</v>
      </c>
      <c r="W28" s="303">
        <f t="shared" si="7"/>
        <v>0.60661708734405928</v>
      </c>
      <c r="X28" s="303">
        <f t="shared" si="12"/>
        <v>0.29558066119168475</v>
      </c>
      <c r="Y28" s="303">
        <f t="shared" si="17"/>
        <v>3.6262132715171744E-2</v>
      </c>
      <c r="Z28" s="122"/>
      <c r="AB28" s="231">
        <f t="shared" si="3"/>
        <v>0.42990672997653168</v>
      </c>
      <c r="AC28" s="231">
        <f t="shared" si="8"/>
        <v>0.60661708734405928</v>
      </c>
      <c r="AD28" s="231">
        <f t="shared" si="13"/>
        <v>0.29558066119168475</v>
      </c>
      <c r="AE28" s="302">
        <f t="shared" si="18"/>
        <v>3.6262132715171744E-2</v>
      </c>
    </row>
    <row r="29" spans="1:31" ht="15.75">
      <c r="A29" s="168">
        <v>2001</v>
      </c>
      <c r="B29" s="175">
        <f>CBR!B124</f>
        <v>251473</v>
      </c>
      <c r="C29" s="176">
        <f>CBR!E124</f>
        <v>41867</v>
      </c>
      <c r="D29" s="176">
        <f t="shared" si="0"/>
        <v>293340</v>
      </c>
      <c r="E29" s="177">
        <f t="shared" si="1"/>
        <v>20</v>
      </c>
      <c r="F29" s="163"/>
      <c r="G29" s="178">
        <f t="shared" si="4"/>
        <v>348129</v>
      </c>
      <c r="H29" s="178">
        <f t="shared" si="9"/>
        <v>228525.66666666666</v>
      </c>
      <c r="I29" s="178">
        <f t="shared" si="14"/>
        <v>199449</v>
      </c>
      <c r="J29" s="178">
        <f t="shared" si="19"/>
        <v>341399.7</v>
      </c>
      <c r="K29" s="163"/>
      <c r="L29" s="179">
        <f t="shared" si="5"/>
        <v>54789</v>
      </c>
      <c r="M29" s="179">
        <f t="shared" si="10"/>
        <v>64814.333333333343</v>
      </c>
      <c r="N29" s="179">
        <f t="shared" si="15"/>
        <v>93891</v>
      </c>
      <c r="O29" s="179">
        <f t="shared" si="20"/>
        <v>48059.700000000012</v>
      </c>
      <c r="P29" s="163"/>
      <c r="Q29" s="122">
        <f t="shared" si="6"/>
        <v>-54789</v>
      </c>
      <c r="R29" s="122">
        <f t="shared" si="11"/>
        <v>64814.333333333343</v>
      </c>
      <c r="S29" s="122">
        <f t="shared" si="16"/>
        <v>93891</v>
      </c>
      <c r="T29" s="122">
        <f t="shared" si="21"/>
        <v>-48059.700000000012</v>
      </c>
      <c r="U29" s="122"/>
      <c r="V29" s="303">
        <f t="shared" si="2"/>
        <v>-0.18677643689916137</v>
      </c>
      <c r="W29" s="303">
        <f t="shared" si="7"/>
        <v>0.22095293288788895</v>
      </c>
      <c r="X29" s="303">
        <f t="shared" si="12"/>
        <v>0.3200756800981796</v>
      </c>
      <c r="Y29" s="303">
        <f t="shared" si="17"/>
        <v>-0.16383616281448152</v>
      </c>
      <c r="Z29" s="122"/>
      <c r="AB29" s="231">
        <f t="shared" si="3"/>
        <v>0.18677643689916137</v>
      </c>
      <c r="AC29" s="231">
        <f t="shared" si="8"/>
        <v>0.22095293288788895</v>
      </c>
      <c r="AD29" s="231">
        <f t="shared" si="13"/>
        <v>0.3200756800981796</v>
      </c>
      <c r="AE29" s="302">
        <f t="shared" si="18"/>
        <v>0.16383616281448152</v>
      </c>
    </row>
    <row r="30" spans="1:31" ht="15.75">
      <c r="A30" s="168">
        <v>2002</v>
      </c>
      <c r="B30" s="175">
        <f>CBR!B125</f>
        <v>538277</v>
      </c>
      <c r="C30" s="176">
        <f>CBR!E125</f>
        <v>49950</v>
      </c>
      <c r="D30" s="176">
        <f t="shared" si="0"/>
        <v>588227</v>
      </c>
      <c r="E30" s="177">
        <f t="shared" si="1"/>
        <v>3</v>
      </c>
      <c r="F30" s="163"/>
      <c r="G30" s="178">
        <f t="shared" si="4"/>
        <v>293340</v>
      </c>
      <c r="H30" s="178">
        <f t="shared" ref="H30:H36" si="22">AVERAGE(D27:D29)</f>
        <v>279978.33333333331</v>
      </c>
      <c r="I30" s="178">
        <f t="shared" si="14"/>
        <v>210462.6</v>
      </c>
      <c r="J30" s="178">
        <f t="shared" si="19"/>
        <v>325789.5</v>
      </c>
      <c r="K30" s="163"/>
      <c r="L30" s="179">
        <f t="shared" si="5"/>
        <v>294887</v>
      </c>
      <c r="M30" s="179">
        <f t="shared" si="10"/>
        <v>308248.66666666669</v>
      </c>
      <c r="N30" s="179">
        <f t="shared" si="15"/>
        <v>377764.4</v>
      </c>
      <c r="O30" s="179">
        <f t="shared" si="20"/>
        <v>262437.5</v>
      </c>
      <c r="P30" s="163"/>
      <c r="Q30" s="122">
        <f t="shared" si="6"/>
        <v>294887</v>
      </c>
      <c r="R30" s="122">
        <f t="shared" si="11"/>
        <v>308248.66666666669</v>
      </c>
      <c r="S30" s="122">
        <f t="shared" si="16"/>
        <v>377764.4</v>
      </c>
      <c r="T30" s="122">
        <f t="shared" si="21"/>
        <v>262437.5</v>
      </c>
      <c r="U30" s="122"/>
      <c r="V30" s="303">
        <f t="shared" si="2"/>
        <v>0.50131496854105639</v>
      </c>
      <c r="W30" s="303">
        <f t="shared" si="7"/>
        <v>0.52403012215805578</v>
      </c>
      <c r="X30" s="303">
        <f t="shared" si="12"/>
        <v>0.64220853514034548</v>
      </c>
      <c r="Y30" s="303">
        <f t="shared" si="17"/>
        <v>0.44615004071557407</v>
      </c>
      <c r="Z30" s="122"/>
      <c r="AB30" s="231">
        <f t="shared" si="3"/>
        <v>0.50131496854105639</v>
      </c>
      <c r="AC30" s="231">
        <f t="shared" si="8"/>
        <v>0.52403012215805578</v>
      </c>
      <c r="AD30" s="231">
        <f t="shared" si="13"/>
        <v>0.64220853514034548</v>
      </c>
      <c r="AE30" s="302">
        <f t="shared" si="18"/>
        <v>0.44615004071557407</v>
      </c>
    </row>
    <row r="31" spans="1:31" ht="15.75">
      <c r="A31" s="168">
        <v>2003</v>
      </c>
      <c r="B31" s="175">
        <f>CBR!B126</f>
        <v>363489</v>
      </c>
      <c r="C31" s="176">
        <f>CBR!E126</f>
        <v>72280</v>
      </c>
      <c r="D31" s="176">
        <f t="shared" si="0"/>
        <v>435769</v>
      </c>
      <c r="E31" s="177">
        <f t="shared" si="1"/>
        <v>9</v>
      </c>
      <c r="F31" s="163"/>
      <c r="G31" s="178">
        <f t="shared" ref="G31:G36" si="23">D30</f>
        <v>588227</v>
      </c>
      <c r="H31" s="178">
        <f t="shared" si="22"/>
        <v>409898.66666666669</v>
      </c>
      <c r="I31" s="178">
        <f t="shared" ref="I31:I36" si="24">AVERAGE(D26:D30)</f>
        <v>313428.8</v>
      </c>
      <c r="J31" s="178">
        <f t="shared" ref="J31:J36" si="25">AVERAGE(D21:D30)</f>
        <v>350993.2</v>
      </c>
      <c r="K31" s="163"/>
      <c r="L31" s="179">
        <f t="shared" ref="L31:L36" si="26">ABS(G31-D31)</f>
        <v>152458</v>
      </c>
      <c r="M31" s="179">
        <f t="shared" ref="M31:O32" si="27">ABS(H31-$D31)</f>
        <v>25870.333333333314</v>
      </c>
      <c r="N31" s="179">
        <f t="shared" si="27"/>
        <v>122340.20000000001</v>
      </c>
      <c r="O31" s="179">
        <f t="shared" si="27"/>
        <v>84775.799999999988</v>
      </c>
      <c r="P31" s="163"/>
      <c r="Q31" s="122">
        <f t="shared" si="6"/>
        <v>-152458</v>
      </c>
      <c r="R31" s="122">
        <f t="shared" si="11"/>
        <v>25870.333333333314</v>
      </c>
      <c r="S31" s="122">
        <f t="shared" si="16"/>
        <v>122340.20000000001</v>
      </c>
      <c r="T31" s="122">
        <f t="shared" si="21"/>
        <v>84775.799999999988</v>
      </c>
      <c r="U31" s="122"/>
      <c r="V31" s="303">
        <f t="shared" si="2"/>
        <v>-0.34985967335905033</v>
      </c>
      <c r="W31" s="303">
        <f t="shared" si="7"/>
        <v>5.9367080570975249E-2</v>
      </c>
      <c r="X31" s="303">
        <f t="shared" si="12"/>
        <v>0.28074553261016733</v>
      </c>
      <c r="Y31" s="303">
        <f t="shared" si="17"/>
        <v>0.19454298034050146</v>
      </c>
      <c r="Z31" s="122"/>
      <c r="AB31" s="231">
        <f t="shared" si="3"/>
        <v>0.34985967335905033</v>
      </c>
      <c r="AC31" s="302">
        <f t="shared" si="8"/>
        <v>5.9367080570975249E-2</v>
      </c>
      <c r="AD31" s="231">
        <f t="shared" si="13"/>
        <v>0.28074553261016733</v>
      </c>
      <c r="AE31" s="231">
        <f t="shared" si="18"/>
        <v>0.19454298034050146</v>
      </c>
    </row>
    <row r="32" spans="1:31" ht="15.75">
      <c r="A32" s="168">
        <v>2004</v>
      </c>
      <c r="B32" s="175">
        <f>CBR!B127</f>
        <v>467859</v>
      </c>
      <c r="C32" s="176">
        <f>CBR!E127</f>
        <v>99980</v>
      </c>
      <c r="D32" s="176">
        <f t="shared" si="0"/>
        <v>567839</v>
      </c>
      <c r="E32" s="177">
        <f t="shared" si="1"/>
        <v>5</v>
      </c>
      <c r="F32" s="163"/>
      <c r="G32" s="178">
        <f t="shared" si="23"/>
        <v>435769</v>
      </c>
      <c r="H32" s="178">
        <f t="shared" si="22"/>
        <v>439112</v>
      </c>
      <c r="I32" s="178">
        <f t="shared" si="24"/>
        <v>372786.2</v>
      </c>
      <c r="J32" s="178">
        <f t="shared" si="25"/>
        <v>361849.2</v>
      </c>
      <c r="K32" s="163"/>
      <c r="L32" s="179">
        <f t="shared" si="26"/>
        <v>132070</v>
      </c>
      <c r="M32" s="179">
        <f t="shared" si="27"/>
        <v>128727</v>
      </c>
      <c r="N32" s="179">
        <f t="shared" si="27"/>
        <v>195052.79999999999</v>
      </c>
      <c r="O32" s="179">
        <f t="shared" si="27"/>
        <v>205989.8</v>
      </c>
      <c r="P32" s="163"/>
      <c r="Q32" s="122">
        <f t="shared" si="6"/>
        <v>132070</v>
      </c>
      <c r="R32" s="122">
        <f t="shared" si="11"/>
        <v>128727</v>
      </c>
      <c r="S32" s="122">
        <f t="shared" si="16"/>
        <v>195052.79999999999</v>
      </c>
      <c r="T32" s="122">
        <f t="shared" si="21"/>
        <v>205989.8</v>
      </c>
      <c r="U32" s="122"/>
      <c r="V32" s="303">
        <f t="shared" si="2"/>
        <v>0.23258353159962594</v>
      </c>
      <c r="W32" s="303">
        <f t="shared" si="7"/>
        <v>0.22669629947925379</v>
      </c>
      <c r="X32" s="303">
        <f t="shared" si="12"/>
        <v>0.34350018226997442</v>
      </c>
      <c r="Y32" s="303">
        <f t="shared" si="17"/>
        <v>0.36276092343076116</v>
      </c>
      <c r="Z32" s="122"/>
      <c r="AB32" s="302">
        <f t="shared" si="3"/>
        <v>0.23258353159962594</v>
      </c>
      <c r="AC32" s="302">
        <f t="shared" si="8"/>
        <v>0.22669629947925379</v>
      </c>
      <c r="AD32" s="231">
        <f t="shared" si="13"/>
        <v>0.34350018226997442</v>
      </c>
      <c r="AE32" s="231">
        <f t="shared" si="18"/>
        <v>0.36276092343076116</v>
      </c>
    </row>
    <row r="33" spans="1:31" ht="15.75">
      <c r="A33" s="219">
        <v>2005</v>
      </c>
      <c r="B33" s="175">
        <f>CBR!B128</f>
        <v>263465</v>
      </c>
      <c r="C33" s="176">
        <f>CBR!E128</f>
        <v>101082</v>
      </c>
      <c r="D33" s="176">
        <f t="shared" si="0"/>
        <v>364547</v>
      </c>
      <c r="E33" s="177">
        <f t="shared" si="1"/>
        <v>11</v>
      </c>
      <c r="F33" s="221"/>
      <c r="G33" s="222">
        <f t="shared" si="23"/>
        <v>567839</v>
      </c>
      <c r="H33" s="222">
        <f t="shared" si="22"/>
        <v>530611.66666666663</v>
      </c>
      <c r="I33" s="222">
        <f t="shared" si="24"/>
        <v>446660.8</v>
      </c>
      <c r="J33" s="222">
        <f t="shared" si="25"/>
        <v>345944.8</v>
      </c>
      <c r="K33" s="221"/>
      <c r="L33" s="179">
        <f t="shared" si="26"/>
        <v>203292</v>
      </c>
      <c r="M33" s="179">
        <f t="shared" ref="M33:O34" si="28">ABS(H33-$D33)</f>
        <v>166064.66666666663</v>
      </c>
      <c r="N33" s="179">
        <f t="shared" si="28"/>
        <v>82113.799999999988</v>
      </c>
      <c r="O33" s="179">
        <f t="shared" si="28"/>
        <v>18602.200000000012</v>
      </c>
      <c r="P33" s="163"/>
      <c r="Q33" s="122">
        <f t="shared" si="6"/>
        <v>-203292</v>
      </c>
      <c r="R33" s="122">
        <f t="shared" si="11"/>
        <v>-166064.66666666663</v>
      </c>
      <c r="S33" s="122">
        <f t="shared" si="16"/>
        <v>-82113.799999999988</v>
      </c>
      <c r="T33" s="122">
        <f t="shared" si="21"/>
        <v>18602.200000000012</v>
      </c>
      <c r="U33" s="122"/>
      <c r="V33" s="303">
        <f t="shared" si="2"/>
        <v>-0.55765648873807772</v>
      </c>
      <c r="W33" s="303">
        <f t="shared" si="7"/>
        <v>-0.45553705466419042</v>
      </c>
      <c r="X33" s="303">
        <f t="shared" si="12"/>
        <v>-0.22524887051601025</v>
      </c>
      <c r="Y33" s="303">
        <f t="shared" si="17"/>
        <v>5.1028262473700271E-2</v>
      </c>
      <c r="Z33" s="122"/>
      <c r="AB33" s="231">
        <f t="shared" si="3"/>
        <v>0.55765648873807772</v>
      </c>
      <c r="AC33" s="231">
        <f t="shared" si="8"/>
        <v>0.45553705466419042</v>
      </c>
      <c r="AD33" s="231">
        <f t="shared" si="13"/>
        <v>0.22524887051601025</v>
      </c>
      <c r="AE33" s="302">
        <f t="shared" si="18"/>
        <v>5.1028262473700271E-2</v>
      </c>
    </row>
    <row r="34" spans="1:31" ht="15.75">
      <c r="A34" s="168">
        <v>2006</v>
      </c>
      <c r="B34" s="175">
        <f>CBR!B129</f>
        <v>312150</v>
      </c>
      <c r="C34" s="176">
        <f>CBR!E129</f>
        <v>89270</v>
      </c>
      <c r="D34" s="176">
        <f t="shared" si="0"/>
        <v>401420</v>
      </c>
      <c r="E34" s="177">
        <f t="shared" si="1"/>
        <v>10</v>
      </c>
      <c r="F34" s="221"/>
      <c r="G34" s="222">
        <f t="shared" si="23"/>
        <v>364547</v>
      </c>
      <c r="H34" s="222">
        <f t="shared" si="22"/>
        <v>456051.66666666669</v>
      </c>
      <c r="I34" s="222">
        <f t="shared" si="24"/>
        <v>449944.4</v>
      </c>
      <c r="J34" s="222">
        <f t="shared" si="25"/>
        <v>324696.7</v>
      </c>
      <c r="K34" s="221"/>
      <c r="L34" s="179">
        <f t="shared" si="26"/>
        <v>36873</v>
      </c>
      <c r="M34" s="179">
        <f t="shared" si="28"/>
        <v>54631.666666666686</v>
      </c>
      <c r="N34" s="179">
        <f t="shared" si="28"/>
        <v>48524.400000000023</v>
      </c>
      <c r="O34" s="179">
        <f t="shared" si="28"/>
        <v>76723.299999999988</v>
      </c>
      <c r="P34" s="163"/>
      <c r="Q34" s="122">
        <f t="shared" si="6"/>
        <v>36873</v>
      </c>
      <c r="R34" s="122">
        <f t="shared" si="11"/>
        <v>-54631.666666666686</v>
      </c>
      <c r="S34" s="122">
        <f t="shared" si="16"/>
        <v>-48524.400000000023</v>
      </c>
      <c r="T34" s="122">
        <f t="shared" si="21"/>
        <v>76723.299999999988</v>
      </c>
      <c r="U34" s="122"/>
      <c r="V34" s="303">
        <f t="shared" si="2"/>
        <v>9.1856409745403822E-2</v>
      </c>
      <c r="W34" s="303">
        <f t="shared" si="7"/>
        <v>-0.13609602577516489</v>
      </c>
      <c r="X34" s="303">
        <f t="shared" si="12"/>
        <v>-0.12088186936375872</v>
      </c>
      <c r="Y34" s="303">
        <f t="shared" si="17"/>
        <v>0.19112973942504108</v>
      </c>
      <c r="Z34" s="122"/>
      <c r="AB34" s="302">
        <f t="shared" si="3"/>
        <v>9.1856409745403822E-2</v>
      </c>
      <c r="AC34" s="231">
        <f t="shared" si="8"/>
        <v>0.13609602577516489</v>
      </c>
      <c r="AD34" s="231">
        <f t="shared" si="13"/>
        <v>0.12088186936375872</v>
      </c>
      <c r="AE34" s="231">
        <f t="shared" si="18"/>
        <v>0.19112973942504108</v>
      </c>
    </row>
    <row r="35" spans="1:31" ht="15.75">
      <c r="A35" s="168">
        <v>2007</v>
      </c>
      <c r="B35" s="175">
        <f>CBR!B130</f>
        <v>117182</v>
      </c>
      <c r="C35" s="176">
        <f>CBR!E130</f>
        <v>53820</v>
      </c>
      <c r="D35" s="176">
        <f t="shared" ref="D35:D40" si="29">C35+B35</f>
        <v>171002</v>
      </c>
      <c r="E35" s="177">
        <f t="shared" si="1"/>
        <v>29</v>
      </c>
      <c r="F35" s="221"/>
      <c r="G35" s="222">
        <f t="shared" si="23"/>
        <v>401420</v>
      </c>
      <c r="H35" s="222">
        <f t="shared" si="22"/>
        <v>444602</v>
      </c>
      <c r="I35" s="222">
        <f t="shared" si="24"/>
        <v>471560.4</v>
      </c>
      <c r="J35" s="222">
        <f t="shared" si="25"/>
        <v>341011.5</v>
      </c>
      <c r="K35" s="221"/>
      <c r="L35" s="179">
        <f t="shared" si="26"/>
        <v>230418</v>
      </c>
      <c r="M35" s="179">
        <f t="shared" ref="M35:O37" si="30">ABS(H35-$D35)</f>
        <v>273600</v>
      </c>
      <c r="N35" s="179">
        <f t="shared" si="30"/>
        <v>300558.40000000002</v>
      </c>
      <c r="O35" s="179">
        <f t="shared" si="30"/>
        <v>170009.5</v>
      </c>
      <c r="P35" s="163"/>
      <c r="Q35" s="122">
        <f t="shared" si="6"/>
        <v>-230418</v>
      </c>
      <c r="R35" s="122">
        <f t="shared" si="11"/>
        <v>-273600</v>
      </c>
      <c r="S35" s="122">
        <f t="shared" si="16"/>
        <v>-300558.40000000002</v>
      </c>
      <c r="T35" s="122">
        <f t="shared" si="21"/>
        <v>-170009.5</v>
      </c>
      <c r="U35" s="122"/>
      <c r="V35" s="303">
        <f t="shared" si="2"/>
        <v>-1.3474579244687197</v>
      </c>
      <c r="W35" s="303">
        <f t="shared" si="7"/>
        <v>-1.5999812867685759</v>
      </c>
      <c r="X35" s="303">
        <f t="shared" si="12"/>
        <v>-1.7576309049016972</v>
      </c>
      <c r="Y35" s="303">
        <f t="shared" si="17"/>
        <v>-0.99419597431608986</v>
      </c>
      <c r="Z35" s="122"/>
      <c r="AB35" s="231">
        <f t="shared" si="3"/>
        <v>1.3474579244687197</v>
      </c>
      <c r="AC35" s="231">
        <f t="shared" si="8"/>
        <v>1.5999812867685759</v>
      </c>
      <c r="AD35" s="231">
        <f t="shared" si="13"/>
        <v>1.7576309049016972</v>
      </c>
      <c r="AE35" s="302">
        <f t="shared" si="18"/>
        <v>0.99419597431608986</v>
      </c>
    </row>
    <row r="36" spans="1:31" ht="15.75">
      <c r="A36" s="168">
        <v>2008</v>
      </c>
      <c r="B36" s="175">
        <f>CBR!B131</f>
        <v>202412</v>
      </c>
      <c r="C36" s="176">
        <f>CBR!E131</f>
        <v>76892</v>
      </c>
      <c r="D36" s="176">
        <f t="shared" si="29"/>
        <v>279304</v>
      </c>
      <c r="E36" s="177">
        <f t="shared" si="1"/>
        <v>23</v>
      </c>
      <c r="F36" s="221"/>
      <c r="G36" s="222">
        <f t="shared" si="23"/>
        <v>171002</v>
      </c>
      <c r="H36" s="222">
        <f t="shared" si="22"/>
        <v>312323</v>
      </c>
      <c r="I36" s="222">
        <f t="shared" si="24"/>
        <v>388115.4</v>
      </c>
      <c r="J36" s="222">
        <f t="shared" si="25"/>
        <v>350772.1</v>
      </c>
      <c r="K36" s="221"/>
      <c r="L36" s="179">
        <f t="shared" si="26"/>
        <v>108302</v>
      </c>
      <c r="M36" s="179">
        <f t="shared" si="30"/>
        <v>33019</v>
      </c>
      <c r="N36" s="179">
        <f t="shared" si="30"/>
        <v>108811.40000000002</v>
      </c>
      <c r="O36" s="179">
        <f t="shared" si="30"/>
        <v>71468.099999999977</v>
      </c>
      <c r="P36" s="163"/>
      <c r="Q36" s="122">
        <f t="shared" si="6"/>
        <v>108302</v>
      </c>
      <c r="R36" s="122">
        <f t="shared" si="11"/>
        <v>-33019</v>
      </c>
      <c r="S36" s="122">
        <f t="shared" si="16"/>
        <v>-108811.40000000002</v>
      </c>
      <c r="T36" s="122">
        <f t="shared" si="21"/>
        <v>-71468.099999999977</v>
      </c>
      <c r="U36" s="122"/>
      <c r="V36" s="303">
        <f t="shared" si="2"/>
        <v>0.3877567095351302</v>
      </c>
      <c r="W36" s="303">
        <f t="shared" si="7"/>
        <v>-0.1182188583049294</v>
      </c>
      <c r="X36" s="303">
        <f t="shared" si="12"/>
        <v>-0.38958052874287524</v>
      </c>
      <c r="Y36" s="303">
        <f t="shared" si="17"/>
        <v>-0.25587925701028263</v>
      </c>
      <c r="Z36" s="122"/>
      <c r="AB36" s="231">
        <f t="shared" si="3"/>
        <v>0.3877567095351302</v>
      </c>
      <c r="AC36" s="302">
        <f t="shared" si="8"/>
        <v>0.1182188583049294</v>
      </c>
      <c r="AD36" s="231">
        <f t="shared" si="13"/>
        <v>0.38958052874287524</v>
      </c>
      <c r="AE36" s="231">
        <f t="shared" si="18"/>
        <v>0.25587925701028263</v>
      </c>
    </row>
    <row r="37" spans="1:31" ht="15.75">
      <c r="A37" s="168">
        <v>2009</v>
      </c>
      <c r="B37" s="175">
        <f>CBR!B132</f>
        <v>207776</v>
      </c>
      <c r="C37" s="176">
        <f>CBR!E132</f>
        <v>41294</v>
      </c>
      <c r="D37" s="176">
        <f t="shared" si="29"/>
        <v>249070</v>
      </c>
      <c r="E37" s="177">
        <f t="shared" si="1"/>
        <v>25</v>
      </c>
      <c r="F37" s="221"/>
      <c r="G37" s="222">
        <f t="shared" ref="G37:G42" si="31">D36</f>
        <v>279304</v>
      </c>
      <c r="H37" s="222">
        <f t="shared" ref="H37:H42" si="32">AVERAGE(D34:D36)</f>
        <v>283908.66666666669</v>
      </c>
      <c r="I37" s="222">
        <f t="shared" ref="I37:I42" si="33">AVERAGE(D32:D36)</f>
        <v>356822.4</v>
      </c>
      <c r="J37" s="222">
        <f t="shared" ref="J37:J42" si="34">AVERAGE(D27:D36)</f>
        <v>364804.3</v>
      </c>
      <c r="K37" s="221"/>
      <c r="L37" s="179">
        <f>ABS(G37-D37)</f>
        <v>30234</v>
      </c>
      <c r="M37" s="179">
        <f t="shared" si="30"/>
        <v>34838.666666666686</v>
      </c>
      <c r="N37" s="179">
        <f t="shared" si="30"/>
        <v>107752.40000000002</v>
      </c>
      <c r="O37" s="179">
        <f t="shared" si="30"/>
        <v>115734.29999999999</v>
      </c>
      <c r="P37" s="163"/>
      <c r="Q37" s="122">
        <f t="shared" si="6"/>
        <v>-30234</v>
      </c>
      <c r="R37" s="122">
        <f t="shared" si="11"/>
        <v>-34838.666666666686</v>
      </c>
      <c r="S37" s="122">
        <f t="shared" si="16"/>
        <v>-107752.40000000002</v>
      </c>
      <c r="T37" s="122">
        <f t="shared" si="21"/>
        <v>-115734.29999999999</v>
      </c>
      <c r="U37" s="122"/>
      <c r="V37" s="303">
        <f t="shared" si="2"/>
        <v>-0.12138756172963423</v>
      </c>
      <c r="W37" s="303">
        <f t="shared" si="7"/>
        <v>-0.13987500167288988</v>
      </c>
      <c r="X37" s="303">
        <f t="shared" si="12"/>
        <v>-0.43261894246597349</v>
      </c>
      <c r="Y37" s="303">
        <f t="shared" si="17"/>
        <v>-0.4646657566146063</v>
      </c>
      <c r="Z37" s="122"/>
      <c r="AB37" s="302">
        <f t="shared" si="3"/>
        <v>0.12138756172963423</v>
      </c>
      <c r="AC37" s="231">
        <f t="shared" si="8"/>
        <v>0.13987500167288988</v>
      </c>
      <c r="AD37" s="231">
        <f t="shared" si="13"/>
        <v>0.43261894246597349</v>
      </c>
      <c r="AE37" s="231">
        <f t="shared" si="18"/>
        <v>0.4646657566146063</v>
      </c>
    </row>
    <row r="38" spans="1:31" ht="15.75">
      <c r="A38" s="168">
        <v>2010</v>
      </c>
      <c r="B38" s="175">
        <f>CBR!B133</f>
        <v>210621</v>
      </c>
      <c r="C38" s="176">
        <f>CBR!E133</f>
        <v>41077</v>
      </c>
      <c r="D38" s="176">
        <f t="shared" si="29"/>
        <v>251698</v>
      </c>
      <c r="E38" s="177">
        <f t="shared" si="1"/>
        <v>24</v>
      </c>
      <c r="F38" s="221"/>
      <c r="G38" s="288">
        <f t="shared" si="31"/>
        <v>249070</v>
      </c>
      <c r="H38" s="288">
        <f t="shared" si="32"/>
        <v>233125.33333333334</v>
      </c>
      <c r="I38" s="288">
        <f t="shared" si="33"/>
        <v>293068.59999999998</v>
      </c>
      <c r="J38" s="288">
        <f t="shared" si="34"/>
        <v>369864.7</v>
      </c>
      <c r="K38" s="221"/>
      <c r="L38" s="179">
        <f>ABS(G38-D38)</f>
        <v>2628</v>
      </c>
      <c r="M38" s="179">
        <f t="shared" ref="M38:O39" si="35">ABS(H38-$D38)</f>
        <v>18572.666666666657</v>
      </c>
      <c r="N38" s="179">
        <f t="shared" si="35"/>
        <v>41370.599999999977</v>
      </c>
      <c r="O38" s="179">
        <f t="shared" si="35"/>
        <v>118166.70000000001</v>
      </c>
      <c r="P38" s="163"/>
      <c r="Q38" s="122">
        <f t="shared" si="6"/>
        <v>2628</v>
      </c>
      <c r="R38" s="122">
        <f t="shared" si="11"/>
        <v>18572.666666666657</v>
      </c>
      <c r="S38" s="122">
        <f t="shared" si="16"/>
        <v>-41370.599999999977</v>
      </c>
      <c r="T38" s="122">
        <f t="shared" si="21"/>
        <v>-118166.70000000001</v>
      </c>
      <c r="U38" s="122"/>
      <c r="V38" s="303">
        <f t="shared" si="2"/>
        <v>1.0441084156409666E-2</v>
      </c>
      <c r="W38" s="303">
        <f t="shared" si="7"/>
        <v>7.3789488461039249E-2</v>
      </c>
      <c r="X38" s="303">
        <f t="shared" si="12"/>
        <v>-0.16436602595173572</v>
      </c>
      <c r="Y38" s="303">
        <f t="shared" si="17"/>
        <v>-0.46947810471279078</v>
      </c>
      <c r="Z38" s="122"/>
      <c r="AB38" s="302">
        <f t="shared" si="3"/>
        <v>1.0441084156409666E-2</v>
      </c>
      <c r="AC38" s="231">
        <f t="shared" si="8"/>
        <v>7.3789488461039249E-2</v>
      </c>
      <c r="AD38" s="231">
        <f t="shared" si="13"/>
        <v>0.16436602595173572</v>
      </c>
      <c r="AE38" s="231">
        <f t="shared" si="18"/>
        <v>0.46947810471279078</v>
      </c>
    </row>
    <row r="39" spans="1:31" ht="15.75">
      <c r="A39" s="168">
        <v>2011</v>
      </c>
      <c r="B39" s="175">
        <f>CBR!B134</f>
        <v>127502</v>
      </c>
      <c r="C39" s="176">
        <f>CBR!E134</f>
        <v>38525</v>
      </c>
      <c r="D39" s="176">
        <f t="shared" si="29"/>
        <v>166027</v>
      </c>
      <c r="E39" s="177">
        <f t="shared" si="1"/>
        <v>31</v>
      </c>
      <c r="F39" s="221"/>
      <c r="G39" s="288">
        <f t="shared" si="31"/>
        <v>251698</v>
      </c>
      <c r="H39" s="288">
        <f t="shared" si="32"/>
        <v>260024</v>
      </c>
      <c r="I39" s="288">
        <f t="shared" si="33"/>
        <v>270498.8</v>
      </c>
      <c r="J39" s="288">
        <f t="shared" si="34"/>
        <v>360221.6</v>
      </c>
      <c r="K39" s="221"/>
      <c r="L39" s="179">
        <f>ABS(G39-D39)</f>
        <v>85671</v>
      </c>
      <c r="M39" s="179">
        <f t="shared" si="35"/>
        <v>93997</v>
      </c>
      <c r="N39" s="179">
        <f t="shared" si="35"/>
        <v>104471.79999999999</v>
      </c>
      <c r="O39" s="179">
        <f t="shared" si="35"/>
        <v>194194.59999999998</v>
      </c>
      <c r="P39" s="163"/>
      <c r="Q39" s="122">
        <f t="shared" si="6"/>
        <v>-85671</v>
      </c>
      <c r="R39" s="122">
        <f t="shared" si="11"/>
        <v>-93997</v>
      </c>
      <c r="S39" s="122">
        <f t="shared" si="16"/>
        <v>-104471.79999999999</v>
      </c>
      <c r="T39" s="122">
        <f t="shared" si="21"/>
        <v>-194194.59999999998</v>
      </c>
      <c r="U39" s="122"/>
      <c r="V39" s="303">
        <f t="shared" si="2"/>
        <v>-0.51600643268865909</v>
      </c>
      <c r="W39" s="303">
        <f t="shared" si="7"/>
        <v>-0.56615490251585587</v>
      </c>
      <c r="X39" s="303">
        <f t="shared" si="12"/>
        <v>-0.62924584555524099</v>
      </c>
      <c r="Y39" s="303">
        <f t="shared" si="17"/>
        <v>-1.1696567425780142</v>
      </c>
      <c r="Z39" s="122"/>
      <c r="AB39" s="302">
        <f t="shared" si="3"/>
        <v>0.51600643268865909</v>
      </c>
      <c r="AC39" s="231">
        <f t="shared" si="8"/>
        <v>0.56615490251585587</v>
      </c>
      <c r="AD39" s="231">
        <f t="shared" si="13"/>
        <v>0.62924584555524099</v>
      </c>
      <c r="AE39" s="231">
        <f t="shared" si="18"/>
        <v>1.1696567425780142</v>
      </c>
    </row>
    <row r="40" spans="1:31" ht="15.75">
      <c r="A40" s="168">
        <v>2012</v>
      </c>
      <c r="B40" s="175">
        <f>CBR!B135</f>
        <v>131250</v>
      </c>
      <c r="C40" s="176">
        <f>CBR!E135</f>
        <v>37010</v>
      </c>
      <c r="D40" s="176">
        <f t="shared" si="29"/>
        <v>168260</v>
      </c>
      <c r="E40" s="177">
        <f>_xlfn.RANK.AVG(D40,($D$8:$D$41))</f>
        <v>30</v>
      </c>
      <c r="F40" s="221"/>
      <c r="G40" s="288">
        <f t="shared" si="31"/>
        <v>166027</v>
      </c>
      <c r="H40" s="288">
        <f t="shared" si="32"/>
        <v>222265</v>
      </c>
      <c r="I40" s="288">
        <f t="shared" si="33"/>
        <v>223420.2</v>
      </c>
      <c r="J40" s="288">
        <f t="shared" si="34"/>
        <v>347490.3</v>
      </c>
      <c r="K40" s="221"/>
      <c r="L40" s="179">
        <f>ABS(G40-D40)</f>
        <v>2233</v>
      </c>
      <c r="M40" s="179">
        <f t="shared" ref="M40" si="36">ABS(H40-$D40)</f>
        <v>54005</v>
      </c>
      <c r="N40" s="179">
        <f t="shared" ref="N40" si="37">ABS(I40-$D40)</f>
        <v>55160.200000000012</v>
      </c>
      <c r="O40" s="179">
        <f t="shared" ref="O40" si="38">ABS(J40-$D40)</f>
        <v>179230.3</v>
      </c>
      <c r="P40" s="163"/>
      <c r="Q40" s="122">
        <f t="shared" si="6"/>
        <v>2233</v>
      </c>
      <c r="R40" s="122">
        <f t="shared" si="11"/>
        <v>-54005</v>
      </c>
      <c r="S40" s="122">
        <f t="shared" si="16"/>
        <v>-55160.200000000012</v>
      </c>
      <c r="T40" s="122">
        <f t="shared" si="21"/>
        <v>-179230.3</v>
      </c>
      <c r="U40" s="122"/>
      <c r="V40" s="303">
        <f t="shared" si="2"/>
        <v>1.3271128016165458E-2</v>
      </c>
      <c r="W40" s="303">
        <f t="shared" si="7"/>
        <v>-0.32096160703672888</v>
      </c>
      <c r="X40" s="303">
        <f t="shared" si="12"/>
        <v>-0.32782717223344832</v>
      </c>
      <c r="Y40" s="303">
        <f t="shared" si="17"/>
        <v>-1.0651985023178414</v>
      </c>
      <c r="Z40" s="122"/>
      <c r="AB40" s="302">
        <f t="shared" si="3"/>
        <v>1.3271128016165458E-2</v>
      </c>
      <c r="AC40" s="231">
        <f t="shared" si="8"/>
        <v>0.32096160703672888</v>
      </c>
      <c r="AD40" s="231">
        <f t="shared" si="13"/>
        <v>0.32782717223344832</v>
      </c>
      <c r="AE40" s="231">
        <f t="shared" si="18"/>
        <v>1.0651985023178414</v>
      </c>
    </row>
    <row r="41" spans="1:31" ht="15.75">
      <c r="A41" s="168">
        <v>2013</v>
      </c>
      <c r="B41" s="175">
        <f>CBR!B136</f>
        <v>244985</v>
      </c>
      <c r="C41" s="176">
        <f>CBR!E136</f>
        <v>34680</v>
      </c>
      <c r="D41" s="176">
        <f t="shared" ref="D41" si="39">C41+B41</f>
        <v>279665</v>
      </c>
      <c r="E41" s="177">
        <f t="shared" si="1"/>
        <v>22</v>
      </c>
      <c r="F41" s="221"/>
      <c r="G41" s="288">
        <f t="shared" si="31"/>
        <v>168260</v>
      </c>
      <c r="H41" s="288">
        <f t="shared" si="32"/>
        <v>195328.33333333334</v>
      </c>
      <c r="I41" s="288">
        <f t="shared" si="33"/>
        <v>222871.8</v>
      </c>
      <c r="J41" s="288">
        <f t="shared" si="34"/>
        <v>305493.59999999998</v>
      </c>
      <c r="K41" s="221"/>
      <c r="L41" s="179">
        <f>ABS(G41-D41)</f>
        <v>111405</v>
      </c>
      <c r="M41" s="179">
        <f t="shared" ref="M41" si="40">ABS(H41-$D41)</f>
        <v>84336.666666666657</v>
      </c>
      <c r="N41" s="179">
        <f t="shared" ref="N41" si="41">ABS(I41-$D41)</f>
        <v>56793.200000000012</v>
      </c>
      <c r="O41" s="179">
        <f t="shared" ref="O41" si="42">ABS(J41-$D41)</f>
        <v>25828.599999999977</v>
      </c>
      <c r="P41" s="163"/>
      <c r="Q41" s="122">
        <f t="shared" ref="Q41" si="43">$D41-G41</f>
        <v>111405</v>
      </c>
      <c r="R41" s="122">
        <f t="shared" ref="R41" si="44">$D41-H41</f>
        <v>84336.666666666657</v>
      </c>
      <c r="S41" s="122">
        <f t="shared" ref="S41" si="45">$D41-I41</f>
        <v>56793.200000000012</v>
      </c>
      <c r="T41" s="122">
        <f t="shared" ref="T41" si="46">$D41-J41</f>
        <v>-25828.599999999977</v>
      </c>
      <c r="U41" s="122"/>
      <c r="V41" s="303">
        <f t="shared" ref="V41" si="47">(($D41-G41)/$D41)</f>
        <v>0.39835159923479879</v>
      </c>
      <c r="W41" s="303">
        <f t="shared" ref="W41" si="48">(($D41-H41)/$D41)</f>
        <v>0.30156317975673275</v>
      </c>
      <c r="X41" s="303">
        <f t="shared" ref="X41" si="49">(($D41-I41)/$D41)</f>
        <v>0.20307582285949266</v>
      </c>
      <c r="Y41" s="303">
        <f t="shared" ref="Y41" si="50">(($D41-J41)/$D41)</f>
        <v>-9.2355496755046132E-2</v>
      </c>
      <c r="Z41" s="122"/>
      <c r="AB41" s="302">
        <f t="shared" ref="AB41" si="51">ABS(($D41-G41)/$D41)</f>
        <v>0.39835159923479879</v>
      </c>
      <c r="AC41" s="231">
        <f t="shared" ref="AC41" si="52">ABS(($D41-H41)/$D41)</f>
        <v>0.30156317975673275</v>
      </c>
      <c r="AD41" s="231">
        <f t="shared" ref="AD41" si="53">ABS(($D41-I41)/$D41)</f>
        <v>0.20307582285949266</v>
      </c>
      <c r="AE41" s="231">
        <f t="shared" ref="AE41" si="54">ABS(($D41-J41)/$D41)</f>
        <v>9.2355496755046132E-2</v>
      </c>
    </row>
    <row r="42" spans="1:31" ht="15.75">
      <c r="A42" s="168">
        <v>2014</v>
      </c>
      <c r="B42" s="175"/>
      <c r="C42" s="176"/>
      <c r="D42" s="315"/>
      <c r="E42" s="177"/>
      <c r="F42" s="221"/>
      <c r="G42" s="288">
        <f t="shared" si="31"/>
        <v>279665</v>
      </c>
      <c r="H42" s="288">
        <f t="shared" si="32"/>
        <v>204650.66666666666</v>
      </c>
      <c r="I42" s="288">
        <f t="shared" si="33"/>
        <v>222944</v>
      </c>
      <c r="J42" s="288">
        <f t="shared" si="34"/>
        <v>289883.2</v>
      </c>
      <c r="K42" s="221"/>
      <c r="L42" s="179"/>
      <c r="M42" s="179"/>
      <c r="N42" s="179"/>
      <c r="O42" s="179"/>
      <c r="P42" s="163"/>
      <c r="Q42" s="122"/>
      <c r="R42" s="122"/>
      <c r="S42" s="122"/>
      <c r="T42" s="122"/>
      <c r="U42" s="122"/>
      <c r="V42" s="305"/>
      <c r="W42" s="305"/>
      <c r="X42" s="305"/>
      <c r="Y42" s="305"/>
      <c r="Z42" s="122"/>
      <c r="AB42" s="231"/>
      <c r="AC42" s="231"/>
      <c r="AD42" s="231"/>
      <c r="AE42" s="231"/>
    </row>
    <row r="43" spans="1:31" ht="15.75">
      <c r="A43" s="168"/>
      <c r="B43" s="175"/>
      <c r="C43" s="176"/>
      <c r="D43" s="176"/>
      <c r="E43" s="220"/>
      <c r="F43" s="221"/>
      <c r="G43" s="288"/>
      <c r="H43" s="288"/>
      <c r="I43" s="288"/>
      <c r="J43" s="288"/>
      <c r="K43" s="221"/>
      <c r="L43" s="179"/>
      <c r="M43" s="179"/>
      <c r="N43" s="179"/>
      <c r="O43" s="179"/>
      <c r="P43" s="163"/>
      <c r="Q43" s="122"/>
      <c r="R43" s="122"/>
      <c r="S43" s="122"/>
      <c r="T43" s="122"/>
      <c r="U43" s="122"/>
      <c r="V43" s="305"/>
      <c r="W43" s="305"/>
      <c r="X43" s="305"/>
      <c r="Y43" s="305"/>
      <c r="Z43" s="122"/>
      <c r="AB43" s="231"/>
      <c r="AC43" s="231"/>
      <c r="AD43" s="231"/>
      <c r="AE43" s="231"/>
    </row>
    <row r="44" spans="1:31" ht="15.75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1:31" ht="15.75">
      <c r="A45" s="180"/>
      <c r="B45" s="180"/>
      <c r="C45" s="180"/>
      <c r="D45" s="180"/>
      <c r="E45" s="180"/>
      <c r="F45" s="180"/>
      <c r="G45" s="180"/>
      <c r="H45" s="180"/>
      <c r="I45" s="180"/>
      <c r="J45" s="181" t="s">
        <v>113</v>
      </c>
      <c r="K45" s="180"/>
      <c r="L45" s="223">
        <f>AVERAGE(L8:L44)</f>
        <v>144872.30303030304</v>
      </c>
      <c r="M45" s="223">
        <f>AVERAGE(M8:M44)</f>
        <v>136315.22580645161</v>
      </c>
      <c r="N45" s="223">
        <f>AVERAGE(N8:N44)</f>
        <v>158568.88965517242</v>
      </c>
      <c r="O45" s="223">
        <f>AVERAGE(O8:O44)</f>
        <v>131658.69999999998</v>
      </c>
      <c r="P45" s="180"/>
      <c r="Q45" s="230">
        <f>AVERAGE(Q8:Q44)</f>
        <v>-942.30303030303025</v>
      </c>
      <c r="R45" s="230">
        <f>AVERAGE(R8:R44)</f>
        <v>-12934.903225806447</v>
      </c>
      <c r="S45" s="230">
        <f>AVERAGE(S8:S44)</f>
        <v>-17972.641379310346</v>
      </c>
      <c r="T45" s="230">
        <f>AVERAGE(T8:T44)</f>
        <v>-22613.649999999998</v>
      </c>
      <c r="U45" s="230"/>
      <c r="V45" s="230"/>
      <c r="W45" s="230"/>
      <c r="X45" s="230"/>
      <c r="Y45" s="230"/>
      <c r="Z45" s="230"/>
      <c r="AA45" s="94"/>
      <c r="AB45" s="233">
        <f>AVERAGE(AB9:AB44)</f>
        <v>0.50438474126652622</v>
      </c>
      <c r="AC45" s="233">
        <f>AVERAGE(AC8:AC44)</f>
        <v>0.62616887228901252</v>
      </c>
      <c r="AD45" s="233">
        <f>AVERAGE(AD8:AD44)</f>
        <v>0.69493839502126931</v>
      </c>
      <c r="AE45" s="233">
        <f>AVERAGE(AE8:AE44)</f>
        <v>0.59579359180837732</v>
      </c>
    </row>
    <row r="46" spans="1:31" ht="15.75">
      <c r="A46" s="165"/>
      <c r="B46" s="165"/>
      <c r="C46" s="165"/>
      <c r="D46" s="165"/>
      <c r="E46" s="165"/>
      <c r="F46" s="165"/>
      <c r="G46" s="165"/>
      <c r="H46" s="165"/>
      <c r="I46" s="165" t="s">
        <v>181</v>
      </c>
      <c r="K46" s="165"/>
      <c r="L46" s="165"/>
      <c r="M46" s="165"/>
      <c r="N46" s="165"/>
      <c r="O46" s="165"/>
      <c r="P46" s="163"/>
      <c r="AB46" s="280">
        <f>STDEV(AB9:AB44)</f>
        <v>0.48290119675147758</v>
      </c>
      <c r="AC46" s="280">
        <f>STDEV(AC9:AC44)</f>
        <v>1.1265966454522698</v>
      </c>
      <c r="AD46" s="280">
        <f>STDEV(AD9:AD44)</f>
        <v>0.9863647258843472</v>
      </c>
      <c r="AE46" s="280">
        <f>STDEV(AE9:AE44)</f>
        <v>0.82588193129126064</v>
      </c>
    </row>
    <row r="47" spans="1:31" ht="47.25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3"/>
      <c r="U47" s="307" t="s">
        <v>239</v>
      </c>
      <c r="V47" s="306">
        <f>MAX(V9:V40)</f>
        <v>0.59381422890380731</v>
      </c>
      <c r="W47" s="306">
        <f t="shared" ref="W47:Y47" si="55">MAX(W9:W40)</f>
        <v>0.60661708734405928</v>
      </c>
      <c r="X47" s="306">
        <f t="shared" si="55"/>
        <v>0.64220853514034548</v>
      </c>
      <c r="Y47" s="306">
        <f t="shared" si="55"/>
        <v>0.50809648870588531</v>
      </c>
    </row>
    <row r="48" spans="1:31" ht="47.25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U48" s="307" t="s">
        <v>240</v>
      </c>
      <c r="V48" s="304">
        <f>MIN(V9:V40)</f>
        <v>-2.246389449016295</v>
      </c>
      <c r="W48" s="304">
        <f t="shared" ref="W48:Y48" si="56">MIN(W9:W40)</f>
        <v>-6.0039375442803422</v>
      </c>
      <c r="X48" s="304">
        <f t="shared" si="56"/>
        <v>-5.0100877432012645</v>
      </c>
      <c r="Y48" s="304">
        <f t="shared" si="56"/>
        <v>-3.9908019510600035</v>
      </c>
    </row>
    <row r="49" spans="1:22" ht="15.75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</row>
    <row r="50" spans="1:22" ht="16.5" thickBot="1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</row>
    <row r="51" spans="1:22" ht="23.25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U51" s="308" t="s">
        <v>241</v>
      </c>
      <c r="V51" s="309">
        <f>V52/(1-V48)</f>
        <v>86146.472686677414</v>
      </c>
    </row>
    <row r="52" spans="1:22" ht="69.75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U52" s="310" t="s">
        <v>242</v>
      </c>
      <c r="V52" s="311">
        <f>G42</f>
        <v>279665</v>
      </c>
    </row>
    <row r="53" spans="1:22" ht="24" thickBot="1">
      <c r="U53" s="312" t="s">
        <v>243</v>
      </c>
      <c r="V53" s="313">
        <f>V52/(1-V47)</f>
        <v>688515.00938906567</v>
      </c>
    </row>
  </sheetData>
  <phoneticPr fontId="17" type="noConversion"/>
  <pageMargins left="1" right="1" top="1" bottom="1" header="0.5" footer="0.5"/>
  <pageSetup scale="6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4" workbookViewId="0"/>
  </sheetViews>
  <sheetFormatPr defaultRowHeight="15"/>
  <cols>
    <col min="1" max="1" width="2.33203125" customWidth="1"/>
    <col min="2" max="2" width="5.88671875" customWidth="1"/>
    <col min="3" max="3" width="28.5546875" bestFit="1" customWidth="1"/>
    <col min="4" max="4" width="12.77734375" bestFit="1" customWidth="1"/>
    <col min="5" max="5" width="10.33203125" bestFit="1" customWidth="1"/>
    <col min="6" max="6" width="10" customWidth="1"/>
    <col min="7" max="7" width="5.6640625" customWidth="1"/>
  </cols>
  <sheetData>
    <row r="1" spans="1:5" ht="15.75">
      <c r="A1" s="111" t="s">
        <v>200</v>
      </c>
    </row>
    <row r="2" spans="1:5" ht="15.75">
      <c r="A2" s="111" t="s">
        <v>201</v>
      </c>
    </row>
    <row r="3" spans="1:5" ht="15.75">
      <c r="A3" s="111" t="s">
        <v>202</v>
      </c>
    </row>
    <row r="4" spans="1:5" ht="15.75">
      <c r="A4" s="111" t="s">
        <v>203</v>
      </c>
    </row>
    <row r="5" spans="1:5" ht="15.75">
      <c r="A5" s="111" t="s">
        <v>204</v>
      </c>
    </row>
    <row r="6" spans="1:5" ht="15.75">
      <c r="A6" s="111"/>
      <c r="B6" t="s">
        <v>205</v>
      </c>
    </row>
    <row r="7" spans="1:5" ht="15.75">
      <c r="A7" s="111"/>
      <c r="B7" t="s">
        <v>206</v>
      </c>
    </row>
    <row r="8" spans="1:5" ht="15.75">
      <c r="A8" s="111"/>
      <c r="B8" t="s">
        <v>207</v>
      </c>
    </row>
    <row r="9" spans="1:5" ht="15.75">
      <c r="A9" s="111" t="s">
        <v>208</v>
      </c>
    </row>
    <row r="10" spans="1:5">
      <c r="B10" t="s">
        <v>209</v>
      </c>
    </row>
    <row r="11" spans="1:5">
      <c r="B11" t="s">
        <v>210</v>
      </c>
    </row>
    <row r="12" spans="1:5">
      <c r="B12" t="s">
        <v>211</v>
      </c>
    </row>
    <row r="14" spans="1:5" ht="15.75" thickBot="1">
      <c r="A14" t="s">
        <v>212</v>
      </c>
    </row>
    <row r="15" spans="1:5" ht="16.5" thickBot="1">
      <c r="B15" s="295" t="s">
        <v>213</v>
      </c>
      <c r="C15" s="295" t="s">
        <v>214</v>
      </c>
      <c r="D15" s="295" t="s">
        <v>215</v>
      </c>
      <c r="E15" s="295" t="s">
        <v>216</v>
      </c>
    </row>
    <row r="16" spans="1:5" ht="15.75" thickBot="1">
      <c r="B16" s="294" t="s">
        <v>224</v>
      </c>
      <c r="C16" s="294" t="s">
        <v>225</v>
      </c>
      <c r="D16" s="297">
        <v>0.71289243166075444</v>
      </c>
      <c r="E16" s="297">
        <v>0.71289243166075444</v>
      </c>
    </row>
    <row r="19" spans="1:7" ht="15.75" thickBot="1">
      <c r="A19" t="s">
        <v>217</v>
      </c>
    </row>
    <row r="20" spans="1:7" ht="16.5" thickBot="1">
      <c r="B20" s="295" t="s">
        <v>213</v>
      </c>
      <c r="C20" s="295" t="s">
        <v>214</v>
      </c>
      <c r="D20" s="295" t="s">
        <v>215</v>
      </c>
      <c r="E20" s="295" t="s">
        <v>216</v>
      </c>
      <c r="F20" s="295" t="s">
        <v>218</v>
      </c>
    </row>
    <row r="21" spans="1:7">
      <c r="B21" s="296" t="s">
        <v>226</v>
      </c>
      <c r="C21" s="296" t="s">
        <v>130</v>
      </c>
      <c r="D21" s="298">
        <v>0</v>
      </c>
      <c r="E21" s="298">
        <v>0</v>
      </c>
      <c r="F21" s="296" t="s">
        <v>227</v>
      </c>
    </row>
    <row r="22" spans="1:7">
      <c r="B22" s="296" t="s">
        <v>228</v>
      </c>
      <c r="C22" s="296" t="s">
        <v>131</v>
      </c>
      <c r="D22" s="298">
        <v>0</v>
      </c>
      <c r="E22" s="298">
        <v>0</v>
      </c>
      <c r="F22" s="296" t="s">
        <v>227</v>
      </c>
    </row>
    <row r="23" spans="1:7" ht="15.75" thickBot="1">
      <c r="B23" s="294" t="s">
        <v>229</v>
      </c>
      <c r="C23" s="294" t="s">
        <v>132</v>
      </c>
      <c r="D23" s="299">
        <v>0.14548504238360574</v>
      </c>
      <c r="E23" s="299">
        <v>0.14548504238360574</v>
      </c>
      <c r="F23" s="294" t="s">
        <v>227</v>
      </c>
    </row>
    <row r="26" spans="1:7" ht="15.75" thickBot="1">
      <c r="A26" t="s">
        <v>219</v>
      </c>
    </row>
    <row r="27" spans="1:7" ht="16.5" thickBot="1">
      <c r="B27" s="295" t="s">
        <v>213</v>
      </c>
      <c r="C27" s="295" t="s">
        <v>214</v>
      </c>
      <c r="D27" s="295" t="s">
        <v>220</v>
      </c>
      <c r="E27" s="295" t="s">
        <v>221</v>
      </c>
      <c r="F27" s="295" t="s">
        <v>222</v>
      </c>
      <c r="G27" s="295" t="s">
        <v>223</v>
      </c>
    </row>
    <row r="28" spans="1:7">
      <c r="B28" s="296" t="s">
        <v>230</v>
      </c>
      <c r="C28" s="296" t="s">
        <v>129</v>
      </c>
      <c r="D28" s="298">
        <v>0.85451495761639429</v>
      </c>
      <c r="E28" s="296" t="s">
        <v>231</v>
      </c>
      <c r="F28" s="296" t="s">
        <v>232</v>
      </c>
      <c r="G28" s="298">
        <v>0.85451495761639429</v>
      </c>
    </row>
    <row r="29" spans="1:7">
      <c r="B29" s="296" t="s">
        <v>226</v>
      </c>
      <c r="C29" s="296" t="s">
        <v>130</v>
      </c>
      <c r="D29" s="298">
        <v>0</v>
      </c>
      <c r="E29" s="296" t="s">
        <v>233</v>
      </c>
      <c r="F29" s="296" t="s">
        <v>234</v>
      </c>
      <c r="G29" s="298">
        <v>0</v>
      </c>
    </row>
    <row r="30" spans="1:7">
      <c r="B30" s="296" t="s">
        <v>228</v>
      </c>
      <c r="C30" s="296" t="s">
        <v>131</v>
      </c>
      <c r="D30" s="298">
        <v>0</v>
      </c>
      <c r="E30" s="296" t="s">
        <v>235</v>
      </c>
      <c r="F30" s="296" t="s">
        <v>234</v>
      </c>
      <c r="G30" s="298">
        <v>0</v>
      </c>
    </row>
    <row r="31" spans="1:7" ht="15.75" thickBot="1">
      <c r="B31" s="294" t="s">
        <v>229</v>
      </c>
      <c r="C31" s="294" t="s">
        <v>132</v>
      </c>
      <c r="D31" s="299">
        <v>0.14548504238360574</v>
      </c>
      <c r="E31" s="294" t="s">
        <v>236</v>
      </c>
      <c r="F31" s="294" t="s">
        <v>232</v>
      </c>
      <c r="G31" s="299">
        <v>0.14548504238360574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F21" sqref="F21"/>
    </sheetView>
  </sheetViews>
  <sheetFormatPr defaultRowHeight="15"/>
  <cols>
    <col min="1" max="1" width="2.33203125" customWidth="1"/>
    <col min="2" max="2" width="5.88671875" customWidth="1"/>
    <col min="3" max="3" width="28.5546875" bestFit="1" customWidth="1"/>
    <col min="4" max="4" width="12.77734375" bestFit="1" customWidth="1"/>
    <col min="5" max="5" width="10.33203125" bestFit="1" customWidth="1"/>
    <col min="6" max="6" width="10" customWidth="1"/>
    <col min="7" max="7" width="5.6640625" customWidth="1"/>
  </cols>
  <sheetData>
    <row r="1" spans="1:5" ht="15.75">
      <c r="A1" s="111" t="s">
        <v>200</v>
      </c>
    </row>
    <row r="2" spans="1:5" ht="15.75">
      <c r="A2" s="111" t="s">
        <v>201</v>
      </c>
    </row>
    <row r="3" spans="1:5" ht="15.75">
      <c r="A3" s="111" t="s">
        <v>237</v>
      </c>
    </row>
    <row r="4" spans="1:5" ht="15.75">
      <c r="A4" s="111" t="s">
        <v>203</v>
      </c>
    </row>
    <row r="5" spans="1:5" ht="15.75">
      <c r="A5" s="111" t="s">
        <v>204</v>
      </c>
    </row>
    <row r="6" spans="1:5" ht="15.75">
      <c r="A6" s="111"/>
      <c r="B6" t="s">
        <v>205</v>
      </c>
    </row>
    <row r="7" spans="1:5" ht="15.75">
      <c r="A7" s="111"/>
      <c r="B7" t="s">
        <v>238</v>
      </c>
    </row>
    <row r="8" spans="1:5" ht="15.75">
      <c r="A8" s="111"/>
      <c r="B8" t="s">
        <v>207</v>
      </c>
    </row>
    <row r="9" spans="1:5" ht="15.75">
      <c r="A9" s="111" t="s">
        <v>208</v>
      </c>
    </row>
    <row r="10" spans="1:5">
      <c r="B10" t="s">
        <v>209</v>
      </c>
    </row>
    <row r="11" spans="1:5">
      <c r="B11" t="s">
        <v>210</v>
      </c>
    </row>
    <row r="12" spans="1:5">
      <c r="B12" t="s">
        <v>211</v>
      </c>
    </row>
    <row r="14" spans="1:5" ht="15.75" thickBot="1">
      <c r="A14" t="s">
        <v>212</v>
      </c>
    </row>
    <row r="15" spans="1:5" ht="16.5" thickBot="1">
      <c r="B15" s="295" t="s">
        <v>213</v>
      </c>
      <c r="C15" s="295" t="s">
        <v>214</v>
      </c>
      <c r="D15" s="295" t="s">
        <v>215</v>
      </c>
      <c r="E15" s="295" t="s">
        <v>216</v>
      </c>
    </row>
    <row r="16" spans="1:5" ht="15.75" thickBot="1">
      <c r="B16" s="294" t="s">
        <v>224</v>
      </c>
      <c r="C16" s="294" t="s">
        <v>225</v>
      </c>
      <c r="D16" s="297">
        <v>0.71289243237695998</v>
      </c>
      <c r="E16" s="297">
        <v>0.71289243237695998</v>
      </c>
    </row>
    <row r="19" spans="1:7" ht="15.75" thickBot="1">
      <c r="A19" t="s">
        <v>217</v>
      </c>
    </row>
    <row r="20" spans="1:7" ht="16.5" thickBot="1">
      <c r="B20" s="295" t="s">
        <v>213</v>
      </c>
      <c r="C20" s="295" t="s">
        <v>214</v>
      </c>
      <c r="D20" s="295" t="s">
        <v>215</v>
      </c>
      <c r="E20" s="295" t="s">
        <v>216</v>
      </c>
      <c r="F20" s="295" t="s">
        <v>218</v>
      </c>
    </row>
    <row r="21" spans="1:7">
      <c r="B21" s="296" t="s">
        <v>226</v>
      </c>
      <c r="C21" s="296" t="s">
        <v>130</v>
      </c>
      <c r="D21" s="298">
        <v>0</v>
      </c>
      <c r="E21" s="298">
        <v>0</v>
      </c>
      <c r="F21" s="296" t="s">
        <v>227</v>
      </c>
    </row>
    <row r="22" spans="1:7">
      <c r="B22" s="296" t="s">
        <v>228</v>
      </c>
      <c r="C22" s="296" t="s">
        <v>131</v>
      </c>
      <c r="D22" s="298">
        <v>0</v>
      </c>
      <c r="E22" s="298">
        <v>0</v>
      </c>
      <c r="F22" s="296" t="s">
        <v>227</v>
      </c>
    </row>
    <row r="23" spans="1:7" ht="15.75" thickBot="1">
      <c r="B23" s="294" t="s">
        <v>229</v>
      </c>
      <c r="C23" s="294" t="s">
        <v>132</v>
      </c>
      <c r="D23" s="299">
        <v>0.14548502822753517</v>
      </c>
      <c r="E23" s="299">
        <v>0.14548502822753517</v>
      </c>
      <c r="F23" s="294" t="s">
        <v>227</v>
      </c>
    </row>
    <row r="26" spans="1:7" ht="15.75" thickBot="1">
      <c r="A26" t="s">
        <v>219</v>
      </c>
    </row>
    <row r="27" spans="1:7" ht="16.5" thickBot="1">
      <c r="B27" s="295" t="s">
        <v>213</v>
      </c>
      <c r="C27" s="295" t="s">
        <v>214</v>
      </c>
      <c r="D27" s="295" t="s">
        <v>220</v>
      </c>
      <c r="E27" s="295" t="s">
        <v>221</v>
      </c>
      <c r="F27" s="295" t="s">
        <v>222</v>
      </c>
      <c r="G27" s="295" t="s">
        <v>223</v>
      </c>
    </row>
    <row r="28" spans="1:7">
      <c r="B28" s="296" t="s">
        <v>230</v>
      </c>
      <c r="C28" s="296" t="s">
        <v>129</v>
      </c>
      <c r="D28" s="298">
        <v>0.85451497177246483</v>
      </c>
      <c r="E28" s="296" t="s">
        <v>231</v>
      </c>
      <c r="F28" s="296" t="s">
        <v>232</v>
      </c>
      <c r="G28" s="298">
        <v>0.85451497177246483</v>
      </c>
    </row>
    <row r="29" spans="1:7">
      <c r="B29" s="296" t="s">
        <v>226</v>
      </c>
      <c r="C29" s="296" t="s">
        <v>130</v>
      </c>
      <c r="D29" s="298">
        <v>0</v>
      </c>
      <c r="E29" s="296" t="s">
        <v>233</v>
      </c>
      <c r="F29" s="296" t="s">
        <v>234</v>
      </c>
      <c r="G29" s="298">
        <v>0</v>
      </c>
    </row>
    <row r="30" spans="1:7">
      <c r="B30" s="296" t="s">
        <v>228</v>
      </c>
      <c r="C30" s="296" t="s">
        <v>131</v>
      </c>
      <c r="D30" s="298">
        <v>0</v>
      </c>
      <c r="E30" s="296" t="s">
        <v>235</v>
      </c>
      <c r="F30" s="296" t="s">
        <v>234</v>
      </c>
      <c r="G30" s="298">
        <v>0</v>
      </c>
    </row>
    <row r="31" spans="1:7" ht="15.75" thickBot="1">
      <c r="B31" s="294" t="s">
        <v>229</v>
      </c>
      <c r="C31" s="294" t="s">
        <v>132</v>
      </c>
      <c r="D31" s="299">
        <v>0.14548502822753517</v>
      </c>
      <c r="E31" s="294" t="s">
        <v>236</v>
      </c>
      <c r="F31" s="294" t="s">
        <v>232</v>
      </c>
      <c r="G31" s="299">
        <v>0.14548502822753517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zoomScale="75" workbookViewId="0">
      <pane ySplit="8" topLeftCell="A36" activePane="bottomLeft" state="frozen"/>
      <selection pane="bottomLeft" activeCell="I55" sqref="I55"/>
    </sheetView>
  </sheetViews>
  <sheetFormatPr defaultRowHeight="15"/>
  <cols>
    <col min="2" max="2" width="11.44140625" customWidth="1"/>
    <col min="3" max="3" width="1.88671875" customWidth="1"/>
    <col min="4" max="4" width="16.109375" customWidth="1"/>
    <col min="5" max="5" width="11.33203125" customWidth="1"/>
    <col min="6" max="6" width="10.77734375" customWidth="1"/>
    <col min="7" max="7" width="11.44140625" customWidth="1"/>
    <col min="8" max="8" width="2.77734375" customWidth="1"/>
    <col min="9" max="9" width="10.77734375" customWidth="1"/>
    <col min="10" max="10" width="11.109375" customWidth="1"/>
    <col min="11" max="11" width="4.77734375" customWidth="1"/>
  </cols>
  <sheetData>
    <row r="1" spans="1:13">
      <c r="A1" s="105" t="str">
        <f ca="1">CELL("filename",A1)</f>
        <v>O:\DCF\SALMON\FORECAST\2014\[2014_Copper_&amp;_ Bering_Wild_Coho_FINAL.xlsx]Exp_smoothing_w_damping</v>
      </c>
    </row>
    <row r="2" spans="1:13" ht="7.5" customHeight="1"/>
    <row r="3" spans="1:13" ht="15.75">
      <c r="A3" s="111" t="s">
        <v>111</v>
      </c>
      <c r="B3" s="111" t="s">
        <v>125</v>
      </c>
    </row>
    <row r="4" spans="1:13" ht="15.75">
      <c r="A4" s="111"/>
      <c r="B4" s="111" t="str">
        <f>"from 0.1 to 0.5, 1972-"&amp;(Forecast_Yr-1)</f>
        <v>from 0.1 to 0.5, 1972-2013</v>
      </c>
    </row>
    <row r="5" spans="1:13" ht="15.75">
      <c r="A5" s="111"/>
      <c r="B5" s="111"/>
    </row>
    <row r="6" spans="1:13">
      <c r="A6" s="194"/>
      <c r="B6" s="194"/>
      <c r="C6" s="194"/>
      <c r="D6" s="195" t="s">
        <v>126</v>
      </c>
      <c r="E6" s="194"/>
      <c r="F6" s="194"/>
      <c r="G6" s="110" t="s">
        <v>152</v>
      </c>
    </row>
    <row r="7" spans="1:13">
      <c r="A7" s="90" t="s">
        <v>70</v>
      </c>
      <c r="B7" s="92" t="s">
        <v>117</v>
      </c>
      <c r="C7" s="60"/>
      <c r="D7" s="113" t="s">
        <v>127</v>
      </c>
      <c r="E7" s="60"/>
      <c r="F7" s="90" t="s">
        <v>152</v>
      </c>
      <c r="G7" s="90" t="s">
        <v>153</v>
      </c>
      <c r="L7" s="267"/>
      <c r="M7" s="267"/>
    </row>
    <row r="8" spans="1:13" ht="15.75" thickBot="1">
      <c r="A8" s="91" t="s">
        <v>19</v>
      </c>
      <c r="B8" s="93" t="s">
        <v>118</v>
      </c>
      <c r="C8" s="87"/>
      <c r="D8" s="115" t="s">
        <v>58</v>
      </c>
      <c r="E8" s="91" t="s">
        <v>133</v>
      </c>
      <c r="F8" s="91" t="s">
        <v>133</v>
      </c>
      <c r="G8" s="91" t="s">
        <v>133</v>
      </c>
      <c r="L8" s="90"/>
      <c r="M8" s="90"/>
    </row>
    <row r="9" spans="1:13">
      <c r="A9" s="90">
        <v>1970</v>
      </c>
      <c r="B9" s="73">
        <f>CBR!B93</f>
        <v>161892</v>
      </c>
      <c r="D9" s="103"/>
      <c r="G9" s="38"/>
      <c r="I9" s="116" t="s">
        <v>128</v>
      </c>
      <c r="J9" s="117"/>
      <c r="K9" s="60"/>
      <c r="L9" s="90"/>
      <c r="M9" s="90"/>
    </row>
    <row r="10" spans="1:13">
      <c r="A10" s="90">
        <v>1971</v>
      </c>
      <c r="B10" s="73">
        <f>CBR!B94</f>
        <v>208915</v>
      </c>
      <c r="D10" s="106">
        <f>$B9</f>
        <v>161892</v>
      </c>
      <c r="I10" s="118" t="s">
        <v>129</v>
      </c>
      <c r="J10" s="215">
        <f>1-SUM(J11:J13)</f>
        <v>0.63278208235161915</v>
      </c>
      <c r="K10" s="197"/>
      <c r="L10" s="196"/>
      <c r="M10" s="196"/>
    </row>
    <row r="11" spans="1:13">
      <c r="A11" s="90">
        <v>1972</v>
      </c>
      <c r="B11" s="73">
        <f>CBR!B95</f>
        <v>103211</v>
      </c>
      <c r="D11" s="106">
        <f>0.9*$B10+0.1*D10</f>
        <v>204212.7</v>
      </c>
      <c r="F11" s="80"/>
      <c r="I11" s="118" t="s">
        <v>130</v>
      </c>
      <c r="J11" s="216">
        <v>0.28033091992426223</v>
      </c>
      <c r="K11" s="198"/>
      <c r="L11" s="196"/>
      <c r="M11" s="196"/>
    </row>
    <row r="12" spans="1:13">
      <c r="A12" s="90">
        <v>1973</v>
      </c>
      <c r="B12" s="73">
        <f>CBR!B96</f>
        <v>132272</v>
      </c>
      <c r="D12" s="106">
        <f>0.5*$B11+0.3*D11+0.2*D10</f>
        <v>145247.71</v>
      </c>
      <c r="F12" s="80"/>
      <c r="I12" s="118" t="s">
        <v>131</v>
      </c>
      <c r="J12" s="216">
        <v>0</v>
      </c>
      <c r="K12" s="198"/>
      <c r="L12" s="196"/>
    </row>
    <row r="13" spans="1:13" ht="15.75" thickBot="1">
      <c r="A13" s="90">
        <v>1974</v>
      </c>
      <c r="B13" s="73">
        <f>CBR!B97</f>
        <v>46625</v>
      </c>
      <c r="D13" s="80">
        <f t="shared" ref="D13:D20" si="0">$J$10*$B12+$J$11*D12+$J$12*D11+$J$13*D10</f>
        <v>138483.08559355885</v>
      </c>
      <c r="E13" s="122">
        <f>B13-D13</f>
        <v>-91858.085593558848</v>
      </c>
      <c r="F13" s="80">
        <f t="shared" ref="F13:F39" si="1">ABS(D13-$B13)</f>
        <v>91858.085593558848</v>
      </c>
      <c r="G13" s="188">
        <f>ABS($B13-D13)/$B13</f>
        <v>1.9701466079047474</v>
      </c>
      <c r="I13" s="119" t="s">
        <v>132</v>
      </c>
      <c r="J13" s="217">
        <v>8.6886997724118634E-2</v>
      </c>
      <c r="K13" s="198"/>
      <c r="L13" s="196"/>
      <c r="M13" s="196"/>
    </row>
    <row r="14" spans="1:13">
      <c r="A14" s="90">
        <v>1975</v>
      </c>
      <c r="B14" s="73">
        <f>CBR!B98</f>
        <v>53805</v>
      </c>
      <c r="D14" s="80">
        <f t="shared" si="0"/>
        <v>86067.983768173057</v>
      </c>
      <c r="E14" s="122">
        <f t="shared" ref="E14:E39" si="2">B14-D14</f>
        <v>-32262.983768173057</v>
      </c>
      <c r="F14" s="80">
        <f t="shared" si="1"/>
        <v>32262.983768173057</v>
      </c>
      <c r="G14" s="188">
        <f t="shared" ref="G14:G35" si="3">ABS($B14-D14)/$B14</f>
        <v>0.59962798565510744</v>
      </c>
    </row>
    <row r="15" spans="1:13">
      <c r="A15" s="90">
        <v>1976</v>
      </c>
      <c r="B15" s="73">
        <f>CBR!B99</f>
        <v>111900</v>
      </c>
      <c r="D15" s="80">
        <f t="shared" si="0"/>
        <v>70794.494454890737</v>
      </c>
      <c r="E15" s="122">
        <f t="shared" si="2"/>
        <v>41105.505545109263</v>
      </c>
      <c r="F15" s="80">
        <f t="shared" si="1"/>
        <v>41105.505545109263</v>
      </c>
      <c r="G15" s="188">
        <f t="shared" si="3"/>
        <v>0.36734142578292461</v>
      </c>
      <c r="J15" s="103"/>
      <c r="M15" s="199"/>
    </row>
    <row r="16" spans="1:13">
      <c r="A16" s="90">
        <v>1977</v>
      </c>
      <c r="B16" s="73">
        <f>CBR!B100</f>
        <v>131356</v>
      </c>
      <c r="D16" s="80">
        <f t="shared" si="0"/>
        <v>102686.58031405527</v>
      </c>
      <c r="E16" s="122">
        <f t="shared" si="2"/>
        <v>28669.419685944726</v>
      </c>
      <c r="F16" s="80">
        <f t="shared" si="1"/>
        <v>28669.419685944726</v>
      </c>
      <c r="G16" s="188">
        <f t="shared" si="3"/>
        <v>0.2182574049601444</v>
      </c>
    </row>
    <row r="17" spans="1:17">
      <c r="A17" s="90">
        <v>1978</v>
      </c>
      <c r="B17" s="73">
        <f>CBR!B101</f>
        <v>220338</v>
      </c>
      <c r="D17" s="80">
        <f t="shared" si="0"/>
        <v>119384.13544247978</v>
      </c>
      <c r="E17" s="122">
        <f t="shared" si="2"/>
        <v>100953.86455752022</v>
      </c>
      <c r="F17" s="80">
        <f t="shared" si="1"/>
        <v>100953.86455752022</v>
      </c>
      <c r="G17" s="188">
        <f t="shared" si="3"/>
        <v>0.45817727562889843</v>
      </c>
    </row>
    <row r="18" spans="1:17">
      <c r="A18" s="90">
        <v>1979</v>
      </c>
      <c r="B18" s="73">
        <f>CBR!B102</f>
        <v>194885</v>
      </c>
      <c r="D18" s="80">
        <f t="shared" si="0"/>
        <v>179044.12405272634</v>
      </c>
      <c r="E18" s="122">
        <f t="shared" si="2"/>
        <v>15840.875947273656</v>
      </c>
      <c r="F18" s="80">
        <f t="shared" si="1"/>
        <v>15840.875947273656</v>
      </c>
      <c r="G18" s="188">
        <f t="shared" si="3"/>
        <v>8.1283197512757047E-2</v>
      </c>
    </row>
    <row r="19" spans="1:17">
      <c r="A19" s="90">
        <v>1980</v>
      </c>
      <c r="B19" s="73">
        <f>CBR!B103</f>
        <v>225299</v>
      </c>
      <c r="D19" s="80">
        <f t="shared" si="0"/>
        <v>182433.46879187465</v>
      </c>
      <c r="E19" s="122">
        <f t="shared" si="2"/>
        <v>42865.531208125351</v>
      </c>
      <c r="F19" s="80">
        <f t="shared" si="1"/>
        <v>42865.531208125351</v>
      </c>
      <c r="G19" s="188">
        <f t="shared" si="3"/>
        <v>0.19026063678988966</v>
      </c>
    </row>
    <row r="20" spans="1:17">
      <c r="A20" s="90">
        <v>1981</v>
      </c>
      <c r="B20" s="73">
        <f>CBR!B104</f>
        <v>310154</v>
      </c>
      <c r="D20" s="80">
        <f t="shared" si="0"/>
        <v>204079.84160762443</v>
      </c>
      <c r="E20" s="122">
        <f t="shared" si="2"/>
        <v>106074.15839237557</v>
      </c>
      <c r="F20" s="80">
        <f t="shared" si="1"/>
        <v>106074.15839237557</v>
      </c>
      <c r="G20" s="188">
        <f t="shared" si="3"/>
        <v>0.34200480533017652</v>
      </c>
    </row>
    <row r="21" spans="1:17" ht="20.25">
      <c r="A21" s="90">
        <v>1982</v>
      </c>
      <c r="B21" s="73">
        <f>CBR!B105</f>
        <v>454763</v>
      </c>
      <c r="D21" s="80">
        <f t="shared" ref="D21:D46" si="4">$J$10*$B20+$J$11*D20+$J$12*D19+$J$13*D18</f>
        <v>269026.39010463323</v>
      </c>
      <c r="E21" s="122">
        <f t="shared" si="2"/>
        <v>185736.60989536677</v>
      </c>
      <c r="F21" s="80">
        <f t="shared" si="1"/>
        <v>185736.60989536677</v>
      </c>
      <c r="G21" s="188">
        <f t="shared" si="3"/>
        <v>0.40842506953152907</v>
      </c>
      <c r="I21" s="255"/>
      <c r="J21" s="256"/>
      <c r="K21" s="256"/>
      <c r="L21" s="256"/>
      <c r="M21" s="256"/>
      <c r="N21" s="256"/>
      <c r="O21" s="256"/>
      <c r="P21" s="256"/>
      <c r="Q21" s="256"/>
    </row>
    <row r="22" spans="1:17">
      <c r="A22" s="90">
        <v>1983</v>
      </c>
      <c r="B22" s="73">
        <f>CBR!B106</f>
        <v>234243</v>
      </c>
      <c r="D22" s="80">
        <f t="shared" si="4"/>
        <v>379033.38992612733</v>
      </c>
      <c r="E22" s="122">
        <f>B22-D22</f>
        <v>-144790.38992612733</v>
      </c>
      <c r="F22" s="80">
        <f>ABS(D22-$B22)</f>
        <v>144790.38992612733</v>
      </c>
      <c r="G22" s="188">
        <f>ABS($B22-D22)/$B22</f>
        <v>0.61812045579217878</v>
      </c>
      <c r="I22" s="256"/>
      <c r="J22" s="256"/>
      <c r="K22" s="256"/>
      <c r="L22" s="256"/>
      <c r="M22" s="256"/>
      <c r="N22" s="256"/>
      <c r="O22" s="256"/>
      <c r="P22" s="256"/>
      <c r="Q22" s="256"/>
    </row>
    <row r="23" spans="1:17">
      <c r="A23" s="90">
        <v>1984</v>
      </c>
      <c r="B23" s="73">
        <f>CBR!B107</f>
        <v>382432</v>
      </c>
      <c r="D23" s="80">
        <f t="shared" si="4"/>
        <v>272211.43692959333</v>
      </c>
      <c r="E23" s="122">
        <f t="shared" si="2"/>
        <v>110220.56307040667</v>
      </c>
      <c r="F23" s="80">
        <f t="shared" si="1"/>
        <v>110220.56307040667</v>
      </c>
      <c r="G23" s="188">
        <f t="shared" si="3"/>
        <v>0.28820957208185161</v>
      </c>
      <c r="I23" s="256"/>
      <c r="J23" s="256"/>
      <c r="K23" s="256"/>
      <c r="L23" s="256"/>
      <c r="M23" s="256"/>
      <c r="N23" s="256"/>
      <c r="O23" s="256"/>
      <c r="P23" s="256"/>
      <c r="Q23" s="256"/>
    </row>
    <row r="24" spans="1:17">
      <c r="A24" s="90">
        <v>1985</v>
      </c>
      <c r="B24" s="73">
        <f>CBR!B108</f>
        <v>587990</v>
      </c>
      <c r="D24" s="80">
        <f t="shared" si="4"/>
        <v>341680.29519102169</v>
      </c>
      <c r="E24" s="122">
        <f t="shared" si="2"/>
        <v>246309.70480897831</v>
      </c>
      <c r="F24" s="80">
        <f t="shared" si="1"/>
        <v>246309.70480897831</v>
      </c>
      <c r="G24" s="188">
        <f t="shared" si="3"/>
        <v>0.41890117996730947</v>
      </c>
      <c r="I24" s="256"/>
      <c r="J24" s="256"/>
      <c r="K24" s="256"/>
      <c r="L24" s="256"/>
      <c r="M24" s="256"/>
      <c r="N24" s="256"/>
      <c r="O24" s="256"/>
      <c r="P24" s="256"/>
      <c r="Q24" s="256"/>
    </row>
    <row r="25" spans="1:17">
      <c r="A25" s="90">
        <v>1986</v>
      </c>
      <c r="B25" s="73">
        <f>CBR!B109</f>
        <v>295980</v>
      </c>
      <c r="D25" s="80">
        <f t="shared" si="4"/>
        <v>500786.16136069753</v>
      </c>
      <c r="E25" s="122">
        <f t="shared" si="2"/>
        <v>-204806.16136069753</v>
      </c>
      <c r="F25" s="80">
        <f t="shared" si="1"/>
        <v>204806.16136069753</v>
      </c>
      <c r="G25" s="188">
        <f t="shared" si="3"/>
        <v>0.69195946131731034</v>
      </c>
      <c r="I25" s="256"/>
      <c r="J25" s="256"/>
      <c r="K25" s="256"/>
      <c r="L25" s="256"/>
      <c r="M25" s="256"/>
      <c r="N25" s="256"/>
      <c r="O25" s="256"/>
      <c r="P25" s="256"/>
      <c r="Q25" s="256"/>
    </row>
    <row r="26" spans="1:17">
      <c r="A26" s="90">
        <v>1987</v>
      </c>
      <c r="B26" s="73">
        <f>CBR!B110</f>
        <v>111599</v>
      </c>
      <c r="D26" s="80">
        <f t="shared" si="4"/>
        <v>351328.32053499727</v>
      </c>
      <c r="E26" s="122">
        <f t="shared" si="2"/>
        <v>-239729.32053499727</v>
      </c>
      <c r="F26" s="80">
        <f t="shared" si="1"/>
        <v>239729.32053499727</v>
      </c>
      <c r="G26" s="188">
        <f t="shared" si="3"/>
        <v>2.1481314396634135</v>
      </c>
      <c r="I26" s="256"/>
      <c r="J26" s="256"/>
      <c r="K26" s="256"/>
      <c r="L26" s="256"/>
      <c r="M26" s="256"/>
      <c r="N26" s="256"/>
      <c r="O26" s="256"/>
      <c r="P26" s="256"/>
      <c r="Q26" s="256"/>
    </row>
    <row r="27" spans="1:17">
      <c r="A27" s="90">
        <v>1988</v>
      </c>
      <c r="B27" s="73">
        <f>CBR!B111</f>
        <v>315568</v>
      </c>
      <c r="D27" s="80">
        <f t="shared" si="4"/>
        <v>198793.61393001868</v>
      </c>
      <c r="E27" s="122">
        <f t="shared" si="2"/>
        <v>116774.38606998132</v>
      </c>
      <c r="F27" s="80">
        <f t="shared" si="1"/>
        <v>116774.38606998132</v>
      </c>
      <c r="G27" s="188">
        <f t="shared" si="3"/>
        <v>0.37004508083830212</v>
      </c>
      <c r="I27" s="256"/>
      <c r="J27" s="256"/>
      <c r="K27" s="256"/>
      <c r="L27" s="256"/>
      <c r="M27" s="256"/>
      <c r="N27" s="256"/>
      <c r="O27" s="256"/>
      <c r="P27" s="256"/>
      <c r="Q27" s="256"/>
    </row>
    <row r="28" spans="1:17">
      <c r="A28" s="90">
        <v>1989</v>
      </c>
      <c r="B28" s="73">
        <f>CBR!B112</f>
        <v>194454</v>
      </c>
      <c r="D28" s="80">
        <f t="shared" si="4"/>
        <v>298925.57889402355</v>
      </c>
      <c r="E28" s="122">
        <f t="shared" si="2"/>
        <v>-104471.57889402355</v>
      </c>
      <c r="F28" s="80">
        <f t="shared" si="1"/>
        <v>104471.57889402355</v>
      </c>
      <c r="G28" s="188">
        <f t="shared" si="3"/>
        <v>0.53725600344566604</v>
      </c>
      <c r="I28" s="256"/>
      <c r="J28" s="256"/>
      <c r="K28" s="256"/>
      <c r="L28" s="256"/>
      <c r="M28" s="256"/>
      <c r="N28" s="256"/>
      <c r="O28" s="256"/>
      <c r="P28" s="256"/>
      <c r="Q28" s="256"/>
    </row>
    <row r="29" spans="1:17">
      <c r="A29" s="90">
        <v>1990</v>
      </c>
      <c r="B29" s="73">
        <f>CBR!B113</f>
        <v>246797</v>
      </c>
      <c r="D29" s="80">
        <f t="shared" si="4"/>
        <v>237370.95254859873</v>
      </c>
      <c r="E29" s="122">
        <f t="shared" si="2"/>
        <v>9426.0474514012749</v>
      </c>
      <c r="F29" s="80">
        <f t="shared" si="1"/>
        <v>9426.0474514012749</v>
      </c>
      <c r="G29" s="188">
        <f t="shared" si="3"/>
        <v>3.8193525251122483E-2</v>
      </c>
      <c r="I29" s="256"/>
      <c r="J29" s="256"/>
      <c r="K29" s="256"/>
      <c r="L29" s="256"/>
      <c r="M29" s="256"/>
      <c r="N29" s="256"/>
      <c r="O29" s="256"/>
      <c r="P29" s="256"/>
      <c r="Q29" s="256"/>
    </row>
    <row r="30" spans="1:17">
      <c r="A30" s="90">
        <v>1991</v>
      </c>
      <c r="B30" s="73">
        <f>CBR!B114</f>
        <v>385086</v>
      </c>
      <c r="D30" s="80">
        <f t="shared" si="4"/>
        <v>239983.71735048646</v>
      </c>
      <c r="E30" s="122">
        <f t="shared" si="2"/>
        <v>145102.28264951354</v>
      </c>
      <c r="F30" s="80">
        <f t="shared" si="1"/>
        <v>145102.28264951354</v>
      </c>
      <c r="G30" s="188">
        <f t="shared" si="3"/>
        <v>0.37680487644192084</v>
      </c>
      <c r="I30" s="256"/>
      <c r="J30" s="256"/>
      <c r="K30" s="256"/>
      <c r="L30" s="256"/>
      <c r="M30" s="256"/>
      <c r="N30" s="256"/>
      <c r="O30" s="256"/>
      <c r="P30" s="256"/>
      <c r="Q30" s="256"/>
    </row>
    <row r="31" spans="1:17">
      <c r="A31" s="90">
        <v>1992</v>
      </c>
      <c r="B31" s="73">
        <f>CBR!B115</f>
        <v>291627</v>
      </c>
      <c r="D31" s="80">
        <f t="shared" si="4"/>
        <v>336923.1233092075</v>
      </c>
      <c r="E31" s="122">
        <f t="shared" si="2"/>
        <v>-45296.123309207498</v>
      </c>
      <c r="F31" s="80">
        <f t="shared" si="1"/>
        <v>45296.123309207498</v>
      </c>
      <c r="G31" s="188">
        <f t="shared" si="3"/>
        <v>0.15532211801104664</v>
      </c>
      <c r="I31" s="256"/>
      <c r="J31" s="256"/>
      <c r="K31" s="256"/>
      <c r="L31" s="256"/>
      <c r="M31" s="256"/>
      <c r="N31" s="256"/>
      <c r="O31" s="256"/>
      <c r="P31" s="256"/>
      <c r="Q31" s="256"/>
    </row>
    <row r="32" spans="1:17">
      <c r="A32" s="90">
        <v>1993</v>
      </c>
      <c r="B32" s="73">
        <f>CBR!B116</f>
        <v>281469</v>
      </c>
      <c r="D32" s="80">
        <f t="shared" si="4"/>
        <v>299610.75884484337</v>
      </c>
      <c r="E32" s="122">
        <f t="shared" si="2"/>
        <v>-18141.758844843367</v>
      </c>
      <c r="F32" s="80">
        <f t="shared" si="1"/>
        <v>18141.758844843367</v>
      </c>
      <c r="G32" s="188">
        <f t="shared" si="3"/>
        <v>6.4453843388946441E-2</v>
      </c>
      <c r="I32" s="256"/>
      <c r="J32" s="256"/>
      <c r="K32" s="256"/>
      <c r="L32" s="256"/>
      <c r="M32" s="256"/>
      <c r="N32" s="256"/>
      <c r="O32" s="256"/>
      <c r="P32" s="256"/>
      <c r="Q32" s="256"/>
    </row>
    <row r="33" spans="1:17">
      <c r="A33" s="90">
        <v>1994</v>
      </c>
      <c r="B33" s="73">
        <f>CBR!B117</f>
        <v>677633</v>
      </c>
      <c r="D33" s="80">
        <f t="shared" si="4"/>
        <v>282950.16428686638</v>
      </c>
      <c r="E33" s="122">
        <f t="shared" si="2"/>
        <v>394682.83571313362</v>
      </c>
      <c r="F33" s="80">
        <f t="shared" si="1"/>
        <v>394682.83571313362</v>
      </c>
      <c r="G33" s="188">
        <f t="shared" si="3"/>
        <v>0.58244335165662475</v>
      </c>
      <c r="I33" s="256"/>
      <c r="J33" s="256"/>
      <c r="K33" s="256"/>
      <c r="L33" s="256"/>
      <c r="M33" s="256"/>
      <c r="N33" s="256"/>
      <c r="O33" s="256"/>
      <c r="P33" s="256"/>
      <c r="Q33" s="256"/>
    </row>
    <row r="34" spans="1:17">
      <c r="A34" s="90">
        <v>1995</v>
      </c>
      <c r="B34" s="73">
        <f>CBR!B118</f>
        <v>542658</v>
      </c>
      <c r="D34" s="80">
        <f t="shared" si="4"/>
        <v>537387.93930560315</v>
      </c>
      <c r="E34" s="122">
        <f t="shared" si="2"/>
        <v>5270.0606943968451</v>
      </c>
      <c r="F34" s="80">
        <f t="shared" si="1"/>
        <v>5270.0606943968451</v>
      </c>
      <c r="G34" s="188">
        <f t="shared" si="3"/>
        <v>9.711569154784128E-3</v>
      </c>
      <c r="I34" s="256"/>
      <c r="J34" s="256"/>
      <c r="K34" s="256"/>
      <c r="L34" s="256"/>
      <c r="M34" s="256"/>
      <c r="N34" s="256"/>
      <c r="O34" s="256"/>
      <c r="P34" s="256"/>
      <c r="Q34" s="256"/>
    </row>
    <row r="35" spans="1:17">
      <c r="A35" s="90">
        <v>1996</v>
      </c>
      <c r="B35" s="73">
        <f>CBR!B119</f>
        <v>193042</v>
      </c>
      <c r="D35" s="80">
        <f t="shared" si="4"/>
        <v>520062.99394838163</v>
      </c>
      <c r="E35" s="122">
        <f t="shared" si="2"/>
        <v>-327020.99394838163</v>
      </c>
      <c r="F35" s="80">
        <f t="shared" si="1"/>
        <v>327020.99394838163</v>
      </c>
      <c r="G35" s="188">
        <f t="shared" si="3"/>
        <v>1.694040643737537</v>
      </c>
      <c r="I35" s="256"/>
      <c r="J35" s="256"/>
      <c r="K35" s="256"/>
      <c r="L35" s="256"/>
      <c r="M35" s="256"/>
      <c r="N35" s="256"/>
      <c r="O35" s="256"/>
      <c r="P35" s="256"/>
      <c r="Q35" s="256"/>
    </row>
    <row r="36" spans="1:17">
      <c r="A36" s="90">
        <v>1997</v>
      </c>
      <c r="B36" s="73">
        <f>CBR!B120</f>
        <v>18656</v>
      </c>
      <c r="D36" s="80">
        <f t="shared" si="4"/>
        <v>292527.94653386908</v>
      </c>
      <c r="E36" s="122">
        <f t="shared" si="2"/>
        <v>-273871.94653386908</v>
      </c>
      <c r="F36" s="80">
        <f t="shared" si="1"/>
        <v>273871.94653386908</v>
      </c>
      <c r="G36" s="188">
        <f t="shared" ref="G36:G49" si="5">ABS($B36-D36)/$B36</f>
        <v>14.680100050057305</v>
      </c>
      <c r="I36" s="256"/>
      <c r="J36" s="256"/>
      <c r="K36" s="256"/>
      <c r="L36" s="256"/>
      <c r="M36" s="256"/>
      <c r="N36" s="256"/>
      <c r="O36" s="256"/>
      <c r="P36" s="256"/>
      <c r="Q36" s="256"/>
    </row>
    <row r="37" spans="1:17">
      <c r="A37" s="90">
        <v>1998</v>
      </c>
      <c r="B37" s="73">
        <f>CBR!B121</f>
        <v>108232</v>
      </c>
      <c r="D37" s="80">
        <f t="shared" si="4"/>
        <v>140501.83554316149</v>
      </c>
      <c r="E37" s="122">
        <f>B37-D37</f>
        <v>-32269.835543161491</v>
      </c>
      <c r="F37" s="80">
        <f t="shared" si="1"/>
        <v>32269.835543161491</v>
      </c>
      <c r="G37" s="188">
        <f t="shared" si="5"/>
        <v>0.29815429395337323</v>
      </c>
    </row>
    <row r="38" spans="1:17">
      <c r="A38" s="90">
        <v>1999</v>
      </c>
      <c r="B38" s="73">
        <f>CBR!B122</f>
        <v>153061</v>
      </c>
      <c r="D38" s="80">
        <f t="shared" si="4"/>
        <v>153060.99131753366</v>
      </c>
      <c r="E38" s="122">
        <f t="shared" si="2"/>
        <v>8.6824663449078798E-3</v>
      </c>
      <c r="F38" s="80">
        <f t="shared" si="1"/>
        <v>8.6824663449078798E-3</v>
      </c>
      <c r="G38" s="188">
        <f t="shared" si="5"/>
        <v>5.6725529984175456E-8</v>
      </c>
    </row>
    <row r="39" spans="1:17">
      <c r="A39" s="90">
        <v>2000</v>
      </c>
      <c r="B39" s="73">
        <f>CBR!B123</f>
        <v>304944</v>
      </c>
      <c r="D39" s="80">
        <f t="shared" si="4"/>
        <v>165178.86183211429</v>
      </c>
      <c r="E39" s="122">
        <f t="shared" si="2"/>
        <v>139765.13816788571</v>
      </c>
      <c r="F39" s="80">
        <f t="shared" si="1"/>
        <v>139765.13816788571</v>
      </c>
      <c r="G39" s="188">
        <f t="shared" si="5"/>
        <v>0.45833050713536161</v>
      </c>
    </row>
    <row r="40" spans="1:17">
      <c r="A40" s="90">
        <v>2001</v>
      </c>
      <c r="B40" s="73">
        <f>CBR!B124</f>
        <v>251473</v>
      </c>
      <c r="D40" s="80">
        <f t="shared" si="4"/>
        <v>251475.62427514454</v>
      </c>
      <c r="E40" s="122">
        <f t="shared" ref="E40:E45" si="6">B40-D40</f>
        <v>-2.6242751445388421</v>
      </c>
      <c r="F40" s="80">
        <f t="shared" ref="F40:F45" si="7">ABS(D40-$B40)</f>
        <v>2.6242751445388421</v>
      </c>
      <c r="G40" s="188">
        <f t="shared" si="5"/>
        <v>1.0435613940816081E-5</v>
      </c>
    </row>
    <row r="41" spans="1:17">
      <c r="A41" s="90">
        <v>2002</v>
      </c>
      <c r="B41" s="73">
        <f>CBR!B125</f>
        <v>538277</v>
      </c>
      <c r="D41" s="80">
        <f t="shared" si="4"/>
        <v>242923.01169104603</v>
      </c>
      <c r="E41" s="122">
        <f t="shared" si="6"/>
        <v>295353.98830895394</v>
      </c>
      <c r="F41" s="80">
        <f t="shared" si="7"/>
        <v>295353.98830895394</v>
      </c>
      <c r="G41" s="188">
        <f t="shared" si="5"/>
        <v>0.54870259793554976</v>
      </c>
    </row>
    <row r="42" spans="1:17">
      <c r="A42" s="90">
        <v>2003</v>
      </c>
      <c r="B42" s="73">
        <f>CBR!B126</f>
        <v>363489</v>
      </c>
      <c r="D42" s="80">
        <f t="shared" si="4"/>
        <v>423062.76767218515</v>
      </c>
      <c r="E42" s="122">
        <f t="shared" si="6"/>
        <v>-59573.767672185146</v>
      </c>
      <c r="F42" s="80">
        <f t="shared" si="7"/>
        <v>59573.767672185146</v>
      </c>
      <c r="G42" s="188">
        <f t="shared" si="5"/>
        <v>0.1638942792551773</v>
      </c>
    </row>
    <row r="43" spans="1:17">
      <c r="A43" s="90">
        <v>2004</v>
      </c>
      <c r="B43" s="73">
        <f>CBR!B127</f>
        <v>467859</v>
      </c>
      <c r="D43" s="80">
        <f t="shared" si="4"/>
        <v>370456.86317322159</v>
      </c>
      <c r="E43" s="122">
        <f t="shared" si="6"/>
        <v>97402.136826778413</v>
      </c>
      <c r="F43" s="80">
        <f t="shared" si="7"/>
        <v>97402.136826778413</v>
      </c>
      <c r="G43" s="188">
        <f t="shared" si="5"/>
        <v>0.20818694697927884</v>
      </c>
    </row>
    <row r="44" spans="1:17">
      <c r="A44" s="90">
        <v>2005</v>
      </c>
      <c r="B44" s="73">
        <f>CBR!B128</f>
        <v>263465</v>
      </c>
      <c r="D44" s="80">
        <f t="shared" si="4"/>
        <v>421010.15667648788</v>
      </c>
      <c r="E44" s="122">
        <f t="shared" si="6"/>
        <v>-157545.15667648788</v>
      </c>
      <c r="F44" s="80">
        <f t="shared" si="7"/>
        <v>157545.15667648788</v>
      </c>
      <c r="G44" s="188">
        <f t="shared" si="5"/>
        <v>0.59797375999274238</v>
      </c>
    </row>
    <row r="45" spans="1:17">
      <c r="A45" s="90">
        <v>2006</v>
      </c>
      <c r="B45" s="73">
        <f>CBR!B129</f>
        <v>312150</v>
      </c>
      <c r="D45" s="80">
        <f t="shared" si="4"/>
        <v>321496.74957723945</v>
      </c>
      <c r="E45" s="122">
        <f t="shared" si="6"/>
        <v>-9346.7495772394468</v>
      </c>
      <c r="F45" s="80">
        <f t="shared" si="7"/>
        <v>9346.7495772394468</v>
      </c>
      <c r="G45" s="188">
        <f t="shared" si="5"/>
        <v>2.9943134958319548E-2</v>
      </c>
    </row>
    <row r="46" spans="1:17">
      <c r="A46" s="90">
        <v>2007</v>
      </c>
      <c r="B46" s="73">
        <f>CBR!B130</f>
        <v>117182</v>
      </c>
      <c r="D46" s="80">
        <f t="shared" si="4"/>
        <v>319836.29119512148</v>
      </c>
      <c r="E46" s="122">
        <f t="shared" ref="E46:E51" si="8">B46-D46</f>
        <v>-202654.29119512148</v>
      </c>
      <c r="F46" s="80">
        <f t="shared" ref="F46:F51" si="9">ABS(D46-$B46)</f>
        <v>202654.29119512148</v>
      </c>
      <c r="G46" s="188">
        <f t="shared" si="5"/>
        <v>1.7293977846010606</v>
      </c>
    </row>
    <row r="47" spans="1:17">
      <c r="A47" s="90">
        <v>2008</v>
      </c>
      <c r="B47" s="73">
        <f>CBR!B131</f>
        <v>202412</v>
      </c>
      <c r="D47" s="80">
        <f>$J$10*$B46+$J$11*D46+$J$12*D45+$J$13*D44</f>
        <v>200390.9802350009</v>
      </c>
      <c r="E47" s="122">
        <f t="shared" si="8"/>
        <v>2021.0197649991023</v>
      </c>
      <c r="F47" s="80">
        <f t="shared" si="9"/>
        <v>2021.0197649991023</v>
      </c>
      <c r="G47" s="188">
        <f t="shared" si="5"/>
        <v>9.9846835414851998E-3</v>
      </c>
    </row>
    <row r="48" spans="1:17">
      <c r="A48" s="90">
        <v>2009</v>
      </c>
      <c r="B48" s="73">
        <f>CBR!B132</f>
        <v>207776</v>
      </c>
      <c r="D48" s="80">
        <f>$J$10*$B47+$J$11*D47+$J$12*D46+$J$13*D45</f>
        <v>212192.36203558755</v>
      </c>
      <c r="E48" s="122">
        <f t="shared" si="8"/>
        <v>-4416.3620355875464</v>
      </c>
      <c r="F48" s="80">
        <f t="shared" si="9"/>
        <v>4416.3620355875464</v>
      </c>
      <c r="G48" s="188">
        <f t="shared" si="5"/>
        <v>2.125540021748203E-2</v>
      </c>
    </row>
    <row r="49" spans="1:9">
      <c r="A49" s="287">
        <v>2010</v>
      </c>
      <c r="B49" s="73">
        <f>CBR!B133</f>
        <v>210621</v>
      </c>
      <c r="D49" s="80">
        <f>$J$10*$B48+$J$11*D48+$J$12*D47+$J$13*D46</f>
        <v>218750.62509818943</v>
      </c>
      <c r="E49" s="122">
        <f t="shared" si="8"/>
        <v>-8129.6250981894264</v>
      </c>
      <c r="F49" s="80">
        <f t="shared" si="9"/>
        <v>8129.6250981894264</v>
      </c>
      <c r="G49" s="188">
        <f t="shared" si="5"/>
        <v>3.8598359604167798E-2</v>
      </c>
    </row>
    <row r="50" spans="1:9">
      <c r="A50" s="287">
        <v>2011</v>
      </c>
      <c r="B50" s="73">
        <f>CBR!B134</f>
        <v>127502</v>
      </c>
      <c r="D50" s="80">
        <f>$J$10*$B49+$J$11*D49+$J$12*D48+$J$13*D47</f>
        <v>212011.12957837567</v>
      </c>
      <c r="E50" s="122">
        <f t="shared" si="8"/>
        <v>-84509.129578375665</v>
      </c>
      <c r="F50" s="80">
        <f t="shared" si="9"/>
        <v>84509.129578375665</v>
      </c>
      <c r="G50" s="188">
        <f>ABS($B50-D50)/$B50</f>
        <v>0.66280630561383869</v>
      </c>
    </row>
    <row r="51" spans="1:9">
      <c r="A51" s="287">
        <v>2012</v>
      </c>
      <c r="B51" s="73">
        <f>CBR!B135</f>
        <v>131250</v>
      </c>
      <c r="D51" s="293">
        <f>$J$10*$B50+$J$11*D50+$J$12*D49+$J$13*D48</f>
        <v>158551.01333014562</v>
      </c>
      <c r="E51" s="122">
        <f t="shared" si="8"/>
        <v>-27301.013330145623</v>
      </c>
      <c r="F51" s="80">
        <f t="shared" si="9"/>
        <v>27301.013330145623</v>
      </c>
      <c r="G51" s="188">
        <f t="shared" ref="G51" si="10">ABS($B51-D51)/$B51</f>
        <v>0.20800772061063333</v>
      </c>
    </row>
    <row r="52" spans="1:9" ht="15.75">
      <c r="A52" s="260">
        <v>2013</v>
      </c>
      <c r="B52" s="73">
        <f>CBR!B136</f>
        <v>244985</v>
      </c>
      <c r="D52" s="80">
        <f t="shared" ref="D52:D53" si="11">$J$10*$B51+$J$11*D51+$J$12*D50+$J$13*D49</f>
        <v>146505.98479546959</v>
      </c>
      <c r="E52" s="122">
        <f t="shared" ref="E52" si="12">B52-D52</f>
        <v>98479.015204530413</v>
      </c>
      <c r="F52" s="80">
        <f t="shared" ref="F52" si="13">ABS(D52-$B52)</f>
        <v>98479.015204530413</v>
      </c>
      <c r="G52" s="188">
        <f t="shared" ref="G52" si="14">ABS($B52-D52)/$B52</f>
        <v>0.4019797751067633</v>
      </c>
    </row>
    <row r="53" spans="1:9" ht="15.75">
      <c r="A53" s="260">
        <v>2014</v>
      </c>
      <c r="B53" s="73"/>
      <c r="D53" s="80">
        <f t="shared" si="11"/>
        <v>214513.28647019953</v>
      </c>
      <c r="E53" s="122"/>
      <c r="F53" s="80"/>
      <c r="G53" s="188"/>
    </row>
    <row r="54" spans="1:9" ht="15.75">
      <c r="A54" s="260"/>
      <c r="B54" s="73"/>
      <c r="D54" s="80"/>
      <c r="E54" s="122"/>
      <c r="F54" s="80"/>
      <c r="G54" s="188"/>
    </row>
    <row r="55" spans="1:9">
      <c r="A55" s="90"/>
      <c r="B55" s="73"/>
      <c r="D55" s="80"/>
      <c r="E55" s="122"/>
      <c r="F55" s="80"/>
    </row>
    <row r="56" spans="1:9" ht="20.25">
      <c r="A56" s="60"/>
      <c r="B56" s="60"/>
      <c r="C56" s="60"/>
      <c r="D56" s="60"/>
      <c r="E56" s="266" t="str">
        <f>Forecast_Yr &amp; " Forecast ="</f>
        <v>2014 Forecast =</v>
      </c>
      <c r="F56" s="300">
        <v>214513.28647019953</v>
      </c>
      <c r="G56" s="301">
        <v>238985.17029642302</v>
      </c>
    </row>
    <row r="57" spans="1:9" ht="15.75">
      <c r="A57" s="60"/>
      <c r="B57" s="60"/>
      <c r="C57" s="60"/>
      <c r="D57" s="94"/>
      <c r="E57" s="114" t="s">
        <v>192</v>
      </c>
      <c r="F57" s="182">
        <f>AVERAGE(F11:F55)</f>
        <v>106251.27625851645</v>
      </c>
      <c r="G57" s="191">
        <f>AVERAGE(G11:G55)</f>
        <v>0.81716109054365504</v>
      </c>
      <c r="I57" s="111" t="s">
        <v>183</v>
      </c>
    </row>
    <row r="58" spans="1:9">
      <c r="A58" s="60"/>
      <c r="B58" s="60"/>
      <c r="C58" s="60"/>
      <c r="D58" s="60"/>
      <c r="E58" s="59" t="s">
        <v>121</v>
      </c>
      <c r="F58" s="193">
        <f>MIN(F10:F55)</f>
        <v>8.6824663449078798E-3</v>
      </c>
      <c r="G58" s="193">
        <f>MIN(G10:G55)</f>
        <v>5.6725529984175456E-8</v>
      </c>
    </row>
    <row r="59" spans="1:9">
      <c r="E59" s="59" t="s">
        <v>122</v>
      </c>
      <c r="F59" s="106">
        <f>MAX(F10:F55)</f>
        <v>394682.83571313362</v>
      </c>
      <c r="G59" s="106">
        <f>MAX(G10:G55)</f>
        <v>14.680100050057305</v>
      </c>
    </row>
    <row r="60" spans="1:9">
      <c r="A60" s="87"/>
      <c r="B60" s="87"/>
      <c r="C60" s="87"/>
      <c r="D60" s="87"/>
      <c r="E60" s="79" t="s">
        <v>123</v>
      </c>
      <c r="F60" s="182">
        <f>STDEV(F10:F55)</f>
        <v>101522.6580762402</v>
      </c>
      <c r="G60" s="182">
        <f>STDEV(G10:G55)</f>
        <v>2.3091867736143263</v>
      </c>
    </row>
  </sheetData>
  <phoneticPr fontId="17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READ_ME!!</vt:lpstr>
      <vt:lpstr>PWS</vt:lpstr>
      <vt:lpstr>CBR</vt:lpstr>
      <vt:lpstr>Forecasts summary</vt:lpstr>
      <vt:lpstr>Harvest_based</vt:lpstr>
      <vt:lpstr>Total_Return_based</vt:lpstr>
      <vt:lpstr>Answer Report 1</vt:lpstr>
      <vt:lpstr>Answer Report 2</vt:lpstr>
      <vt:lpstr>Exp_smoothing_w_damping</vt:lpstr>
      <vt:lpstr>Lag1_Exp_smoothing</vt:lpstr>
      <vt:lpstr>Forecast_Yr</vt:lpstr>
      <vt:lpstr>CBR!Print_Area</vt:lpstr>
      <vt:lpstr>'Forecasts summary'!Print_Area</vt:lpstr>
      <vt:lpstr>Harvest_based!Print_Area</vt:lpstr>
      <vt:lpstr>Lag1_Exp_smoothing!Print_Area</vt:lpstr>
      <vt:lpstr>Total_Return_based!Print_Area</vt:lpstr>
    </vt:vector>
  </TitlesOfParts>
  <Company>Alaska Dept.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Wilcock</dc:creator>
  <cp:lastModifiedBy>Moffitt, Steve D (DFG)</cp:lastModifiedBy>
  <cp:lastPrinted>2007-08-14T17:49:25Z</cp:lastPrinted>
  <dcterms:created xsi:type="dcterms:W3CDTF">1997-11-21T00:20:22Z</dcterms:created>
  <dcterms:modified xsi:type="dcterms:W3CDTF">2014-08-16T21:22:38Z</dcterms:modified>
</cp:coreProperties>
</file>